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showInkAnnotation="0" codeName="ThisWorkbook"/>
  <mc:AlternateContent xmlns:mc="http://schemas.openxmlformats.org/markup-compatibility/2006">
    <mc:Choice Requires="x15">
      <x15ac:absPath xmlns:x15ac="http://schemas.microsoft.com/office/spreadsheetml/2010/11/ac" url="D:\Projekty\Power_supply\PCB_design\"/>
    </mc:Choice>
  </mc:AlternateContent>
  <xr:revisionPtr revIDLastSave="0" documentId="13_ncr:1_{EBD6C75D-E5E2-40A6-8072-88D7492A7192}" xr6:coauthVersionLast="47" xr6:coauthVersionMax="47" xr10:uidLastSave="{00000000-0000-0000-0000-000000000000}"/>
  <workbookProtection workbookAlgorithmName="SHA-512" workbookHashValue="rgW94RiNbkS/CglMRKH0pPTCTWpXwHmsascdn1s2O/XjEbpk0t6DEWnI0iRXL4SaZLBjqB6Df2o6MFXJ5SJrRw==" workbookSaltValue="ZlGysuczbzkbdXe1t49uWA==" workbookSpinCount="100000" lockStructure="1"/>
  <bookViews>
    <workbookView xWindow="-120" yWindow="-120" windowWidth="29040" windowHeight="15720" tabRatio="393" xr2:uid="{00000000-000D-0000-FFFF-FFFF00000000}"/>
  </bookViews>
  <sheets>
    <sheet name="Design Regulator" sheetId="1" r:id="rId1"/>
    <sheet name="BOM &amp; Schematic" sheetId="16" r:id="rId2"/>
    <sheet name="EVM" sheetId="14" r:id="rId3"/>
    <sheet name="Variable Management" sheetId="2" state="hidden" r:id="rId4"/>
    <sheet name="Stability Calculations" sheetId="17" state="hidden" r:id="rId5"/>
    <sheet name="Ch2 Stability Calculations" sheetId="25" state="hidden" r:id="rId6"/>
    <sheet name="Bode Plot Management" sheetId="24" state="hidden" r:id="rId7"/>
    <sheet name="Efficiency Calculations" sheetId="21" state="hidden" r:id="rId8"/>
    <sheet name="Ch2 Efficiency Calculations" sheetId="23" state="hidden" r:id="rId9"/>
    <sheet name="Efficiency Plot Management" sheetId="19" state="hidden" r:id="rId10"/>
    <sheet name="Schematic Management" sheetId="22" state="hidden" r:id="rId11"/>
    <sheet name="Standard Value Calculator" sheetId="8" state="hidden" r:id="rId12"/>
    <sheet name="Snubber" sheetId="11" state="hidden" r:id="rId13"/>
    <sheet name="Parallel Output Caps" sheetId="6" state="hidden" r:id="rId14"/>
  </sheets>
  <definedNames>
    <definedName name="_Don1">'Variable Management'!$B$34</definedName>
    <definedName name="_Don2">'Variable Management'!$B$49</definedName>
    <definedName name="Acs">'Variable Management'!$B$207</definedName>
    <definedName name="Acs_Ch2">'Variable Management'!$D$207</definedName>
    <definedName name="Adc" localSheetId="5">'Ch2 Stability Calculations'!$Q$3</definedName>
    <definedName name="Adc">'Stability Calculations'!$Q$3</definedName>
    <definedName name="AEA">'Variable Management'!$B$205</definedName>
    <definedName name="Afb">'Variable Management'!$B$206</definedName>
    <definedName name="Afb_Ch2">'Variable Management'!$D$206</definedName>
    <definedName name="Am">'Variable Management'!$B$209</definedName>
    <definedName name="Am_buck">'Variable Management'!$B$208</definedName>
    <definedName name="Am_buck_Ch2">'Variable Management'!$D$208</definedName>
    <definedName name="Am_Ch2">'Variable Management'!$D$209</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Management'!$B$178</definedName>
    <definedName name="Cbw">'Variable Management'!$B$203</definedName>
    <definedName name="Cby">'Variable Management'!$B$177</definedName>
    <definedName name="Cc1ea">'Variable Management'!$B$226</definedName>
    <definedName name="Cc1ea_u">'Variable Management'!$B$231</definedName>
    <definedName name="Cc2ea">'Variable Management'!$B$227</definedName>
    <definedName name="Cc2ea_u">'Variable Management'!$B$232</definedName>
    <definedName name="Cc3ea">'Variable Management'!$D$226</definedName>
    <definedName name="Cc3ea_u">'Variable Management'!$D$231</definedName>
    <definedName name="Cc4ea">'Variable Management'!$D$227</definedName>
    <definedName name="Cc4ea_u">'Variable Management'!$D$232</definedName>
    <definedName name="Cdither">'Variable Management'!$B$177</definedName>
    <definedName name="Cdither_init">'Variable Management'!$B$176</definedName>
    <definedName name="Cin">'Variable Management'!$B$146</definedName>
    <definedName name="CinEsrMax">'Variable Management'!$B$149</definedName>
    <definedName name="Cinmin">'Variable Management'!$B$144</definedName>
    <definedName name="Core_Loss_Ch1">'Design Regulator'!$O$75</definedName>
    <definedName name="Coss_Q1">'Variable Management'!$B$279</definedName>
    <definedName name="Coss_Q2">'Variable Management'!$D$279</definedName>
    <definedName name="Coss_Q3">'Variable Management'!$B$298</definedName>
    <definedName name="Coss_Q4">'Variable Management'!$D$298</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Management'!$B$167</definedName>
    <definedName name="Cres_u">'Variable Management'!$B$168</definedName>
    <definedName name="CSAmp_gain">'Variable Management'!$B$182</definedName>
    <definedName name="Csb">'Variable Management'!$B$175</definedName>
    <definedName name="Css">'Variable Management'!$B$162</definedName>
    <definedName name="Css_u">'Variable Management'!$B$163</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Management'!$B$268</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Management'!$B$20</definedName>
    <definedName name="Ext_VCC">'Variable Management'!$X$15</definedName>
    <definedName name="Fcross">'Variable Management'!$B$224</definedName>
    <definedName name="Fcross_Ch2">'Variable Management'!$D$224</definedName>
    <definedName name="Fdither">'Variable Management'!$B$175</definedName>
    <definedName name="Fesr">'Variable Management'!$B$221</definedName>
    <definedName name="Fesr_Ch2">'Variable Management'!$D$221</definedName>
    <definedName name="Fload_u">'Variable Management'!$B$216</definedName>
    <definedName name="Fload_u_Ch2">'Variable Management'!$D$216</definedName>
    <definedName name="Fp_dominant">'Variable Management'!$B$217</definedName>
    <definedName name="Fp_dominant_Ch2">'Variable Management'!$D$217</definedName>
    <definedName name="Fp1_u">'Variable Management'!$B$219</definedName>
    <definedName name="Fp1_u_Ch2">'Variable Management'!$D$219</definedName>
    <definedName name="Fp2_u">'Variable Management'!$B$220</definedName>
    <definedName name="Fp2_u_Ch2">'Variable Management'!$D$220</definedName>
    <definedName name="Frhp" localSheetId="6">'Variable Management'!#REF!</definedName>
    <definedName name="Frhp" localSheetId="8">'Variable Management'!#REF!</definedName>
    <definedName name="Frhp" localSheetId="5">'Variable Management'!#REF!</definedName>
    <definedName name="Frhp">'Variable Management'!#REF!</definedName>
    <definedName name="Fsw">'Variable Management'!$B$27</definedName>
    <definedName name="Fz1_u">'Variable Management'!$B$235</definedName>
    <definedName name="Fz1_u_Ch2">'Variable Management'!$D$235</definedName>
    <definedName name="GBW">'Variable Management'!$B$202</definedName>
    <definedName name="Gfs_Q1">'Variable Management'!$B$281</definedName>
    <definedName name="Gfs_Q2">'Variable Management'!$D$281</definedName>
    <definedName name="Gfs_Q3">'Variable Management'!$B$300</definedName>
    <definedName name="Gfs_Q4">'Variable Management'!$D$300</definedName>
    <definedName name="gm">'Variable Management'!$B$184</definedName>
    <definedName name="Ch1_VOUT">'Variable Management'!$L$16</definedName>
    <definedName name="Ch2_VOUT">'Variable Management'!$O$16</definedName>
    <definedName name="Icoutrms">'Variable Management'!$B$111</definedName>
    <definedName name="Iin_Vinmax">'Variable Management'!$B$25</definedName>
    <definedName name="Iin_Vinmin">'Variable Management'!$B$23</definedName>
    <definedName name="Iin_Vinnom">'Variable Management'!$B$24</definedName>
    <definedName name="IL_peak_OCP" localSheetId="8">'Variable Management'!#REF!</definedName>
    <definedName name="IL1_peak_buckboost" localSheetId="8">'Variable Management'!#REF!</definedName>
    <definedName name="Ilimit_DC">'Variable Management'!$B$77</definedName>
    <definedName name="Ilimit2_DC">'Variable Management'!$D$77</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6">'Variable Management'!#REF!</definedName>
    <definedName name="Iout_threshold" localSheetId="8">'Variable Management'!#REF!</definedName>
    <definedName name="Iout_threshold" localSheetId="5">'Variable Management'!#REF!</definedName>
    <definedName name="Iout_threshold">'Variable Management'!#REF!</definedName>
    <definedName name="Iout2">'Variable Management'!$B$14</definedName>
    <definedName name="Iout2_OCP_Vinmax">'Variable Management'!$D$99</definedName>
    <definedName name="Iout2_OCP_Vinmin">'Variable Management'!$D$97</definedName>
    <definedName name="Iout2_OCP_Vinnom">'Variable Management'!$D$98</definedName>
    <definedName name="Iq">'Variable Management'!$B$270</definedName>
    <definedName name="Ireverse">'Variable Management'!$B$312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Management'!$B$161</definedName>
    <definedName name="k">'Variable Management'!$B$198</definedName>
    <definedName name="k_buck">'Variable Management'!$B$195</definedName>
    <definedName name="k_Ch2">'Variable Management'!$D$198</definedName>
    <definedName name="Lf">'Variable Management'!$B$46</definedName>
    <definedName name="Lo_2">'Variable Management'!$D$46</definedName>
    <definedName name="Lopt">'Variable Management'!$B$44</definedName>
    <definedName name="Lopt2">'Variable Management'!$D$44</definedName>
    <definedName name="Ltc">'Variable Management'!$B$255</definedName>
    <definedName name="mc">'Variable Management'!$B$197</definedName>
    <definedName name="mc_buck">'Variable Management'!$B$194</definedName>
    <definedName name="mc_buck_Ch2">'Variable Management'!$D$194</definedName>
    <definedName name="mc_Ch2">'Variable Management'!$D$197</definedName>
    <definedName name="MODE">'Variable Management'!$U$13</definedName>
    <definedName name="Number_of_Phases">'Variable Management'!$U$15</definedName>
    <definedName name="_xlnm.Print_Area" localSheetId="1">'BOM &amp; Schematic'!$A$1:$J$81</definedName>
    <definedName name="_xlnm.Print_Area" localSheetId="0">'Design Regulator'!$A$1:$Q$109</definedName>
    <definedName name="Pi">'Variable Management'!$B$181</definedName>
    <definedName name="PICTURE">INDIRECT('Efficiency Plot Management'!$A$2)</definedName>
    <definedName name="PICTURE2" localSheetId="1">INDIRECT('Schematic Management'!$A$2)</definedName>
    <definedName name="PICTURE2" localSheetId="0">INDIRECT('Schematic Management'!$A$2)</definedName>
    <definedName name="PICTURE3">INDIRECT('Bode Plot Management'!$A$2)</definedName>
    <definedName name="Pin">'Variable Management'!$B$21</definedName>
    <definedName name="PLOT_TYPE">'Variable Management'!$L$10</definedName>
    <definedName name="pole1" localSheetId="5">'Ch2 Stability Calculations'!$K$4</definedName>
    <definedName name="pole1">'Stability Calculations'!$K$4</definedName>
    <definedName name="Pole2" localSheetId="5">'Ch2 Stability Calculations'!$C$5</definedName>
    <definedName name="Pole2">'Stability Calculations'!$C$5</definedName>
    <definedName name="pole3" localSheetId="5">'Ch2 Stability Calculations'!$N$3</definedName>
    <definedName name="pole3">'Stability Calculations'!$N$3</definedName>
    <definedName name="pole4" localSheetId="5">'Ch2 Stability Calculations'!$C$7</definedName>
    <definedName name="pole4">'Stability Calculations'!$C$7</definedName>
    <definedName name="Pout">'Variable Management'!$B$18</definedName>
    <definedName name="pterm1" localSheetId="5">'Ch2 Stability Calculations'!$N$4</definedName>
    <definedName name="pterm1">'Stability Calculations'!$N$4</definedName>
    <definedName name="pterm2" localSheetId="5">'Ch2 Stability Calculations'!$N$5</definedName>
    <definedName name="pterm2">'Stability Calculations'!$N$5</definedName>
    <definedName name="Q">'Variable Management'!$B$199</definedName>
    <definedName name="Q_Ch2">'Variable Management'!$D$199</definedName>
    <definedName name="Qg_Q1">'Variable Management'!$B$275</definedName>
    <definedName name="Qg_Q2">'Variable Management'!$D$275</definedName>
    <definedName name="Qg_Q3">'Variable Management'!$B$294</definedName>
    <definedName name="Qg_Q4">'Variable Management'!$D$294</definedName>
    <definedName name="Qgd_Q1">'Variable Management'!$B$276</definedName>
    <definedName name="Qgd_Q2">'Variable Management'!$D$276</definedName>
    <definedName name="Qgd_Q3">'Variable Management'!$B$295</definedName>
    <definedName name="Qgd_Q4">'Variable Management'!$D$295</definedName>
    <definedName name="Qgs_Q1">'Variable Management'!$B$277</definedName>
    <definedName name="Qgs_Q2">'Variable Management'!$D$277</definedName>
    <definedName name="Qgs_Q3">'Variable Management'!$B$296</definedName>
    <definedName name="Qgs_Q4">'Variable Management'!$D$296</definedName>
    <definedName name="Qoss_Q1">'Variable Management'!$B$278</definedName>
    <definedName name="Qoss_Q2">'Variable Management'!$D$278</definedName>
    <definedName name="Qoss_Q3">'Variable Management'!$B$297</definedName>
    <definedName name="Qoss_Q4">'Variable Management'!$D$297</definedName>
    <definedName name="Qrr_Q2">'Variable Management'!$D$286</definedName>
    <definedName name="Qrr_Q4">'Variable Management'!$D$305</definedName>
    <definedName name="QrrSky_Q2">'Variable Management'!$B$311</definedName>
    <definedName name="QrrSky_Q4">'Variable Management'!$D$311</definedName>
    <definedName name="radconv" localSheetId="5">'Ch2 Stability Calculations'!$Q$6</definedName>
    <definedName name="radconv">'Stability Calculations'!$Q$6</definedName>
    <definedName name="Rcea1">'Variable Management'!$B$225</definedName>
    <definedName name="Rcea1_u">'Variable Management'!$B$230</definedName>
    <definedName name="Rcea2">'Variable Management'!$D$225</definedName>
    <definedName name="Rcea2_u">'Variable Management'!$D$230</definedName>
    <definedName name="RCinEsr">'Variable Management'!$B$151</definedName>
    <definedName name="RCoutEsr">'Variable Management'!$B$126</definedName>
    <definedName name="Rdcr">'Variable Management'!$B$47</definedName>
    <definedName name="Rdcr2">'Variable Management'!$D$47</definedName>
    <definedName name="Rdson1">'Variable Management'!$B$273</definedName>
    <definedName name="Rdson2">'Variable Management'!$D$273</definedName>
    <definedName name="Rdson3">'Variable Management'!$B$292</definedName>
    <definedName name="Rdson4">'Variable Management'!$D$292</definedName>
    <definedName name="RdsonBotTc">'Variable Management'!$B$293</definedName>
    <definedName name="RdsonDRB">'Variable Management'!$B$265</definedName>
    <definedName name="RdsonDRB2">'Variable Management'!$B$266</definedName>
    <definedName name="RdsonDRT">'Variable Management'!$B$262</definedName>
    <definedName name="RdsonDRT2">'Variable Management'!$B$263</definedName>
    <definedName name="RdsonTopTc">'Variable Management'!$B$274</definedName>
    <definedName name="Rfadj">'Variable Management'!$B$30</definedName>
    <definedName name="Rfb1_">'Variable Management'!$B$238</definedName>
    <definedName name="Rfb2_">'Variable Management'!$B$239</definedName>
    <definedName name="Rfb2_u">'Variable Management'!$B$240</definedName>
    <definedName name="Rfb3_">'Variable Management'!$D$238</definedName>
    <definedName name="Rfb4_">'Variable Management'!$D$239</definedName>
    <definedName name="Rfb4_u">'Variable Management'!$D$240</definedName>
    <definedName name="Rfets">'Variable Management'!$B$244</definedName>
    <definedName name="Rgate1">'Variable Management'!$B$280</definedName>
    <definedName name="Rgate2">'Variable Management'!$D$280</definedName>
    <definedName name="Rgate3">'Variable Management'!$B$299</definedName>
    <definedName name="Rgate4">'Variable Management'!$D$299</definedName>
    <definedName name="Ri">'Variable Management'!$B$183</definedName>
    <definedName name="Ri_Ch2">'Variable Management'!$D$183</definedName>
    <definedName name="Ro">'Variable Management'!$B$214</definedName>
    <definedName name="Ro_Ch2">'Variable Management'!$D$214</definedName>
    <definedName name="RoEA">'Variable Management'!$B$204</definedName>
    <definedName name="Rout">'Variable Management'!$B$16</definedName>
    <definedName name="Rout2">'Variable Management'!$B$17</definedName>
    <definedName name="Rpg">'Variable Management'!$B$170</definedName>
    <definedName name="Rs">'Variable Management'!$B$93</definedName>
    <definedName name="Rs_Ch2">'Variable Management'!$D$93</definedName>
    <definedName name="Rs_ideal">'Variable Management'!$B$92</definedName>
    <definedName name="Rs2_ideal">'Variable Management'!$D$92</definedName>
    <definedName name="Se_ext">'Variable Management'!$B$186</definedName>
    <definedName name="Se_ext_Ch2">'Variable Management'!$D$186</definedName>
    <definedName name="SENSING_TYPE">'Variable Management'!$AA$17</definedName>
    <definedName name="Sf">'Variable Management'!$B$188</definedName>
    <definedName name="Sf_Ch2">'Variable Management'!$D$188</definedName>
    <definedName name="SCH_DUAL">'Schematic Management'!$B$5</definedName>
    <definedName name="SCH_MODE">'Variable Management'!$U$12</definedName>
    <definedName name="SCH_MULTIPHASE">'Schematic Management'!$B$10</definedName>
    <definedName name="SCH_SINGLE">'Schematic Management'!$B$8</definedName>
    <definedName name="SINGLE_OUTPUT">'Variable Management'!$U$14</definedName>
    <definedName name="Sn">'Variable Management'!$B$187</definedName>
    <definedName name="Sn_Ch2">'Variable Management'!$D$187</definedName>
    <definedName name="Ta">'Variable Management'!$B$253</definedName>
    <definedName name="Tf_buck">'Variable Management'!$B$319</definedName>
    <definedName name="Tf_Ch2">'Variable Management'!$D$319</definedName>
    <definedName name="ThetaCa">'Variable Management'!$B$256</definedName>
    <definedName name="ThetaJA_Q1">'Variable Management'!$B$288</definedName>
    <definedName name="ThetaJA_Q2">'Variable Management'!$D$288</definedName>
    <definedName name="ThetaJA_Q3">'Variable Management'!$B$307</definedName>
    <definedName name="ThetaJA_Q4">'Variable Management'!$D$307</definedName>
    <definedName name="ThetaJaCtrl">'Variable Management'!$B$315</definedName>
    <definedName name="TL">'Variable Management'!$B$73</definedName>
    <definedName name="Tr_buck">'Variable Management'!$B$318</definedName>
    <definedName name="Tr_Ch2">'Variable Management'!$D$318</definedName>
    <definedName name="Tres">'Variable Management'!$B$166</definedName>
    <definedName name="Trr_Q1">'Variable Management'!$B$287</definedName>
    <definedName name="Trr_Q2">'Variable Management'!$D$287</definedName>
    <definedName name="Trr_Q3">'Variable Management'!$B$306</definedName>
    <definedName name="Trr_Q4">'Variable Management'!$D$306</definedName>
    <definedName name="Ts">'Variable Management'!$B$28</definedName>
    <definedName name="Tss">'Variable Management'!$B$160</definedName>
    <definedName name="VARIANT">'Variable Management'!$Y$25</definedName>
    <definedName name="VCC">'Variable Management'!$B$260</definedName>
    <definedName name="VfdSky_Q2">'Variable Management'!$B$310</definedName>
    <definedName name="VfdSky_Q4">'Variable Management'!$D$310</definedName>
    <definedName name="Vin">'Variable Management'!$B$8</definedName>
    <definedName name="VIN_max">'Variable Management'!$B$9</definedName>
    <definedName name="VIN_MAX_RATING">'Variable Management'!$X$26</definedName>
    <definedName name="VIN_min">'Variable Management'!$B$7</definedName>
    <definedName name="VIN_nom">'Variable Management'!$B$8</definedName>
    <definedName name="Vinripple1">'Variable Management'!$B$140</definedName>
    <definedName name="Vinripple2">'Variable Management'!$B$140+'Variable Management'!$D$140</definedName>
    <definedName name="Vo1_ripple">'Variable Management'!$B$116</definedName>
    <definedName name="Vo2_ripple">'Variable Management'!$D$116</definedName>
    <definedName name="Vout">'Variable Management'!$B$11</definedName>
    <definedName name="VOUT_MAX_RATING">'Variable Management'!$X$27</definedName>
    <definedName name="Vout2">'Variable Management'!$B$13</definedName>
    <definedName name="Vref">'Variable Management'!$B$29</definedName>
    <definedName name="Vsd_Q1">'Variable Management'!$B$285</definedName>
    <definedName name="Vsd_Q2">'Variable Management'!$D$285</definedName>
    <definedName name="Vsd_Q3">'Variable Management'!$B$304</definedName>
    <definedName name="Vsd_Q4">'Variable Management'!$D$304</definedName>
    <definedName name="Vsp_Q1">'Variable Management'!$B$283</definedName>
    <definedName name="Vsp_Q2">'Variable Management'!$D$283</definedName>
    <definedName name="Vsp_Q3">'Variable Management'!$B$302</definedName>
    <definedName name="Vsp_Q4">'Variable Management'!$D$302</definedName>
    <definedName name="Vth_Q1">'Variable Management'!$B$282</definedName>
    <definedName name="Vth_Q2">'Variable Management'!$D$282</definedName>
    <definedName name="Vth_Q3">'Variable Management'!$B$301</definedName>
    <definedName name="Vth_Q4">'Variable Management'!$D$301</definedName>
    <definedName name="z_RHP" localSheetId="5">'Ch2 Stability Calculations'!$K$5</definedName>
    <definedName name="z_RHP">'Stability Calculations'!$K$5</definedName>
    <definedName name="Zero1" localSheetId="5">'Ch2 Stability Calculations'!$K$3</definedName>
    <definedName name="Zero1">'Stability Calculations'!$K$3</definedName>
    <definedName name="Zero2" localSheetId="5">'Ch2 Stability Calculations'!$C$4</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7" i="1" l="1"/>
  <c r="E17" i="1"/>
  <c r="X25" i="2"/>
  <c r="D75" i="16" l="1"/>
  <c r="C75" i="16"/>
  <c r="I75" i="16"/>
  <c r="X27" i="2"/>
  <c r="X26" i="2"/>
  <c r="D93" i="2" l="1"/>
  <c r="AN111" i="23" s="1"/>
  <c r="F87" i="2" l="1"/>
  <c r="AA19" i="2"/>
  <c r="B298" i="2" l="1"/>
  <c r="D298" i="2"/>
  <c r="D297" i="2"/>
  <c r="B297" i="2"/>
  <c r="D279" i="2"/>
  <c r="D278" i="2"/>
  <c r="B279" i="2"/>
  <c r="B278" i="2"/>
  <c r="L37" i="1" l="1"/>
  <c r="Q37" i="1"/>
  <c r="L35" i="1"/>
  <c r="L38" i="1"/>
  <c r="D69" i="1" l="1"/>
  <c r="AE687" i="25"/>
  <c r="V613" i="25"/>
  <c r="B613" i="25"/>
  <c r="V612" i="25"/>
  <c r="B612" i="25"/>
  <c r="V611" i="25"/>
  <c r="B611" i="25"/>
  <c r="V610" i="25"/>
  <c r="B610" i="25"/>
  <c r="V609" i="25"/>
  <c r="B609" i="25"/>
  <c r="V608" i="25"/>
  <c r="B608" i="25"/>
  <c r="V607" i="25"/>
  <c r="B607" i="25"/>
  <c r="V606" i="25"/>
  <c r="B606" i="25"/>
  <c r="V605" i="25"/>
  <c r="B605" i="25"/>
  <c r="V604" i="25"/>
  <c r="B604" i="25"/>
  <c r="V603" i="25"/>
  <c r="B603" i="25"/>
  <c r="V602" i="25"/>
  <c r="B602" i="25"/>
  <c r="V601" i="25"/>
  <c r="B601" i="25"/>
  <c r="V600" i="25"/>
  <c r="B600" i="25"/>
  <c r="V599" i="25"/>
  <c r="B599" i="25"/>
  <c r="V598" i="25"/>
  <c r="B598" i="25"/>
  <c r="V597" i="25"/>
  <c r="B597" i="25"/>
  <c r="V596" i="25"/>
  <c r="B596" i="25"/>
  <c r="V595" i="25"/>
  <c r="B595" i="25"/>
  <c r="V594" i="25"/>
  <c r="B594" i="25"/>
  <c r="V593" i="25"/>
  <c r="B593" i="25"/>
  <c r="V592" i="25"/>
  <c r="B592" i="25"/>
  <c r="V591" i="25"/>
  <c r="B591" i="25"/>
  <c r="V590" i="25"/>
  <c r="B590" i="25"/>
  <c r="V589" i="25"/>
  <c r="B589" i="25"/>
  <c r="V588" i="25"/>
  <c r="B588" i="25"/>
  <c r="V587" i="25"/>
  <c r="B587" i="25"/>
  <c r="V586" i="25"/>
  <c r="B586" i="25"/>
  <c r="V585" i="25"/>
  <c r="B585" i="25"/>
  <c r="V584" i="25"/>
  <c r="B584" i="25"/>
  <c r="V583" i="25"/>
  <c r="B583" i="25"/>
  <c r="V582" i="25"/>
  <c r="B582" i="25"/>
  <c r="V581" i="25"/>
  <c r="B581" i="25"/>
  <c r="V580" i="25"/>
  <c r="B580" i="25"/>
  <c r="V579" i="25"/>
  <c r="B579" i="25"/>
  <c r="V578" i="25"/>
  <c r="B578" i="25"/>
  <c r="V577" i="25"/>
  <c r="B577" i="25"/>
  <c r="V576" i="25"/>
  <c r="B576" i="25"/>
  <c r="V575" i="25"/>
  <c r="B575" i="25"/>
  <c r="V574" i="25"/>
  <c r="B574" i="25"/>
  <c r="V573" i="25"/>
  <c r="B573" i="25"/>
  <c r="V572" i="25"/>
  <c r="B572" i="25"/>
  <c r="V571" i="25"/>
  <c r="B571" i="25"/>
  <c r="V570" i="25"/>
  <c r="B570" i="25"/>
  <c r="V569" i="25"/>
  <c r="B569" i="25"/>
  <c r="V568" i="25"/>
  <c r="B568" i="25"/>
  <c r="V567" i="25"/>
  <c r="B567" i="25"/>
  <c r="V566" i="25"/>
  <c r="B566" i="25"/>
  <c r="V565" i="25"/>
  <c r="B565" i="25"/>
  <c r="V564" i="25"/>
  <c r="B564" i="25"/>
  <c r="V563" i="25"/>
  <c r="B563" i="25"/>
  <c r="V562" i="25"/>
  <c r="B562" i="25"/>
  <c r="V561" i="25"/>
  <c r="B561" i="25"/>
  <c r="V560" i="25"/>
  <c r="B560" i="25"/>
  <c r="V559" i="25"/>
  <c r="B559" i="25"/>
  <c r="V558" i="25"/>
  <c r="B558" i="25"/>
  <c r="V557" i="25"/>
  <c r="B557" i="25"/>
  <c r="V556" i="25"/>
  <c r="B556" i="25"/>
  <c r="V555" i="25"/>
  <c r="B555" i="25"/>
  <c r="V554" i="25"/>
  <c r="B554" i="25"/>
  <c r="V553" i="25"/>
  <c r="B553" i="25"/>
  <c r="V552" i="25"/>
  <c r="B552" i="25"/>
  <c r="V551" i="25"/>
  <c r="B551" i="25"/>
  <c r="V550" i="25"/>
  <c r="B550" i="25"/>
  <c r="V549" i="25"/>
  <c r="B549" i="25"/>
  <c r="V548" i="25"/>
  <c r="B548" i="25"/>
  <c r="V547" i="25"/>
  <c r="B547" i="25"/>
  <c r="V546" i="25"/>
  <c r="B546" i="25"/>
  <c r="V545" i="25"/>
  <c r="B545" i="25"/>
  <c r="V544" i="25"/>
  <c r="B544" i="25"/>
  <c r="V543" i="25"/>
  <c r="B543" i="25"/>
  <c r="V542" i="25"/>
  <c r="B542" i="25"/>
  <c r="V541" i="25"/>
  <c r="B541" i="25"/>
  <c r="V540" i="25"/>
  <c r="B540" i="25"/>
  <c r="V539" i="25"/>
  <c r="B539" i="25"/>
  <c r="V538" i="25"/>
  <c r="B538" i="25"/>
  <c r="V537" i="25"/>
  <c r="B537" i="25"/>
  <c r="V536" i="25"/>
  <c r="B536" i="25"/>
  <c r="V535" i="25"/>
  <c r="B535" i="25"/>
  <c r="V534" i="25"/>
  <c r="B534" i="25"/>
  <c r="V533" i="25"/>
  <c r="B533" i="25"/>
  <c r="V532" i="25"/>
  <c r="B532" i="25"/>
  <c r="V531" i="25"/>
  <c r="B531" i="25"/>
  <c r="V530" i="25"/>
  <c r="B530" i="25"/>
  <c r="V529" i="25"/>
  <c r="B529" i="25"/>
  <c r="V528" i="25"/>
  <c r="B528" i="25"/>
  <c r="V527" i="25"/>
  <c r="B527" i="25"/>
  <c r="V526" i="25"/>
  <c r="B526" i="25"/>
  <c r="V525" i="25"/>
  <c r="B525" i="25"/>
  <c r="V524" i="25"/>
  <c r="B524" i="25"/>
  <c r="V523" i="25"/>
  <c r="B523" i="25"/>
  <c r="V522" i="25"/>
  <c r="B522" i="25"/>
  <c r="V521" i="25"/>
  <c r="B521" i="25"/>
  <c r="V520" i="25"/>
  <c r="B520" i="25"/>
  <c r="V519" i="25"/>
  <c r="B519" i="25"/>
  <c r="V518" i="25"/>
  <c r="B518" i="25"/>
  <c r="V517" i="25"/>
  <c r="B517" i="25"/>
  <c r="V516" i="25"/>
  <c r="B516" i="25"/>
  <c r="V515" i="25"/>
  <c r="B515" i="25"/>
  <c r="V514" i="25"/>
  <c r="B514" i="25"/>
  <c r="V513" i="25"/>
  <c r="B513" i="25"/>
  <c r="V512" i="25"/>
  <c r="B512" i="25"/>
  <c r="V511" i="25"/>
  <c r="B511" i="25"/>
  <c r="V510" i="25"/>
  <c r="B510" i="25"/>
  <c r="V509" i="25"/>
  <c r="B509" i="25"/>
  <c r="V508" i="25"/>
  <c r="B508" i="25"/>
  <c r="V507" i="25"/>
  <c r="B507" i="25"/>
  <c r="V506" i="25"/>
  <c r="B506" i="25"/>
  <c r="V505" i="25"/>
  <c r="B505" i="25"/>
  <c r="V504" i="25"/>
  <c r="B504" i="25"/>
  <c r="V503" i="25"/>
  <c r="B503" i="25"/>
  <c r="V502" i="25"/>
  <c r="B502" i="25"/>
  <c r="V501" i="25"/>
  <c r="B501" i="25"/>
  <c r="V500" i="25"/>
  <c r="B500" i="25"/>
  <c r="V499" i="25"/>
  <c r="B499" i="25"/>
  <c r="V498" i="25"/>
  <c r="B498" i="25"/>
  <c r="V497" i="25"/>
  <c r="B497" i="25"/>
  <c r="V496" i="25"/>
  <c r="B496" i="25"/>
  <c r="V495" i="25"/>
  <c r="B495" i="25"/>
  <c r="V494" i="25"/>
  <c r="B494" i="25"/>
  <c r="V493" i="25"/>
  <c r="B493" i="25"/>
  <c r="V492" i="25"/>
  <c r="B492" i="25"/>
  <c r="V491" i="25"/>
  <c r="B491" i="25"/>
  <c r="V490" i="25"/>
  <c r="B490" i="25"/>
  <c r="V489" i="25"/>
  <c r="B489" i="25"/>
  <c r="V488" i="25"/>
  <c r="B488" i="25"/>
  <c r="V487" i="25"/>
  <c r="B487" i="25"/>
  <c r="V486" i="25"/>
  <c r="B486" i="25"/>
  <c r="V485" i="25"/>
  <c r="B485" i="25"/>
  <c r="V484" i="25"/>
  <c r="B484" i="25"/>
  <c r="V483" i="25"/>
  <c r="B483" i="25"/>
  <c r="V482" i="25"/>
  <c r="B482" i="25"/>
  <c r="V481" i="25"/>
  <c r="B481" i="25"/>
  <c r="V480" i="25"/>
  <c r="B480" i="25"/>
  <c r="V479" i="25"/>
  <c r="B479" i="25"/>
  <c r="V478" i="25"/>
  <c r="B478" i="25"/>
  <c r="V477" i="25"/>
  <c r="B477" i="25"/>
  <c r="V476" i="25"/>
  <c r="B476" i="25"/>
  <c r="V475" i="25"/>
  <c r="B475" i="25"/>
  <c r="V474" i="25"/>
  <c r="B474" i="25"/>
  <c r="V473" i="25"/>
  <c r="B473" i="25"/>
  <c r="V472" i="25"/>
  <c r="B472" i="25"/>
  <c r="V471" i="25"/>
  <c r="B471" i="25"/>
  <c r="V470" i="25"/>
  <c r="B470" i="25"/>
  <c r="V469" i="25"/>
  <c r="B469" i="25"/>
  <c r="V468" i="25"/>
  <c r="B468" i="25"/>
  <c r="V467" i="25"/>
  <c r="B467" i="25"/>
  <c r="V466" i="25"/>
  <c r="B466" i="25"/>
  <c r="V465" i="25"/>
  <c r="B465" i="25"/>
  <c r="V464" i="25"/>
  <c r="B464" i="25"/>
  <c r="V463" i="25"/>
  <c r="B463" i="25"/>
  <c r="V462" i="25"/>
  <c r="B462" i="25"/>
  <c r="V461" i="25"/>
  <c r="B461" i="25"/>
  <c r="V460" i="25"/>
  <c r="B460" i="25"/>
  <c r="V459" i="25"/>
  <c r="B459" i="25"/>
  <c r="V458" i="25"/>
  <c r="B458" i="25"/>
  <c r="V457" i="25"/>
  <c r="B457" i="25"/>
  <c r="V456" i="25"/>
  <c r="B456" i="25"/>
  <c r="V455" i="25"/>
  <c r="B455" i="25"/>
  <c r="V454" i="25"/>
  <c r="B454" i="25"/>
  <c r="V453" i="25"/>
  <c r="B453" i="25"/>
  <c r="V452" i="25"/>
  <c r="B452" i="25"/>
  <c r="V451" i="25"/>
  <c r="B451" i="25"/>
  <c r="V450" i="25"/>
  <c r="B450" i="25"/>
  <c r="V449" i="25"/>
  <c r="B449" i="25"/>
  <c r="V448" i="25"/>
  <c r="B448" i="25"/>
  <c r="V447" i="25"/>
  <c r="B447" i="25"/>
  <c r="V446" i="25"/>
  <c r="B446" i="25"/>
  <c r="V445" i="25"/>
  <c r="B445" i="25"/>
  <c r="V444" i="25"/>
  <c r="B444" i="25"/>
  <c r="V443" i="25"/>
  <c r="B443" i="25"/>
  <c r="V442" i="25"/>
  <c r="B442" i="25"/>
  <c r="V441" i="25"/>
  <c r="B441" i="25"/>
  <c r="V440" i="25"/>
  <c r="B440" i="25"/>
  <c r="V439" i="25"/>
  <c r="B439" i="25"/>
  <c r="V438" i="25"/>
  <c r="B438" i="25"/>
  <c r="V437" i="25"/>
  <c r="B437" i="25"/>
  <c r="V436" i="25"/>
  <c r="B436" i="25"/>
  <c r="V435" i="25"/>
  <c r="B435" i="25"/>
  <c r="V434" i="25"/>
  <c r="B434" i="25"/>
  <c r="V433" i="25"/>
  <c r="B433" i="25"/>
  <c r="V432" i="25"/>
  <c r="B432" i="25"/>
  <c r="V431" i="25"/>
  <c r="B431" i="25"/>
  <c r="V430" i="25"/>
  <c r="B430" i="25"/>
  <c r="V429" i="25"/>
  <c r="B429" i="25"/>
  <c r="V428" i="25"/>
  <c r="B428" i="25"/>
  <c r="V427" i="25"/>
  <c r="B427" i="25"/>
  <c r="V426" i="25"/>
  <c r="B426" i="25"/>
  <c r="V425" i="25"/>
  <c r="B425" i="25"/>
  <c r="V424" i="25"/>
  <c r="B424" i="25"/>
  <c r="V423" i="25"/>
  <c r="B423" i="25"/>
  <c r="V422" i="25"/>
  <c r="B422" i="25"/>
  <c r="V421" i="25"/>
  <c r="B421" i="25"/>
  <c r="V420" i="25"/>
  <c r="B420" i="25"/>
  <c r="V419" i="25"/>
  <c r="B419" i="25"/>
  <c r="V418" i="25"/>
  <c r="B418" i="25"/>
  <c r="V417" i="25"/>
  <c r="B417" i="25"/>
  <c r="V416" i="25"/>
  <c r="B416" i="25"/>
  <c r="V415" i="25"/>
  <c r="B415" i="25"/>
  <c r="V414" i="25"/>
  <c r="B414" i="25"/>
  <c r="V413" i="25"/>
  <c r="B413" i="25"/>
  <c r="V412" i="25"/>
  <c r="B412" i="25"/>
  <c r="V411" i="25"/>
  <c r="B411" i="25"/>
  <c r="V410" i="25"/>
  <c r="B410" i="25"/>
  <c r="V409" i="25"/>
  <c r="B409" i="25"/>
  <c r="V408" i="25"/>
  <c r="B408" i="25"/>
  <c r="V407" i="25"/>
  <c r="B407" i="25"/>
  <c r="V406" i="25"/>
  <c r="B406" i="25"/>
  <c r="V405" i="25"/>
  <c r="B405" i="25"/>
  <c r="V404" i="25"/>
  <c r="B404" i="25"/>
  <c r="V403" i="25"/>
  <c r="B403" i="25"/>
  <c r="V402" i="25"/>
  <c r="B402" i="25"/>
  <c r="V401" i="25"/>
  <c r="B401" i="25"/>
  <c r="V400" i="25"/>
  <c r="B400" i="25"/>
  <c r="V399" i="25"/>
  <c r="B399" i="25"/>
  <c r="V398" i="25"/>
  <c r="B398" i="25"/>
  <c r="V397" i="25"/>
  <c r="B397" i="25"/>
  <c r="V396" i="25"/>
  <c r="B396" i="25"/>
  <c r="V395" i="25"/>
  <c r="B395" i="25"/>
  <c r="V394" i="25"/>
  <c r="B394" i="25"/>
  <c r="V393" i="25"/>
  <c r="B393" i="25"/>
  <c r="V392" i="25"/>
  <c r="B392" i="25"/>
  <c r="V391" i="25"/>
  <c r="B391" i="25"/>
  <c r="V390" i="25"/>
  <c r="B390" i="25"/>
  <c r="V389" i="25"/>
  <c r="B389" i="25"/>
  <c r="V388" i="25"/>
  <c r="B388" i="25"/>
  <c r="V387" i="25"/>
  <c r="B387" i="25"/>
  <c r="V386" i="25"/>
  <c r="B386" i="25"/>
  <c r="V385" i="25"/>
  <c r="B385" i="25"/>
  <c r="V384" i="25"/>
  <c r="B384" i="25"/>
  <c r="V383" i="25"/>
  <c r="B383" i="25"/>
  <c r="V382" i="25"/>
  <c r="B382" i="25"/>
  <c r="V381" i="25"/>
  <c r="B381" i="25"/>
  <c r="V380" i="25"/>
  <c r="B380" i="25"/>
  <c r="V379" i="25"/>
  <c r="B379" i="25"/>
  <c r="V378" i="25"/>
  <c r="B378" i="25"/>
  <c r="V377" i="25"/>
  <c r="B377" i="25"/>
  <c r="V376" i="25"/>
  <c r="B376" i="25"/>
  <c r="V375" i="25"/>
  <c r="B375" i="25"/>
  <c r="V374" i="25"/>
  <c r="B374" i="25"/>
  <c r="V373" i="25"/>
  <c r="B373" i="25"/>
  <c r="V372" i="25"/>
  <c r="B372" i="25"/>
  <c r="V371" i="25"/>
  <c r="B371" i="25"/>
  <c r="V370" i="25"/>
  <c r="B370" i="25"/>
  <c r="V369" i="25"/>
  <c r="B369" i="25"/>
  <c r="V368" i="25"/>
  <c r="B368" i="25"/>
  <c r="V367" i="25"/>
  <c r="B367" i="25"/>
  <c r="V366" i="25"/>
  <c r="B366" i="25"/>
  <c r="V365" i="25"/>
  <c r="B365" i="25"/>
  <c r="V364" i="25"/>
  <c r="B364" i="25"/>
  <c r="V363" i="25"/>
  <c r="B363" i="25"/>
  <c r="V362" i="25"/>
  <c r="B362" i="25"/>
  <c r="V361" i="25"/>
  <c r="B361" i="25"/>
  <c r="V360" i="25"/>
  <c r="B360" i="25"/>
  <c r="V359" i="25"/>
  <c r="B359" i="25"/>
  <c r="V358" i="25"/>
  <c r="B358" i="25"/>
  <c r="V357" i="25"/>
  <c r="B357" i="25"/>
  <c r="V356" i="25"/>
  <c r="B356" i="25"/>
  <c r="V355" i="25"/>
  <c r="B355" i="25"/>
  <c r="V354" i="25"/>
  <c r="B354" i="25"/>
  <c r="V353" i="25"/>
  <c r="B353" i="25"/>
  <c r="V352" i="25"/>
  <c r="B352" i="25"/>
  <c r="V351" i="25"/>
  <c r="B351" i="25"/>
  <c r="V350" i="25"/>
  <c r="B350" i="25"/>
  <c r="V349" i="25"/>
  <c r="B349" i="25"/>
  <c r="V348" i="25"/>
  <c r="B348" i="25"/>
  <c r="V347" i="25"/>
  <c r="B347" i="25"/>
  <c r="V346" i="25"/>
  <c r="B346" i="25"/>
  <c r="V345" i="25"/>
  <c r="B345" i="25"/>
  <c r="V344" i="25"/>
  <c r="B344" i="25"/>
  <c r="V343" i="25"/>
  <c r="B343" i="25"/>
  <c r="V342" i="25"/>
  <c r="B342" i="25"/>
  <c r="V341" i="25"/>
  <c r="B341" i="25"/>
  <c r="V340" i="25"/>
  <c r="B340" i="25"/>
  <c r="V339" i="25"/>
  <c r="B339" i="25"/>
  <c r="V338" i="25"/>
  <c r="B338" i="25"/>
  <c r="V337" i="25"/>
  <c r="B337" i="25"/>
  <c r="V336" i="25"/>
  <c r="B336" i="25"/>
  <c r="V335" i="25"/>
  <c r="B335" i="25"/>
  <c r="V334" i="25"/>
  <c r="B334" i="25"/>
  <c r="V333" i="25"/>
  <c r="B333" i="25"/>
  <c r="V332" i="25"/>
  <c r="B332" i="25"/>
  <c r="V331" i="25"/>
  <c r="B331" i="25"/>
  <c r="V330" i="25"/>
  <c r="B330" i="25"/>
  <c r="V329" i="25"/>
  <c r="B329" i="25"/>
  <c r="V328" i="25"/>
  <c r="B328" i="25"/>
  <c r="V327" i="25"/>
  <c r="B327" i="25"/>
  <c r="V326" i="25"/>
  <c r="B326" i="25"/>
  <c r="V325" i="25"/>
  <c r="B325" i="25"/>
  <c r="V324" i="25"/>
  <c r="B324" i="25"/>
  <c r="V323" i="25"/>
  <c r="B323" i="25"/>
  <c r="V322" i="25"/>
  <c r="B322" i="25"/>
  <c r="V321" i="25"/>
  <c r="B321" i="25"/>
  <c r="V320" i="25"/>
  <c r="B320" i="25"/>
  <c r="V319" i="25"/>
  <c r="B319" i="25"/>
  <c r="V318" i="25"/>
  <c r="B318" i="25"/>
  <c r="V317" i="25"/>
  <c r="B317" i="25"/>
  <c r="V316" i="25"/>
  <c r="B316" i="25"/>
  <c r="V315" i="25"/>
  <c r="B315" i="25"/>
  <c r="V314" i="25"/>
  <c r="B314" i="25"/>
  <c r="V313" i="25"/>
  <c r="B313" i="25"/>
  <c r="V312" i="25"/>
  <c r="B312" i="25"/>
  <c r="V311" i="25"/>
  <c r="B311" i="25"/>
  <c r="V310" i="25"/>
  <c r="B310" i="25"/>
  <c r="V309" i="25"/>
  <c r="B309" i="25"/>
  <c r="V308" i="25"/>
  <c r="B308" i="25"/>
  <c r="V307" i="25"/>
  <c r="B307" i="25"/>
  <c r="V306" i="25"/>
  <c r="B306" i="25"/>
  <c r="V305" i="25"/>
  <c r="B305" i="25"/>
  <c r="V304" i="25"/>
  <c r="B304" i="25"/>
  <c r="V303" i="25"/>
  <c r="B303" i="25"/>
  <c r="V302" i="25"/>
  <c r="B302" i="25"/>
  <c r="V301" i="25"/>
  <c r="B301" i="25"/>
  <c r="V300" i="25"/>
  <c r="B300" i="25"/>
  <c r="V299" i="25"/>
  <c r="B299" i="25"/>
  <c r="V298" i="25"/>
  <c r="B298" i="25"/>
  <c r="V297" i="25"/>
  <c r="B297" i="25"/>
  <c r="V296" i="25"/>
  <c r="B296" i="25"/>
  <c r="V295" i="25"/>
  <c r="B295" i="25"/>
  <c r="V294" i="25"/>
  <c r="B294" i="25"/>
  <c r="V293" i="25"/>
  <c r="B293" i="25"/>
  <c r="V292" i="25"/>
  <c r="B292" i="25"/>
  <c r="V291" i="25"/>
  <c r="B291" i="25"/>
  <c r="V290" i="25"/>
  <c r="B290" i="25"/>
  <c r="V289" i="25"/>
  <c r="B289" i="25"/>
  <c r="V288" i="25"/>
  <c r="B288" i="25"/>
  <c r="V287" i="25"/>
  <c r="B287" i="25"/>
  <c r="V286" i="25"/>
  <c r="B286" i="25"/>
  <c r="V285" i="25"/>
  <c r="B285" i="25"/>
  <c r="V284" i="25"/>
  <c r="B284" i="25"/>
  <c r="V283" i="25"/>
  <c r="B283" i="25"/>
  <c r="V282" i="25"/>
  <c r="B282" i="25"/>
  <c r="V281" i="25"/>
  <c r="B281" i="25"/>
  <c r="V280" i="25"/>
  <c r="B280" i="25"/>
  <c r="V279" i="25"/>
  <c r="B279" i="25"/>
  <c r="V278" i="25"/>
  <c r="B278" i="25"/>
  <c r="V277" i="25"/>
  <c r="B277" i="25"/>
  <c r="V276" i="25"/>
  <c r="B276" i="25"/>
  <c r="V275" i="25"/>
  <c r="B275" i="25"/>
  <c r="V274" i="25"/>
  <c r="B274" i="25"/>
  <c r="V273" i="25"/>
  <c r="B273" i="25"/>
  <c r="V272" i="25"/>
  <c r="B272" i="25"/>
  <c r="V271" i="25"/>
  <c r="B271" i="25"/>
  <c r="V270" i="25"/>
  <c r="B270" i="25"/>
  <c r="V269" i="25"/>
  <c r="B269" i="25"/>
  <c r="V268" i="25"/>
  <c r="B268" i="25"/>
  <c r="V267" i="25"/>
  <c r="B267" i="25"/>
  <c r="V266" i="25"/>
  <c r="B266" i="25"/>
  <c r="V265" i="25"/>
  <c r="B265" i="25"/>
  <c r="V264" i="25"/>
  <c r="B264" i="25"/>
  <c r="V263" i="25"/>
  <c r="B263" i="25"/>
  <c r="V262" i="25"/>
  <c r="B262" i="25"/>
  <c r="V261" i="25"/>
  <c r="B261" i="25"/>
  <c r="V260" i="25"/>
  <c r="B260" i="25"/>
  <c r="V259" i="25"/>
  <c r="B259" i="25"/>
  <c r="V258" i="25"/>
  <c r="B258" i="25"/>
  <c r="V257" i="25"/>
  <c r="B257" i="25"/>
  <c r="V256" i="25"/>
  <c r="B256" i="25"/>
  <c r="V255" i="25"/>
  <c r="B255" i="25"/>
  <c r="V254" i="25"/>
  <c r="B254" i="25"/>
  <c r="V253" i="25"/>
  <c r="B253" i="25"/>
  <c r="V252" i="25"/>
  <c r="B252" i="25"/>
  <c r="V251" i="25"/>
  <c r="B251" i="25"/>
  <c r="V250" i="25"/>
  <c r="B250" i="25"/>
  <c r="V249" i="25"/>
  <c r="B249" i="25"/>
  <c r="V248" i="25"/>
  <c r="B248" i="25"/>
  <c r="V247" i="25"/>
  <c r="B247" i="25"/>
  <c r="V246" i="25"/>
  <c r="B246" i="25"/>
  <c r="V245" i="25"/>
  <c r="B245" i="25"/>
  <c r="V244" i="25"/>
  <c r="B244" i="25"/>
  <c r="V243" i="25"/>
  <c r="B243" i="25"/>
  <c r="V242" i="25"/>
  <c r="B242" i="25"/>
  <c r="V241" i="25"/>
  <c r="B241" i="25"/>
  <c r="V240" i="25"/>
  <c r="B240" i="25"/>
  <c r="V239" i="25"/>
  <c r="B239" i="25"/>
  <c r="V238" i="25"/>
  <c r="B238" i="25"/>
  <c r="V237" i="25"/>
  <c r="B237" i="25"/>
  <c r="V236" i="25"/>
  <c r="B236" i="25"/>
  <c r="V235" i="25"/>
  <c r="B235" i="25"/>
  <c r="V234" i="25"/>
  <c r="B234" i="25"/>
  <c r="V233" i="25"/>
  <c r="B233" i="25"/>
  <c r="V232" i="25"/>
  <c r="B232" i="25"/>
  <c r="V231" i="25"/>
  <c r="B231" i="25"/>
  <c r="V230" i="25"/>
  <c r="B230" i="25"/>
  <c r="V229" i="25"/>
  <c r="B229" i="25"/>
  <c r="V228" i="25"/>
  <c r="B228" i="25"/>
  <c r="V227" i="25"/>
  <c r="B227" i="25"/>
  <c r="V226" i="25"/>
  <c r="B226" i="25"/>
  <c r="V225" i="25"/>
  <c r="B225" i="25"/>
  <c r="V224" i="25"/>
  <c r="B224" i="25"/>
  <c r="V223" i="25"/>
  <c r="B223" i="25"/>
  <c r="V222" i="25"/>
  <c r="B222" i="25"/>
  <c r="V221" i="25"/>
  <c r="B221" i="25"/>
  <c r="V220" i="25"/>
  <c r="B220" i="25"/>
  <c r="V219" i="25"/>
  <c r="B219" i="25"/>
  <c r="V218" i="25"/>
  <c r="B218" i="25"/>
  <c r="V217" i="25"/>
  <c r="B217" i="25"/>
  <c r="V216" i="25"/>
  <c r="B216" i="25"/>
  <c r="V215" i="25"/>
  <c r="B215" i="25"/>
  <c r="V214" i="25"/>
  <c r="B214" i="25"/>
  <c r="V213" i="25"/>
  <c r="B213" i="25"/>
  <c r="V212" i="25"/>
  <c r="B212" i="25"/>
  <c r="V211" i="25"/>
  <c r="B211" i="25"/>
  <c r="V210" i="25"/>
  <c r="B210" i="25"/>
  <c r="V209" i="25"/>
  <c r="B209" i="25"/>
  <c r="V208" i="25"/>
  <c r="B208" i="25"/>
  <c r="V207" i="25"/>
  <c r="B207" i="25"/>
  <c r="V206" i="25"/>
  <c r="B206" i="25"/>
  <c r="V205" i="25"/>
  <c r="B205" i="25"/>
  <c r="V204" i="25"/>
  <c r="B204" i="25"/>
  <c r="V203" i="25"/>
  <c r="B203" i="25"/>
  <c r="V202" i="25"/>
  <c r="B202" i="25"/>
  <c r="V201" i="25"/>
  <c r="B201" i="25"/>
  <c r="V200" i="25"/>
  <c r="B200" i="25"/>
  <c r="V199" i="25"/>
  <c r="B199" i="25"/>
  <c r="V198" i="25"/>
  <c r="B198" i="25"/>
  <c r="V197" i="25"/>
  <c r="B197" i="25"/>
  <c r="V196" i="25"/>
  <c r="B196" i="25"/>
  <c r="V195" i="25"/>
  <c r="B195" i="25"/>
  <c r="V194" i="25"/>
  <c r="B194" i="25"/>
  <c r="V193" i="25"/>
  <c r="B193" i="25"/>
  <c r="V192" i="25"/>
  <c r="B192" i="25"/>
  <c r="V191" i="25"/>
  <c r="B191" i="25"/>
  <c r="V190" i="25"/>
  <c r="B190" i="25"/>
  <c r="V189" i="25"/>
  <c r="B189" i="25"/>
  <c r="V188" i="25"/>
  <c r="B188" i="25"/>
  <c r="V187" i="25"/>
  <c r="B187" i="25"/>
  <c r="V186" i="25"/>
  <c r="B186" i="25"/>
  <c r="V185" i="25"/>
  <c r="B185" i="25"/>
  <c r="V184" i="25"/>
  <c r="B184" i="25"/>
  <c r="V183" i="25"/>
  <c r="B183" i="25"/>
  <c r="V182" i="25"/>
  <c r="B182" i="25"/>
  <c r="V181" i="25"/>
  <c r="B181" i="25"/>
  <c r="V180" i="25"/>
  <c r="B180" i="25"/>
  <c r="V179" i="25"/>
  <c r="B179" i="25"/>
  <c r="V178" i="25"/>
  <c r="B178" i="25"/>
  <c r="V177" i="25"/>
  <c r="B177" i="25"/>
  <c r="V176" i="25"/>
  <c r="B176" i="25"/>
  <c r="V175" i="25"/>
  <c r="B175" i="25"/>
  <c r="V174" i="25"/>
  <c r="B174" i="25"/>
  <c r="V173" i="25"/>
  <c r="B173" i="25"/>
  <c r="V172" i="25"/>
  <c r="B172" i="25"/>
  <c r="V171" i="25"/>
  <c r="B171" i="25"/>
  <c r="V170" i="25"/>
  <c r="B170" i="25"/>
  <c r="V169" i="25"/>
  <c r="B169" i="25"/>
  <c r="V168" i="25"/>
  <c r="B168" i="25"/>
  <c r="V167" i="25"/>
  <c r="B167" i="25"/>
  <c r="V166" i="25"/>
  <c r="B166" i="25"/>
  <c r="V165" i="25"/>
  <c r="B165" i="25"/>
  <c r="V164" i="25"/>
  <c r="B164" i="25"/>
  <c r="V163" i="25"/>
  <c r="B163" i="25"/>
  <c r="V162" i="25"/>
  <c r="B162" i="25"/>
  <c r="V161" i="25"/>
  <c r="B161" i="25"/>
  <c r="V160" i="25"/>
  <c r="B160" i="25"/>
  <c r="V159" i="25"/>
  <c r="B159" i="25"/>
  <c r="V158" i="25"/>
  <c r="B158" i="25"/>
  <c r="V157" i="25"/>
  <c r="B157" i="25"/>
  <c r="V156" i="25"/>
  <c r="B156" i="25"/>
  <c r="V155" i="25"/>
  <c r="B155" i="25"/>
  <c r="V154" i="25"/>
  <c r="B154" i="25"/>
  <c r="V153" i="25"/>
  <c r="B153" i="25"/>
  <c r="V152" i="25"/>
  <c r="B152" i="25"/>
  <c r="V151" i="25"/>
  <c r="B151" i="25"/>
  <c r="V150" i="25"/>
  <c r="B150" i="25"/>
  <c r="V149" i="25"/>
  <c r="B149" i="25"/>
  <c r="V148" i="25"/>
  <c r="B148" i="25"/>
  <c r="V147" i="25"/>
  <c r="B147" i="25"/>
  <c r="V146" i="25"/>
  <c r="B146" i="25"/>
  <c r="V145" i="25"/>
  <c r="B145" i="25"/>
  <c r="V144" i="25"/>
  <c r="B144" i="25"/>
  <c r="V143" i="25"/>
  <c r="B143" i="25"/>
  <c r="V142" i="25"/>
  <c r="B142" i="25"/>
  <c r="V141" i="25"/>
  <c r="B141" i="25"/>
  <c r="V140" i="25"/>
  <c r="B140" i="25"/>
  <c r="V139" i="25"/>
  <c r="B139" i="25"/>
  <c r="V138" i="25"/>
  <c r="B138" i="25"/>
  <c r="V137" i="25"/>
  <c r="B137" i="25"/>
  <c r="V136" i="25"/>
  <c r="B136" i="25"/>
  <c r="V135" i="25"/>
  <c r="B135" i="25"/>
  <c r="V134" i="25"/>
  <c r="B134" i="25"/>
  <c r="V133" i="25"/>
  <c r="B133" i="25"/>
  <c r="V132" i="25"/>
  <c r="B132" i="25"/>
  <c r="V131" i="25"/>
  <c r="B131" i="25"/>
  <c r="V130" i="25"/>
  <c r="B130" i="25"/>
  <c r="V129" i="25"/>
  <c r="B129" i="25"/>
  <c r="V128" i="25"/>
  <c r="B128" i="25"/>
  <c r="V127" i="25"/>
  <c r="B127" i="25"/>
  <c r="V126" i="25"/>
  <c r="B126" i="25"/>
  <c r="V125" i="25"/>
  <c r="B125" i="25"/>
  <c r="V124" i="25"/>
  <c r="B124" i="25"/>
  <c r="V123" i="25"/>
  <c r="B123" i="25"/>
  <c r="V122" i="25"/>
  <c r="B122" i="25"/>
  <c r="V121" i="25"/>
  <c r="B121" i="25"/>
  <c r="V120" i="25"/>
  <c r="B120" i="25"/>
  <c r="V119" i="25"/>
  <c r="B119" i="25"/>
  <c r="V118" i="25"/>
  <c r="B118" i="25"/>
  <c r="V117" i="25"/>
  <c r="B117" i="25"/>
  <c r="V116" i="25"/>
  <c r="B116" i="25"/>
  <c r="V115" i="25"/>
  <c r="B115" i="25"/>
  <c r="V114" i="25"/>
  <c r="B114" i="25"/>
  <c r="V113" i="25"/>
  <c r="B113" i="25"/>
  <c r="V112" i="25"/>
  <c r="B112" i="25"/>
  <c r="V111" i="25"/>
  <c r="B111" i="25"/>
  <c r="V110" i="25"/>
  <c r="B110" i="25"/>
  <c r="V109" i="25"/>
  <c r="B109" i="25"/>
  <c r="V108" i="25"/>
  <c r="B108" i="25"/>
  <c r="V107" i="25"/>
  <c r="B107" i="25"/>
  <c r="V106" i="25"/>
  <c r="B106" i="25"/>
  <c r="V105" i="25"/>
  <c r="B105" i="25"/>
  <c r="V104" i="25"/>
  <c r="B104" i="25"/>
  <c r="V103" i="25"/>
  <c r="B103" i="25"/>
  <c r="V102" i="25"/>
  <c r="B102" i="25"/>
  <c r="V101" i="25"/>
  <c r="B101" i="25"/>
  <c r="V100" i="25"/>
  <c r="B100" i="25"/>
  <c r="V99" i="25"/>
  <c r="B99" i="25"/>
  <c r="V98" i="25"/>
  <c r="B98" i="25"/>
  <c r="V97" i="25"/>
  <c r="B97" i="25"/>
  <c r="V96" i="25"/>
  <c r="B96" i="25"/>
  <c r="V95" i="25"/>
  <c r="B95" i="25"/>
  <c r="V94" i="25"/>
  <c r="B94" i="25"/>
  <c r="V93" i="25"/>
  <c r="B93" i="25"/>
  <c r="V92" i="25"/>
  <c r="B92" i="25"/>
  <c r="V91" i="25"/>
  <c r="B91" i="25"/>
  <c r="V90" i="25"/>
  <c r="B90" i="25"/>
  <c r="V89" i="25"/>
  <c r="B89" i="25"/>
  <c r="V88" i="25"/>
  <c r="B88" i="25"/>
  <c r="V87" i="25"/>
  <c r="B87" i="25"/>
  <c r="V86" i="25"/>
  <c r="B86" i="25"/>
  <c r="V85" i="25"/>
  <c r="B85" i="25"/>
  <c r="V84" i="25"/>
  <c r="B84" i="25"/>
  <c r="V83" i="25"/>
  <c r="B83" i="25"/>
  <c r="V82" i="25"/>
  <c r="B82" i="25"/>
  <c r="V81" i="25"/>
  <c r="B81" i="25"/>
  <c r="V80" i="25"/>
  <c r="B80" i="25"/>
  <c r="V79" i="25"/>
  <c r="B79" i="25"/>
  <c r="V78" i="25"/>
  <c r="B78" i="25"/>
  <c r="V77" i="25"/>
  <c r="B77" i="25"/>
  <c r="V76" i="25"/>
  <c r="B76" i="25"/>
  <c r="V75" i="25"/>
  <c r="B75" i="25"/>
  <c r="V74" i="25"/>
  <c r="B74" i="25"/>
  <c r="V73" i="25"/>
  <c r="B73" i="25"/>
  <c r="V72" i="25"/>
  <c r="B72" i="25"/>
  <c r="V71" i="25"/>
  <c r="B71" i="25"/>
  <c r="V70" i="25"/>
  <c r="B70" i="25"/>
  <c r="V69" i="25"/>
  <c r="B69" i="25"/>
  <c r="V68" i="25"/>
  <c r="B68" i="25"/>
  <c r="V67" i="25"/>
  <c r="B67" i="25"/>
  <c r="V66" i="25"/>
  <c r="B66" i="25"/>
  <c r="V65" i="25"/>
  <c r="B65" i="25"/>
  <c r="V64" i="25"/>
  <c r="B64" i="25"/>
  <c r="V63" i="25"/>
  <c r="B63" i="25"/>
  <c r="V62" i="25"/>
  <c r="B62" i="25"/>
  <c r="V61" i="25"/>
  <c r="B61" i="25"/>
  <c r="V60" i="25"/>
  <c r="B60" i="25"/>
  <c r="V59" i="25"/>
  <c r="B59" i="25"/>
  <c r="V58" i="25"/>
  <c r="B58" i="25"/>
  <c r="V57" i="25"/>
  <c r="B57" i="25"/>
  <c r="V56" i="25"/>
  <c r="B56" i="25"/>
  <c r="V55" i="25"/>
  <c r="B55" i="25"/>
  <c r="V54" i="25"/>
  <c r="B54" i="25"/>
  <c r="V53" i="25"/>
  <c r="B53" i="25"/>
  <c r="V52" i="25"/>
  <c r="B52" i="25"/>
  <c r="V51" i="25"/>
  <c r="B51" i="25"/>
  <c r="V50" i="25"/>
  <c r="B50" i="25"/>
  <c r="V49" i="25"/>
  <c r="B49" i="25"/>
  <c r="V48" i="25"/>
  <c r="B48" i="25"/>
  <c r="V47" i="25"/>
  <c r="B47" i="25"/>
  <c r="V46" i="25"/>
  <c r="B46" i="25"/>
  <c r="V45" i="25"/>
  <c r="B45" i="25"/>
  <c r="V44" i="25"/>
  <c r="B44" i="25"/>
  <c r="V43" i="25"/>
  <c r="B43" i="25"/>
  <c r="V42" i="25"/>
  <c r="B42" i="25"/>
  <c r="V41" i="25"/>
  <c r="B41" i="25"/>
  <c r="V40" i="25"/>
  <c r="B40" i="25"/>
  <c r="V39" i="25"/>
  <c r="B39" i="25"/>
  <c r="V38" i="25"/>
  <c r="B38" i="25"/>
  <c r="V37" i="25"/>
  <c r="B37" i="25"/>
  <c r="V36" i="25"/>
  <c r="B36" i="25"/>
  <c r="V35" i="25"/>
  <c r="B35" i="25"/>
  <c r="V34" i="25"/>
  <c r="B34" i="25"/>
  <c r="V33" i="25"/>
  <c r="B33" i="25"/>
  <c r="V32" i="25"/>
  <c r="B32" i="25"/>
  <c r="V31" i="25"/>
  <c r="B31" i="25"/>
  <c r="V30" i="25"/>
  <c r="B30" i="25"/>
  <c r="V29" i="25"/>
  <c r="B29" i="25"/>
  <c r="V28" i="25"/>
  <c r="B28" i="25"/>
  <c r="V27" i="25"/>
  <c r="B27" i="25"/>
  <c r="V26" i="25"/>
  <c r="B26" i="25"/>
  <c r="V25" i="25"/>
  <c r="B25" i="25"/>
  <c r="V24" i="25"/>
  <c r="B24" i="25"/>
  <c r="V23" i="25"/>
  <c r="B23" i="25"/>
  <c r="V22" i="25"/>
  <c r="B22" i="25"/>
  <c r="V21" i="25"/>
  <c r="B21" i="25"/>
  <c r="V20" i="25"/>
  <c r="B20" i="25"/>
  <c r="V19" i="25"/>
  <c r="B19" i="25"/>
  <c r="V18" i="25"/>
  <c r="B18" i="25"/>
  <c r="V17" i="25"/>
  <c r="B17" i="25"/>
  <c r="V16" i="25"/>
  <c r="B16" i="25"/>
  <c r="V15" i="25"/>
  <c r="B15" i="25"/>
  <c r="V14" i="25"/>
  <c r="B14" i="25"/>
  <c r="V13" i="25"/>
  <c r="B13" i="25"/>
  <c r="Q6" i="25"/>
  <c r="I3" i="25"/>
  <c r="D56" i="1"/>
  <c r="U15" i="2"/>
  <c r="B345" i="2" l="1"/>
  <c r="A628" i="25"/>
  <c r="B253" i="2"/>
  <c r="A2" i="19"/>
  <c r="A2" i="24"/>
  <c r="F6" i="24"/>
  <c r="I38" i="16" l="1"/>
  <c r="I37" i="16"/>
  <c r="Z8" i="2"/>
  <c r="K8" i="2"/>
  <c r="A2" i="22"/>
  <c r="D57" i="1"/>
  <c r="B12" i="2" l="1"/>
  <c r="B137" i="2" s="1"/>
  <c r="A53" i="16"/>
  <c r="J11" i="21" l="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363" i="2" l="1"/>
  <c r="D299" i="2"/>
  <c r="B52" i="23" s="1"/>
  <c r="B299" i="2"/>
  <c r="B42" i="23" s="1"/>
  <c r="B55" i="23"/>
  <c r="D305" i="2"/>
  <c r="B54" i="23" s="1"/>
  <c r="T109" i="23"/>
  <c r="T108" i="23"/>
  <c r="T107" i="23"/>
  <c r="T106" i="23"/>
  <c r="T105" i="23"/>
  <c r="T104" i="23"/>
  <c r="T103" i="23"/>
  <c r="T102" i="23"/>
  <c r="T101" i="23"/>
  <c r="T100" i="23"/>
  <c r="T99" i="23"/>
  <c r="T98" i="23"/>
  <c r="T97" i="23"/>
  <c r="T96" i="23"/>
  <c r="T95" i="23"/>
  <c r="T94" i="23"/>
  <c r="T93" i="23"/>
  <c r="T92" i="23"/>
  <c r="T91" i="23"/>
  <c r="T90" i="23"/>
  <c r="T89" i="23"/>
  <c r="T88" i="23"/>
  <c r="T87" i="23"/>
  <c r="T86" i="23"/>
  <c r="T85" i="23"/>
  <c r="T84" i="23"/>
  <c r="T83" i="23"/>
  <c r="T82" i="23"/>
  <c r="T81" i="23"/>
  <c r="T80" i="23"/>
  <c r="T79" i="23"/>
  <c r="T78" i="23"/>
  <c r="T77" i="23"/>
  <c r="T76" i="23"/>
  <c r="T75" i="23"/>
  <c r="T74" i="23"/>
  <c r="T73" i="23"/>
  <c r="T72" i="23"/>
  <c r="T71" i="23"/>
  <c r="T70" i="23"/>
  <c r="T69" i="23"/>
  <c r="T68" i="23"/>
  <c r="T67" i="23"/>
  <c r="T66" i="23"/>
  <c r="T65" i="23"/>
  <c r="T64" i="23"/>
  <c r="T63" i="23"/>
  <c r="T62" i="23"/>
  <c r="T61" i="23"/>
  <c r="T60" i="23"/>
  <c r="B60" i="23"/>
  <c r="T59" i="23"/>
  <c r="T58" i="23"/>
  <c r="T57" i="23"/>
  <c r="T56" i="23"/>
  <c r="T55" i="23"/>
  <c r="T54" i="23"/>
  <c r="T53" i="23"/>
  <c r="T52" i="23"/>
  <c r="T51" i="23"/>
  <c r="T50" i="23"/>
  <c r="T49" i="23"/>
  <c r="T48" i="23"/>
  <c r="T47" i="23"/>
  <c r="T46" i="23"/>
  <c r="T45" i="23"/>
  <c r="T44" i="23"/>
  <c r="T43" i="23"/>
  <c r="T42" i="23"/>
  <c r="T41" i="23"/>
  <c r="T40" i="23"/>
  <c r="T39" i="23"/>
  <c r="T38" i="23"/>
  <c r="T37" i="23"/>
  <c r="T36" i="23"/>
  <c r="T35" i="23"/>
  <c r="B35" i="23"/>
  <c r="T34" i="23"/>
  <c r="T33" i="23"/>
  <c r="B33" i="23"/>
  <c r="T32" i="23"/>
  <c r="T31" i="23"/>
  <c r="T30" i="23"/>
  <c r="B30" i="23"/>
  <c r="T29" i="23"/>
  <c r="T28" i="23"/>
  <c r="B28" i="23"/>
  <c r="T27" i="23"/>
  <c r="B27" i="23"/>
  <c r="T26" i="23"/>
  <c r="T25" i="23"/>
  <c r="T24" i="23"/>
  <c r="T23" i="23"/>
  <c r="T22" i="23"/>
  <c r="T21" i="23"/>
  <c r="B21" i="23"/>
  <c r="T20" i="23"/>
  <c r="T19" i="23"/>
  <c r="T18" i="23"/>
  <c r="T17" i="23"/>
  <c r="T16" i="23"/>
  <c r="B16" i="23"/>
  <c r="T15" i="23"/>
  <c r="B15" i="23"/>
  <c r="T14" i="23"/>
  <c r="T13" i="23"/>
  <c r="T12" i="23"/>
  <c r="T11" i="23"/>
  <c r="T10" i="23"/>
  <c r="T9" i="23"/>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D238" i="2"/>
  <c r="N12" i="8" s="1"/>
  <c r="O12" i="8" s="1"/>
  <c r="D224" i="2"/>
  <c r="B11" i="2"/>
  <c r="K63" i="1"/>
  <c r="U13" i="2"/>
  <c r="B166" i="2"/>
  <c r="B167" i="2" s="1"/>
  <c r="N17" i="8" s="1"/>
  <c r="D126" i="2"/>
  <c r="B25" i="23" s="1"/>
  <c r="D122" i="2"/>
  <c r="B24" i="23" s="1"/>
  <c r="D116" i="2"/>
  <c r="D118" i="2" s="1"/>
  <c r="D77" i="2"/>
  <c r="D47" i="2"/>
  <c r="D46" i="2"/>
  <c r="B14" i="2"/>
  <c r="B13" i="2"/>
  <c r="D188" i="2" l="1"/>
  <c r="C59" i="16"/>
  <c r="I49" i="16"/>
  <c r="I70" i="16"/>
  <c r="J49" i="16"/>
  <c r="I69" i="16"/>
  <c r="C69" i="16"/>
  <c r="D69" i="16" s="1"/>
  <c r="J48" i="16"/>
  <c r="H70" i="16"/>
  <c r="I48" i="16"/>
  <c r="H69" i="16"/>
  <c r="J63" i="16"/>
  <c r="J70" i="16"/>
  <c r="H63" i="16"/>
  <c r="H49" i="16"/>
  <c r="H48" i="16"/>
  <c r="I63" i="16"/>
  <c r="I61" i="16"/>
  <c r="J69" i="16"/>
  <c r="AU9" i="23"/>
  <c r="K9" i="2"/>
  <c r="D386" i="2"/>
  <c r="D343" i="2"/>
  <c r="C355" i="2"/>
  <c r="C353" i="2"/>
  <c r="C354" i="2"/>
  <c r="C382" i="2"/>
  <c r="C381" i="2"/>
  <c r="Z9" i="2"/>
  <c r="D345" i="2"/>
  <c r="D339" i="2"/>
  <c r="I80" i="1"/>
  <c r="F80" i="1"/>
  <c r="E96" i="1"/>
  <c r="F96" i="1"/>
  <c r="D58" i="1"/>
  <c r="B18" i="2"/>
  <c r="D183" i="2"/>
  <c r="D207" i="2" s="1"/>
  <c r="F3" i="25" s="1"/>
  <c r="I88" i="21"/>
  <c r="B18" i="23"/>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D72" i="2"/>
  <c r="B19" i="23"/>
  <c r="I109" i="23"/>
  <c r="I108" i="23"/>
  <c r="I107" i="23"/>
  <c r="I106" i="23"/>
  <c r="I105" i="23"/>
  <c r="I104" i="23"/>
  <c r="I103" i="23"/>
  <c r="I102" i="23"/>
  <c r="I101" i="23"/>
  <c r="I100" i="23"/>
  <c r="I99" i="23"/>
  <c r="I98" i="23"/>
  <c r="I97" i="23"/>
  <c r="I96" i="23"/>
  <c r="I95" i="23"/>
  <c r="I92" i="23"/>
  <c r="I88" i="23"/>
  <c r="I84" i="23"/>
  <c r="I37" i="23"/>
  <c r="I36" i="23"/>
  <c r="I35" i="23"/>
  <c r="I27" i="23"/>
  <c r="I19" i="23"/>
  <c r="I18" i="23"/>
  <c r="I17" i="23"/>
  <c r="I16" i="23"/>
  <c r="I94" i="23"/>
  <c r="I86" i="23"/>
  <c r="I93" i="23"/>
  <c r="I89" i="23"/>
  <c r="I85" i="23"/>
  <c r="I81" i="23"/>
  <c r="I80" i="23"/>
  <c r="I79" i="23"/>
  <c r="I78" i="23"/>
  <c r="I77" i="23"/>
  <c r="I76" i="23"/>
  <c r="I75" i="23"/>
  <c r="I74" i="23"/>
  <c r="I73" i="23"/>
  <c r="I72" i="23"/>
  <c r="I71" i="23"/>
  <c r="I70" i="23"/>
  <c r="I69" i="23"/>
  <c r="I68" i="23"/>
  <c r="I67" i="23"/>
  <c r="I66" i="23"/>
  <c r="I65" i="23"/>
  <c r="I64" i="23"/>
  <c r="I63" i="23"/>
  <c r="I62" i="23"/>
  <c r="I61" i="23"/>
  <c r="I60" i="23"/>
  <c r="I34" i="23"/>
  <c r="I33" i="23"/>
  <c r="I26" i="23"/>
  <c r="I25" i="23"/>
  <c r="I24" i="23"/>
  <c r="I23" i="23"/>
  <c r="I15" i="23"/>
  <c r="I91" i="23"/>
  <c r="I87" i="23"/>
  <c r="I83" i="23"/>
  <c r="I49" i="23"/>
  <c r="I48" i="23"/>
  <c r="I47" i="23"/>
  <c r="I46" i="23"/>
  <c r="I45" i="23"/>
  <c r="I44" i="23"/>
  <c r="I43" i="23"/>
  <c r="I42" i="23"/>
  <c r="I41" i="23"/>
  <c r="I40" i="23"/>
  <c r="I39" i="23"/>
  <c r="I38" i="23"/>
  <c r="I29" i="23"/>
  <c r="I28" i="23"/>
  <c r="I20" i="23"/>
  <c r="I10" i="23"/>
  <c r="I9" i="23"/>
  <c r="I90" i="23"/>
  <c r="I82" i="23"/>
  <c r="I12" i="23"/>
  <c r="I11" i="23"/>
  <c r="I59" i="23"/>
  <c r="I57" i="23"/>
  <c r="I55" i="23"/>
  <c r="I53" i="23"/>
  <c r="I51" i="23"/>
  <c r="I32" i="23"/>
  <c r="I30" i="23"/>
  <c r="I22" i="23"/>
  <c r="I58" i="23"/>
  <c r="I56" i="23"/>
  <c r="I54" i="23"/>
  <c r="I52" i="23"/>
  <c r="I50" i="23"/>
  <c r="I31" i="23"/>
  <c r="I21" i="23"/>
  <c r="I14" i="23"/>
  <c r="I13" i="23"/>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B12" i="23"/>
  <c r="J12" i="23"/>
  <c r="J16" i="23"/>
  <c r="J20" i="23"/>
  <c r="J24" i="23"/>
  <c r="J28" i="23"/>
  <c r="J32" i="23"/>
  <c r="J36" i="23"/>
  <c r="J40" i="23"/>
  <c r="J44" i="23"/>
  <c r="J48" i="23"/>
  <c r="J14" i="23"/>
  <c r="J19" i="23"/>
  <c r="J25" i="23"/>
  <c r="J30" i="23"/>
  <c r="J35" i="23"/>
  <c r="J41" i="23"/>
  <c r="J46" i="23"/>
  <c r="J51" i="23"/>
  <c r="J55" i="23"/>
  <c r="J59" i="23"/>
  <c r="J63" i="23"/>
  <c r="J67" i="23"/>
  <c r="J71" i="23"/>
  <c r="J75" i="23"/>
  <c r="J79" i="23"/>
  <c r="J83" i="23"/>
  <c r="J87" i="23"/>
  <c r="J91" i="23"/>
  <c r="J95" i="23"/>
  <c r="J99" i="23"/>
  <c r="J103" i="23"/>
  <c r="J107" i="23"/>
  <c r="J18" i="23"/>
  <c r="J29" i="23"/>
  <c r="J39" i="23"/>
  <c r="J50" i="23"/>
  <c r="J58" i="23"/>
  <c r="J70" i="23"/>
  <c r="J74" i="23"/>
  <c r="J86" i="23"/>
  <c r="J94" i="23"/>
  <c r="J102" i="23"/>
  <c r="J15" i="23"/>
  <c r="J21" i="23"/>
  <c r="J26" i="23"/>
  <c r="J31" i="23"/>
  <c r="J37" i="23"/>
  <c r="J42" i="23"/>
  <c r="J47" i="23"/>
  <c r="J52" i="23"/>
  <c r="J56" i="23"/>
  <c r="J60" i="23"/>
  <c r="J64" i="23"/>
  <c r="J68" i="23"/>
  <c r="J72" i="23"/>
  <c r="J76" i="23"/>
  <c r="J80" i="23"/>
  <c r="J84" i="23"/>
  <c r="J88" i="23"/>
  <c r="J92" i="23"/>
  <c r="J96" i="23"/>
  <c r="J100" i="23"/>
  <c r="J104" i="23"/>
  <c r="J108" i="23"/>
  <c r="B14" i="23"/>
  <c r="J13" i="23"/>
  <c r="J34" i="23"/>
  <c r="J45" i="23"/>
  <c r="J62" i="23"/>
  <c r="J82" i="23"/>
  <c r="J98" i="23"/>
  <c r="J10" i="23"/>
  <c r="J11" i="23"/>
  <c r="J17" i="23"/>
  <c r="J22" i="23"/>
  <c r="J27" i="23"/>
  <c r="J33" i="23"/>
  <c r="J38" i="23"/>
  <c r="J43" i="23"/>
  <c r="J49" i="23"/>
  <c r="J53" i="23"/>
  <c r="J57" i="23"/>
  <c r="J61" i="23"/>
  <c r="J65" i="23"/>
  <c r="J69" i="23"/>
  <c r="J73" i="23"/>
  <c r="J77" i="23"/>
  <c r="J81" i="23"/>
  <c r="J85" i="23"/>
  <c r="J89" i="23"/>
  <c r="J93" i="23"/>
  <c r="J97" i="23"/>
  <c r="J101" i="23"/>
  <c r="J105" i="23"/>
  <c r="J109" i="23"/>
  <c r="J23" i="23"/>
  <c r="J54" i="23"/>
  <c r="J66" i="23"/>
  <c r="J78" i="23"/>
  <c r="J90" i="23"/>
  <c r="J106" i="23"/>
  <c r="L21" i="2"/>
  <c r="D221" i="2"/>
  <c r="D239" i="2"/>
  <c r="N13" i="8" s="1"/>
  <c r="O13" i="8" s="1"/>
  <c r="D240" i="2" s="1"/>
  <c r="J66" i="1" s="1"/>
  <c r="D61" i="1"/>
  <c r="D64" i="1"/>
  <c r="D206" i="2"/>
  <c r="C3" i="25" s="1"/>
  <c r="D63" i="1"/>
  <c r="D62" i="1"/>
  <c r="K66" i="1"/>
  <c r="L16" i="2"/>
  <c r="D33" i="1"/>
  <c r="D36" i="1"/>
  <c r="D34" i="1"/>
  <c r="D37" i="1"/>
  <c r="G3" i="8"/>
  <c r="D95" i="2"/>
  <c r="J20" i="1" s="1"/>
  <c r="B17" i="2"/>
  <c r="D214" i="2" s="1"/>
  <c r="C70" i="16" l="1"/>
  <c r="D70" i="16" s="1"/>
  <c r="AU13" i="23"/>
  <c r="AU29" i="23"/>
  <c r="AU106" i="23"/>
  <c r="AU78" i="23"/>
  <c r="AU93" i="23"/>
  <c r="AU61" i="23"/>
  <c r="AU22" i="23"/>
  <c r="AU34" i="23"/>
  <c r="AU88" i="23"/>
  <c r="AU56" i="23"/>
  <c r="AU15" i="23"/>
  <c r="AU39" i="23"/>
  <c r="AU87" i="23"/>
  <c r="AU55" i="23"/>
  <c r="AU14" i="23"/>
  <c r="AU20" i="23"/>
  <c r="AU66" i="23"/>
  <c r="AU83" i="23"/>
  <c r="AU54" i="23"/>
  <c r="AU53" i="23"/>
  <c r="AU80" i="23"/>
  <c r="AU47" i="23"/>
  <c r="AU94" i="23"/>
  <c r="AU18" i="23"/>
  <c r="AU79" i="23"/>
  <c r="AU46" i="23"/>
  <c r="AU44" i="23"/>
  <c r="AU12" i="23"/>
  <c r="AU89" i="23"/>
  <c r="AU102" i="23"/>
  <c r="AU85" i="23"/>
  <c r="AU11" i="23"/>
  <c r="AU23" i="23"/>
  <c r="AU81" i="23"/>
  <c r="AU49" i="23"/>
  <c r="AU10" i="23"/>
  <c r="AU108" i="23"/>
  <c r="AU76" i="23"/>
  <c r="AU42" i="23"/>
  <c r="AU86" i="23"/>
  <c r="AU107" i="23"/>
  <c r="AU75" i="23"/>
  <c r="AU41" i="23"/>
  <c r="AU40" i="23"/>
  <c r="AU84" i="23"/>
  <c r="AU48" i="23"/>
  <c r="AU109" i="23"/>
  <c r="AU77" i="23"/>
  <c r="AU43" i="23"/>
  <c r="AU98" i="23"/>
  <c r="AU104" i="23"/>
  <c r="AU72" i="23"/>
  <c r="AU37" i="23"/>
  <c r="AU74" i="23"/>
  <c r="AU103" i="23"/>
  <c r="AU71" i="23"/>
  <c r="AU35" i="23"/>
  <c r="AU36" i="23"/>
  <c r="AU57" i="23"/>
  <c r="AU51" i="23"/>
  <c r="AU105" i="23"/>
  <c r="AU73" i="23"/>
  <c r="AU38" i="23"/>
  <c r="AU82" i="23"/>
  <c r="AU100" i="23"/>
  <c r="AU68" i="23"/>
  <c r="AU31" i="23"/>
  <c r="AU70" i="23"/>
  <c r="AU99" i="23"/>
  <c r="AU67" i="23"/>
  <c r="AU30" i="23"/>
  <c r="AU32" i="23"/>
  <c r="AU52" i="23"/>
  <c r="AU101" i="23"/>
  <c r="AU33" i="23"/>
  <c r="AU62" i="23"/>
  <c r="AU96" i="23"/>
  <c r="AU64" i="23"/>
  <c r="AU26" i="23"/>
  <c r="AU58" i="23"/>
  <c r="AU95" i="23"/>
  <c r="AU63" i="23"/>
  <c r="AU25" i="23"/>
  <c r="AU28" i="23"/>
  <c r="AU17" i="23"/>
  <c r="AU16" i="23"/>
  <c r="AU69" i="23"/>
  <c r="AU90" i="23"/>
  <c r="AU97" i="23"/>
  <c r="AU65" i="23"/>
  <c r="AU27" i="23"/>
  <c r="AU45" i="23"/>
  <c r="AU92" i="23"/>
  <c r="AU60" i="23"/>
  <c r="AU21" i="23"/>
  <c r="AU50" i="23"/>
  <c r="AU91" i="23"/>
  <c r="AU59" i="23"/>
  <c r="AU19" i="23"/>
  <c r="AU24" i="23"/>
  <c r="J62" i="1"/>
  <c r="K3" i="25"/>
  <c r="D66" i="1"/>
  <c r="D65" i="1"/>
  <c r="I66" i="1"/>
  <c r="I65" i="1"/>
  <c r="D225" i="2"/>
  <c r="D364" i="2"/>
  <c r="C362" i="2"/>
  <c r="F55" i="1"/>
  <c r="F56" i="1"/>
  <c r="B73" i="1" l="1"/>
  <c r="D226" i="2"/>
  <c r="I3" i="8" s="1"/>
  <c r="N8" i="8"/>
  <c r="O8" i="8" s="1"/>
  <c r="N34" i="8" s="1"/>
  <c r="B60" i="21"/>
  <c r="B55" i="21"/>
  <c r="B35" i="21"/>
  <c r="B33" i="21"/>
  <c r="B30" i="21"/>
  <c r="B28" i="21"/>
  <c r="B27" i="21"/>
  <c r="B21" i="21"/>
  <c r="B15" i="21"/>
  <c r="B74" i="1" l="1"/>
  <c r="O34" i="8"/>
  <c r="C73" i="1" s="1"/>
  <c r="D73" i="1" s="1"/>
  <c r="D311" i="2"/>
  <c r="AM4" i="23" s="1"/>
  <c r="D310" i="2"/>
  <c r="B58" i="23" s="1"/>
  <c r="D307" i="2"/>
  <c r="B56" i="23" s="1"/>
  <c r="D304" i="2"/>
  <c r="B53" i="23" s="1"/>
  <c r="D301" i="2"/>
  <c r="D300" i="2"/>
  <c r="D296" i="2"/>
  <c r="D295" i="2"/>
  <c r="D294" i="2"/>
  <c r="B51" i="23" s="1"/>
  <c r="D292" i="2"/>
  <c r="B49" i="23" s="1"/>
  <c r="D288" i="2"/>
  <c r="D286" i="2"/>
  <c r="D285" i="2"/>
  <c r="B53" i="21" s="1"/>
  <c r="D282" i="2"/>
  <c r="D281" i="2"/>
  <c r="D280" i="2"/>
  <c r="B52" i="21" s="1"/>
  <c r="D277" i="2"/>
  <c r="D276" i="2"/>
  <c r="D275" i="2"/>
  <c r="B51" i="21" s="1"/>
  <c r="D273" i="2"/>
  <c r="B49" i="21" s="1"/>
  <c r="D302" i="2" l="1"/>
  <c r="D283" i="2"/>
  <c r="B59" i="23"/>
  <c r="B54" i="21"/>
  <c r="B56" i="21"/>
  <c r="K128" i="2"/>
  <c r="B300" i="2"/>
  <c r="B43" i="23" s="1"/>
  <c r="B301" i="2"/>
  <c r="B295" i="2"/>
  <c r="B40" i="23" s="1"/>
  <c r="B296" i="2"/>
  <c r="B41" i="23" s="1"/>
  <c r="B350" i="2"/>
  <c r="A52" i="16"/>
  <c r="B44" i="23" l="1"/>
  <c r="B302" i="2"/>
  <c r="B337" i="2"/>
  <c r="D230" i="2"/>
  <c r="A337" i="2"/>
  <c r="D336" i="2"/>
  <c r="A339" i="2"/>
  <c r="B346" i="2"/>
  <c r="A345"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D353" i="2" l="1"/>
  <c r="E353" i="2"/>
  <c r="C63" i="16" s="1"/>
  <c r="D63" i="16" s="1"/>
  <c r="I3" i="17"/>
  <c r="B359" i="2"/>
  <c r="A359" i="2"/>
  <c r="B203" i="2"/>
  <c r="B218" i="2" s="1"/>
  <c r="B358" i="2" l="1"/>
  <c r="A358" i="2"/>
  <c r="B357" i="2"/>
  <c r="A357"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05" i="2"/>
  <c r="Q6" i="17"/>
  <c r="C6" i="17" l="1"/>
  <c r="C6" i="25"/>
  <c r="A341" i="2"/>
  <c r="B175" i="2"/>
  <c r="B176" i="2" s="1"/>
  <c r="H3" i="8" s="1"/>
  <c r="B122" i="2"/>
  <c r="B77" i="2"/>
  <c r="B8" i="2"/>
  <c r="D187" i="2" s="1"/>
  <c r="B9" i="2"/>
  <c r="H625" i="25" l="1"/>
  <c r="H623" i="25"/>
  <c r="G613" i="25"/>
  <c r="G612" i="25"/>
  <c r="G611" i="25"/>
  <c r="G610" i="25"/>
  <c r="G609" i="25"/>
  <c r="G608" i="25"/>
  <c r="G607" i="25"/>
  <c r="G606" i="25"/>
  <c r="G605" i="25"/>
  <c r="G604" i="25"/>
  <c r="G603" i="25"/>
  <c r="G602" i="25"/>
  <c r="G601" i="25"/>
  <c r="G600" i="25"/>
  <c r="G599" i="25"/>
  <c r="G598" i="25"/>
  <c r="G597" i="25"/>
  <c r="G596" i="25"/>
  <c r="G595" i="25"/>
  <c r="G594" i="25"/>
  <c r="G593" i="25"/>
  <c r="G592" i="25"/>
  <c r="G591" i="25"/>
  <c r="G590" i="25"/>
  <c r="G589" i="25"/>
  <c r="G588" i="25"/>
  <c r="G587" i="25"/>
  <c r="G586" i="25"/>
  <c r="G585" i="25"/>
  <c r="G584" i="25"/>
  <c r="G583" i="25"/>
  <c r="G582" i="25"/>
  <c r="G581" i="25"/>
  <c r="G580" i="25"/>
  <c r="G579" i="25"/>
  <c r="G578" i="25"/>
  <c r="G577" i="25"/>
  <c r="G576" i="25"/>
  <c r="G575" i="25"/>
  <c r="G574" i="25"/>
  <c r="G573" i="25"/>
  <c r="G572" i="25"/>
  <c r="G571" i="25"/>
  <c r="G570" i="25"/>
  <c r="G569" i="25"/>
  <c r="G568" i="25"/>
  <c r="G567" i="25"/>
  <c r="G566" i="25"/>
  <c r="G565" i="25"/>
  <c r="G564" i="25"/>
  <c r="G563" i="25"/>
  <c r="G562" i="25"/>
  <c r="G561" i="25"/>
  <c r="G560" i="25"/>
  <c r="G559" i="25"/>
  <c r="G558" i="25"/>
  <c r="G557" i="25"/>
  <c r="G556" i="25"/>
  <c r="G555" i="25"/>
  <c r="G554" i="25"/>
  <c r="G553" i="25"/>
  <c r="G552" i="25"/>
  <c r="G551" i="25"/>
  <c r="G550" i="25"/>
  <c r="G549" i="25"/>
  <c r="G548" i="25"/>
  <c r="G547" i="25"/>
  <c r="G546" i="25"/>
  <c r="G545" i="25"/>
  <c r="G544" i="25"/>
  <c r="G543" i="25"/>
  <c r="G625" i="25"/>
  <c r="G623" i="25"/>
  <c r="G628" i="25"/>
  <c r="G626" i="25"/>
  <c r="G624" i="25"/>
  <c r="H613" i="25"/>
  <c r="H612" i="25"/>
  <c r="H611" i="25"/>
  <c r="H610" i="25"/>
  <c r="H609" i="25"/>
  <c r="H608" i="25"/>
  <c r="H607" i="25"/>
  <c r="H606" i="25"/>
  <c r="H605" i="25"/>
  <c r="H604" i="25"/>
  <c r="H603" i="25"/>
  <c r="H602" i="25"/>
  <c r="H601" i="25"/>
  <c r="H600" i="25"/>
  <c r="H599" i="25"/>
  <c r="H598" i="25"/>
  <c r="H597" i="25"/>
  <c r="H596" i="25"/>
  <c r="H595" i="25"/>
  <c r="H594" i="25"/>
  <c r="H593" i="25"/>
  <c r="H592" i="25"/>
  <c r="H591" i="25"/>
  <c r="H590" i="25"/>
  <c r="H589" i="25"/>
  <c r="H588" i="25"/>
  <c r="H587" i="25"/>
  <c r="H586" i="25"/>
  <c r="H585" i="25"/>
  <c r="H584" i="25"/>
  <c r="H583" i="25"/>
  <c r="H582" i="25"/>
  <c r="H581" i="25"/>
  <c r="H580" i="25"/>
  <c r="H579" i="25"/>
  <c r="H578" i="25"/>
  <c r="H577" i="25"/>
  <c r="H576" i="25"/>
  <c r="H575" i="25"/>
  <c r="H574" i="25"/>
  <c r="H573" i="25"/>
  <c r="H572" i="25"/>
  <c r="H571" i="25"/>
  <c r="H570" i="25"/>
  <c r="H569" i="25"/>
  <c r="H568" i="25"/>
  <c r="H567" i="25"/>
  <c r="H566" i="25"/>
  <c r="H565" i="25"/>
  <c r="H564" i="25"/>
  <c r="H563" i="25"/>
  <c r="H562" i="25"/>
  <c r="H561" i="25"/>
  <c r="H560" i="25"/>
  <c r="H559" i="25"/>
  <c r="H558" i="25"/>
  <c r="H557" i="25"/>
  <c r="H556" i="25"/>
  <c r="H555" i="25"/>
  <c r="H554" i="25"/>
  <c r="H553" i="25"/>
  <c r="H552" i="25"/>
  <c r="H551" i="25"/>
  <c r="H550" i="25"/>
  <c r="H549" i="25"/>
  <c r="H548" i="25"/>
  <c r="H547" i="25"/>
  <c r="H546" i="25"/>
  <c r="H545" i="25"/>
  <c r="H544" i="25"/>
  <c r="H543" i="25"/>
  <c r="H542" i="25"/>
  <c r="H541" i="25"/>
  <c r="H540" i="25"/>
  <c r="H539" i="25"/>
  <c r="H538" i="25"/>
  <c r="H537" i="25"/>
  <c r="G542" i="25"/>
  <c r="G538" i="25"/>
  <c r="H628" i="25"/>
  <c r="G539" i="25"/>
  <c r="H624" i="25"/>
  <c r="G541" i="25"/>
  <c r="G537" i="25"/>
  <c r="G536" i="25"/>
  <c r="G535" i="25"/>
  <c r="G534" i="25"/>
  <c r="G533" i="25"/>
  <c r="G532" i="25"/>
  <c r="G531" i="25"/>
  <c r="G530" i="25"/>
  <c r="G529" i="25"/>
  <c r="G528" i="25"/>
  <c r="G527" i="25"/>
  <c r="G526" i="25"/>
  <c r="G525" i="25"/>
  <c r="G524" i="25"/>
  <c r="G523" i="25"/>
  <c r="G522" i="25"/>
  <c r="G521" i="25"/>
  <c r="G520" i="25"/>
  <c r="G519" i="25"/>
  <c r="G518" i="25"/>
  <c r="G517" i="25"/>
  <c r="G516" i="25"/>
  <c r="G515" i="25"/>
  <c r="G514" i="25"/>
  <c r="G513" i="25"/>
  <c r="G512" i="25"/>
  <c r="G511" i="25"/>
  <c r="G510" i="25"/>
  <c r="G509" i="25"/>
  <c r="G508" i="25"/>
  <c r="G507" i="25"/>
  <c r="G506" i="25"/>
  <c r="G505" i="25"/>
  <c r="G504" i="25"/>
  <c r="G503" i="25"/>
  <c r="G502" i="25"/>
  <c r="G501" i="25"/>
  <c r="G500" i="25"/>
  <c r="G499" i="25"/>
  <c r="G498" i="25"/>
  <c r="G497" i="25"/>
  <c r="G496" i="25"/>
  <c r="G495" i="25"/>
  <c r="G494" i="25"/>
  <c r="G493" i="25"/>
  <c r="G492" i="25"/>
  <c r="G491" i="25"/>
  <c r="G490" i="25"/>
  <c r="G489" i="25"/>
  <c r="G488" i="25"/>
  <c r="G487" i="25"/>
  <c r="G486" i="25"/>
  <c r="G485" i="25"/>
  <c r="G484" i="25"/>
  <c r="G483" i="25"/>
  <c r="G482" i="25"/>
  <c r="G481" i="25"/>
  <c r="G480" i="25"/>
  <c r="G479" i="25"/>
  <c r="G478" i="25"/>
  <c r="G477" i="25"/>
  <c r="G476" i="25"/>
  <c r="G475" i="25"/>
  <c r="G474" i="25"/>
  <c r="G473" i="25"/>
  <c r="G472" i="25"/>
  <c r="G471" i="25"/>
  <c r="G470" i="25"/>
  <c r="G469" i="25"/>
  <c r="G468" i="25"/>
  <c r="G467" i="25"/>
  <c r="G466" i="25"/>
  <c r="G465" i="25"/>
  <c r="G464" i="25"/>
  <c r="G463" i="25"/>
  <c r="G462" i="25"/>
  <c r="G461" i="25"/>
  <c r="G460" i="25"/>
  <c r="G459" i="25"/>
  <c r="G458" i="25"/>
  <c r="G457" i="25"/>
  <c r="G456" i="25"/>
  <c r="G455" i="25"/>
  <c r="G454" i="25"/>
  <c r="G453" i="25"/>
  <c r="G452" i="25"/>
  <c r="G451" i="25"/>
  <c r="G450" i="25"/>
  <c r="G449" i="25"/>
  <c r="G448" i="25"/>
  <c r="G447" i="25"/>
  <c r="G446" i="25"/>
  <c r="G445" i="25"/>
  <c r="G444" i="25"/>
  <c r="G443" i="25"/>
  <c r="G442" i="25"/>
  <c r="G441" i="25"/>
  <c r="G440" i="25"/>
  <c r="G439" i="25"/>
  <c r="G438" i="25"/>
  <c r="G437" i="25"/>
  <c r="G436" i="25"/>
  <c r="G435" i="25"/>
  <c r="G434" i="25"/>
  <c r="G433" i="25"/>
  <c r="G432" i="25"/>
  <c r="G431" i="25"/>
  <c r="G430" i="25"/>
  <c r="G429" i="25"/>
  <c r="G428" i="25"/>
  <c r="G427" i="25"/>
  <c r="G426" i="25"/>
  <c r="G425" i="25"/>
  <c r="G424" i="25"/>
  <c r="G423" i="25"/>
  <c r="G422" i="25"/>
  <c r="G421" i="25"/>
  <c r="G420" i="25"/>
  <c r="G419" i="25"/>
  <c r="G418" i="25"/>
  <c r="G417" i="25"/>
  <c r="G416" i="25"/>
  <c r="G415" i="25"/>
  <c r="G414" i="25"/>
  <c r="G413" i="25"/>
  <c r="G412" i="25"/>
  <c r="G411" i="25"/>
  <c r="G410" i="25"/>
  <c r="G409" i="25"/>
  <c r="G408" i="25"/>
  <c r="G407" i="25"/>
  <c r="G406" i="25"/>
  <c r="G405" i="25"/>
  <c r="G404" i="25"/>
  <c r="G403" i="25"/>
  <c r="G402" i="25"/>
  <c r="G401" i="25"/>
  <c r="G400" i="25"/>
  <c r="G399" i="25"/>
  <c r="G39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H536" i="25"/>
  <c r="H532" i="25"/>
  <c r="H528" i="25"/>
  <c r="H524" i="25"/>
  <c r="H520" i="25"/>
  <c r="H516" i="25"/>
  <c r="H512" i="25"/>
  <c r="H508" i="25"/>
  <c r="H504" i="25"/>
  <c r="H500" i="25"/>
  <c r="H496" i="25"/>
  <c r="H492" i="25"/>
  <c r="H488" i="25"/>
  <c r="H484" i="25"/>
  <c r="H480" i="25"/>
  <c r="H476" i="25"/>
  <c r="H472" i="25"/>
  <c r="H468" i="25"/>
  <c r="H464" i="25"/>
  <c r="H460" i="25"/>
  <c r="H456" i="25"/>
  <c r="H452" i="25"/>
  <c r="H448" i="25"/>
  <c r="H444" i="25"/>
  <c r="H440" i="25"/>
  <c r="H436" i="25"/>
  <c r="H432" i="25"/>
  <c r="H428" i="25"/>
  <c r="H424" i="25"/>
  <c r="H420" i="25"/>
  <c r="H416" i="25"/>
  <c r="H412" i="25"/>
  <c r="H408" i="25"/>
  <c r="H404" i="25"/>
  <c r="H400" i="25"/>
  <c r="H396" i="25"/>
  <c r="H533" i="25"/>
  <c r="H529" i="25"/>
  <c r="H525" i="25"/>
  <c r="H521" i="25"/>
  <c r="H517" i="25"/>
  <c r="H513" i="25"/>
  <c r="H509" i="25"/>
  <c r="H505" i="25"/>
  <c r="H501" i="25"/>
  <c r="H497" i="25"/>
  <c r="H493" i="25"/>
  <c r="H489" i="25"/>
  <c r="H485" i="25"/>
  <c r="H481" i="25"/>
  <c r="H477" i="25"/>
  <c r="H473" i="25"/>
  <c r="H469" i="25"/>
  <c r="H465" i="25"/>
  <c r="H461" i="25"/>
  <c r="H457" i="25"/>
  <c r="H453" i="25"/>
  <c r="H449" i="25"/>
  <c r="H445" i="25"/>
  <c r="H441" i="25"/>
  <c r="H437" i="25"/>
  <c r="H433" i="25"/>
  <c r="H429" i="25"/>
  <c r="H425" i="25"/>
  <c r="H421" i="25"/>
  <c r="H417" i="25"/>
  <c r="H413" i="25"/>
  <c r="H409" i="25"/>
  <c r="H405" i="25"/>
  <c r="H401" i="25"/>
  <c r="H397" i="25"/>
  <c r="H393" i="25"/>
  <c r="H389" i="25"/>
  <c r="H385" i="25"/>
  <c r="H381" i="25"/>
  <c r="H377" i="25"/>
  <c r="H373" i="25"/>
  <c r="H369" i="25"/>
  <c r="H368" i="25"/>
  <c r="H367" i="25"/>
  <c r="H366" i="25"/>
  <c r="H365" i="25"/>
  <c r="H364" i="25"/>
  <c r="H363" i="25"/>
  <c r="H362" i="25"/>
  <c r="H361" i="25"/>
  <c r="H360" i="25"/>
  <c r="H359" i="25"/>
  <c r="H358" i="25"/>
  <c r="H357" i="25"/>
  <c r="H356" i="25"/>
  <c r="H355" i="25"/>
  <c r="H354" i="25"/>
  <c r="H353" i="25"/>
  <c r="H352" i="25"/>
  <c r="H351" i="25"/>
  <c r="H350" i="25"/>
  <c r="H349" i="25"/>
  <c r="H348" i="25"/>
  <c r="H347" i="25"/>
  <c r="H346" i="25"/>
  <c r="H345" i="25"/>
  <c r="H344" i="25"/>
  <c r="H343" i="25"/>
  <c r="H342" i="25"/>
  <c r="H341" i="25"/>
  <c r="H340" i="25"/>
  <c r="H339" i="25"/>
  <c r="H338" i="25"/>
  <c r="H337" i="25"/>
  <c r="H336" i="25"/>
  <c r="H335" i="25"/>
  <c r="H334" i="25"/>
  <c r="H333" i="25"/>
  <c r="H332" i="25"/>
  <c r="H331" i="25"/>
  <c r="H330" i="25"/>
  <c r="H329" i="25"/>
  <c r="H328" i="25"/>
  <c r="H327" i="25"/>
  <c r="H326" i="25"/>
  <c r="H626" i="25"/>
  <c r="G540" i="25"/>
  <c r="H535" i="25"/>
  <c r="H531" i="25"/>
  <c r="H527" i="25"/>
  <c r="H523" i="25"/>
  <c r="H519" i="25"/>
  <c r="H515" i="25"/>
  <c r="H511" i="25"/>
  <c r="H507" i="25"/>
  <c r="H503" i="25"/>
  <c r="H499" i="25"/>
  <c r="H495" i="25"/>
  <c r="H491" i="25"/>
  <c r="H487" i="25"/>
  <c r="H483" i="25"/>
  <c r="H479" i="25"/>
  <c r="H475" i="25"/>
  <c r="H471" i="25"/>
  <c r="H467" i="25"/>
  <c r="H463" i="25"/>
  <c r="H459" i="25"/>
  <c r="H455" i="25"/>
  <c r="H451" i="25"/>
  <c r="H447" i="25"/>
  <c r="H443" i="25"/>
  <c r="H439" i="25"/>
  <c r="H435" i="25"/>
  <c r="H431" i="25"/>
  <c r="H427" i="25"/>
  <c r="H423" i="25"/>
  <c r="H419" i="25"/>
  <c r="H415" i="25"/>
  <c r="H411" i="25"/>
  <c r="H407" i="25"/>
  <c r="H403" i="25"/>
  <c r="H399" i="25"/>
  <c r="H395" i="25"/>
  <c r="H391" i="25"/>
  <c r="H387" i="25"/>
  <c r="H383" i="25"/>
  <c r="H379" i="25"/>
  <c r="H375" i="25"/>
  <c r="H371" i="25"/>
  <c r="H522" i="25"/>
  <c r="H506" i="25"/>
  <c r="H490" i="25"/>
  <c r="H474" i="25"/>
  <c r="H458" i="25"/>
  <c r="H442" i="25"/>
  <c r="H426" i="25"/>
  <c r="H410" i="25"/>
  <c r="H394" i="25"/>
  <c r="H386" i="25"/>
  <c r="H378" i="25"/>
  <c r="H370" i="25"/>
  <c r="G366" i="25"/>
  <c r="G362" i="25"/>
  <c r="G358" i="25"/>
  <c r="G354" i="25"/>
  <c r="G350" i="25"/>
  <c r="G346" i="25"/>
  <c r="G342" i="25"/>
  <c r="G338" i="25"/>
  <c r="G334" i="25"/>
  <c r="G330"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H534" i="25"/>
  <c r="H518" i="25"/>
  <c r="H502" i="25"/>
  <c r="H486" i="25"/>
  <c r="H470" i="25"/>
  <c r="H454" i="25"/>
  <c r="H438" i="25"/>
  <c r="H422" i="25"/>
  <c r="H406" i="25"/>
  <c r="H392" i="25"/>
  <c r="H384" i="25"/>
  <c r="H376" i="25"/>
  <c r="G367" i="25"/>
  <c r="G363" i="25"/>
  <c r="G359" i="25"/>
  <c r="G355" i="25"/>
  <c r="G351" i="25"/>
  <c r="G347" i="25"/>
  <c r="G343" i="25"/>
  <c r="G339" i="25"/>
  <c r="G335" i="25"/>
  <c r="G331" i="25"/>
  <c r="G327" i="25"/>
  <c r="H526" i="25"/>
  <c r="H510" i="25"/>
  <c r="H494" i="25"/>
  <c r="H478" i="25"/>
  <c r="H462" i="25"/>
  <c r="H446" i="25"/>
  <c r="H430" i="25"/>
  <c r="H414" i="25"/>
  <c r="H398" i="25"/>
  <c r="H388" i="25"/>
  <c r="H380" i="25"/>
  <c r="H372" i="25"/>
  <c r="G369" i="25"/>
  <c r="G365" i="25"/>
  <c r="G361" i="25"/>
  <c r="G357" i="25"/>
  <c r="G353" i="25"/>
  <c r="G349" i="25"/>
  <c r="G345" i="25"/>
  <c r="G341" i="25"/>
  <c r="G337" i="25"/>
  <c r="G333" i="25"/>
  <c r="G329" i="25"/>
  <c r="H325" i="25"/>
  <c r="H324" i="25"/>
  <c r="H323" i="25"/>
  <c r="H322" i="25"/>
  <c r="H321" i="25"/>
  <c r="H320" i="25"/>
  <c r="H319" i="25"/>
  <c r="H318" i="25"/>
  <c r="H317" i="25"/>
  <c r="H316" i="25"/>
  <c r="H315" i="25"/>
  <c r="H314" i="25"/>
  <c r="H313" i="25"/>
  <c r="H312" i="25"/>
  <c r="H311" i="25"/>
  <c r="H310" i="25"/>
  <c r="H309" i="25"/>
  <c r="H308" i="25"/>
  <c r="H307" i="25"/>
  <c r="H306" i="25"/>
  <c r="H305" i="25"/>
  <c r="H304" i="25"/>
  <c r="H303" i="25"/>
  <c r="H302" i="25"/>
  <c r="H301" i="25"/>
  <c r="H300" i="25"/>
  <c r="H299" i="25"/>
  <c r="H298" i="25"/>
  <c r="H297" i="25"/>
  <c r="H296" i="25"/>
  <c r="H295" i="25"/>
  <c r="H294" i="25"/>
  <c r="H293" i="25"/>
  <c r="H292" i="25"/>
  <c r="H291" i="25"/>
  <c r="H290" i="25"/>
  <c r="H289" i="25"/>
  <c r="H288" i="25"/>
  <c r="H287" i="25"/>
  <c r="H286" i="25"/>
  <c r="H285" i="25"/>
  <c r="H284" i="25"/>
  <c r="H283" i="25"/>
  <c r="H282" i="25"/>
  <c r="H281" i="25"/>
  <c r="H280" i="25"/>
  <c r="H279" i="25"/>
  <c r="H278" i="25"/>
  <c r="H277" i="25"/>
  <c r="H276" i="25"/>
  <c r="H275" i="25"/>
  <c r="H274" i="25"/>
  <c r="H273" i="25"/>
  <c r="H272" i="25"/>
  <c r="H271" i="25"/>
  <c r="H270" i="25"/>
  <c r="H269" i="25"/>
  <c r="H268" i="25"/>
  <c r="H267" i="25"/>
  <c r="H266" i="25"/>
  <c r="H265" i="25"/>
  <c r="H264" i="25"/>
  <c r="H263" i="25"/>
  <c r="H262" i="25"/>
  <c r="H261" i="25"/>
  <c r="H260" i="25"/>
  <c r="H259" i="25"/>
  <c r="H258" i="25"/>
  <c r="H257" i="25"/>
  <c r="H256" i="25"/>
  <c r="H255" i="25"/>
  <c r="H254" i="25"/>
  <c r="H253" i="25"/>
  <c r="H252" i="25"/>
  <c r="H251" i="25"/>
  <c r="H250" i="25"/>
  <c r="H249" i="25"/>
  <c r="H248" i="25"/>
  <c r="H247" i="25"/>
  <c r="H246" i="25"/>
  <c r="H245" i="25"/>
  <c r="H244" i="25"/>
  <c r="H243" i="25"/>
  <c r="H242" i="25"/>
  <c r="H241" i="25"/>
  <c r="H240" i="25"/>
  <c r="H239" i="25"/>
  <c r="H238" i="25"/>
  <c r="H237" i="25"/>
  <c r="H236" i="25"/>
  <c r="H235" i="25"/>
  <c r="H234" i="25"/>
  <c r="H482" i="25"/>
  <c r="H418" i="25"/>
  <c r="H374" i="25"/>
  <c r="G356" i="25"/>
  <c r="G340" i="25"/>
  <c r="G261" i="25"/>
  <c r="G257" i="25"/>
  <c r="G253" i="25"/>
  <c r="G249" i="25"/>
  <c r="G245" i="25"/>
  <c r="G241" i="25"/>
  <c r="G237" i="25"/>
  <c r="H233" i="25"/>
  <c r="H232" i="25"/>
  <c r="H231" i="25"/>
  <c r="H230" i="25"/>
  <c r="H229" i="25"/>
  <c r="H228" i="25"/>
  <c r="H227" i="25"/>
  <c r="H226" i="25"/>
  <c r="H225" i="25"/>
  <c r="H224" i="25"/>
  <c r="H223" i="25"/>
  <c r="H222" i="25"/>
  <c r="H221" i="25"/>
  <c r="H220" i="25"/>
  <c r="H219" i="25"/>
  <c r="H218" i="25"/>
  <c r="H217" i="25"/>
  <c r="H216" i="25"/>
  <c r="H215" i="25"/>
  <c r="H214" i="25"/>
  <c r="H213" i="25"/>
  <c r="H212" i="25"/>
  <c r="H211" i="25"/>
  <c r="H210" i="25"/>
  <c r="H209" i="25"/>
  <c r="H208" i="25"/>
  <c r="H207" i="25"/>
  <c r="H206" i="25"/>
  <c r="H205" i="25"/>
  <c r="H204" i="25"/>
  <c r="H203" i="25"/>
  <c r="H202" i="25"/>
  <c r="H201" i="25"/>
  <c r="H200" i="25"/>
  <c r="H199" i="25"/>
  <c r="H198" i="25"/>
  <c r="H197" i="25"/>
  <c r="H196" i="25"/>
  <c r="H195" i="25"/>
  <c r="H194" i="25"/>
  <c r="H193" i="25"/>
  <c r="H192" i="25"/>
  <c r="H191" i="25"/>
  <c r="H190" i="25"/>
  <c r="H189" i="25"/>
  <c r="H188" i="25"/>
  <c r="H187" i="25"/>
  <c r="H186" i="25"/>
  <c r="H185" i="25"/>
  <c r="H184" i="25"/>
  <c r="H183" i="25"/>
  <c r="H182" i="25"/>
  <c r="H181" i="25"/>
  <c r="H180" i="25"/>
  <c r="H179" i="25"/>
  <c r="H178" i="25"/>
  <c r="H177" i="25"/>
  <c r="H176" i="25"/>
  <c r="H175" i="25"/>
  <c r="H173" i="25"/>
  <c r="H172" i="25"/>
  <c r="H171" i="25"/>
  <c r="H170" i="25"/>
  <c r="H169" i="25"/>
  <c r="H168" i="25"/>
  <c r="H167" i="25"/>
  <c r="H166" i="25"/>
  <c r="H165" i="25"/>
  <c r="H164" i="25"/>
  <c r="H163" i="25"/>
  <c r="H162" i="25"/>
  <c r="H161" i="25"/>
  <c r="H159" i="25"/>
  <c r="H158" i="25"/>
  <c r="H156" i="25"/>
  <c r="H154" i="25"/>
  <c r="H152" i="25"/>
  <c r="H150" i="25"/>
  <c r="H149" i="25"/>
  <c r="H148" i="25"/>
  <c r="H146" i="25"/>
  <c r="H145" i="25"/>
  <c r="H143" i="25"/>
  <c r="H141" i="25"/>
  <c r="H139" i="25"/>
  <c r="H137" i="25"/>
  <c r="H135" i="25"/>
  <c r="H133" i="25"/>
  <c r="H131" i="25"/>
  <c r="H129" i="25"/>
  <c r="H128" i="25"/>
  <c r="H126" i="25"/>
  <c r="H124" i="25"/>
  <c r="H122" i="25"/>
  <c r="H120" i="25"/>
  <c r="H118" i="25"/>
  <c r="H530" i="25"/>
  <c r="H466" i="25"/>
  <c r="H402" i="25"/>
  <c r="G368" i="25"/>
  <c r="G352" i="25"/>
  <c r="G336" i="25"/>
  <c r="G262" i="25"/>
  <c r="G258" i="25"/>
  <c r="G254" i="25"/>
  <c r="G250" i="25"/>
  <c r="G246" i="25"/>
  <c r="G242" i="25"/>
  <c r="G238"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H498" i="25"/>
  <c r="H434" i="25"/>
  <c r="H382" i="25"/>
  <c r="G360" i="25"/>
  <c r="G344" i="25"/>
  <c r="G328" i="25"/>
  <c r="G260" i="25"/>
  <c r="G256" i="25"/>
  <c r="G252" i="25"/>
  <c r="G248" i="25"/>
  <c r="G244" i="25"/>
  <c r="G240" i="25"/>
  <c r="G236" i="25"/>
  <c r="H174" i="25"/>
  <c r="H160" i="25"/>
  <c r="H157" i="25"/>
  <c r="H155" i="25"/>
  <c r="H153" i="25"/>
  <c r="H151" i="25"/>
  <c r="H147" i="25"/>
  <c r="H144" i="25"/>
  <c r="H142" i="25"/>
  <c r="H140" i="25"/>
  <c r="H138" i="25"/>
  <c r="H136" i="25"/>
  <c r="H134" i="25"/>
  <c r="H132" i="25"/>
  <c r="H130" i="25"/>
  <c r="H127" i="25"/>
  <c r="H125" i="25"/>
  <c r="H123" i="25"/>
  <c r="H121" i="25"/>
  <c r="H119" i="25"/>
  <c r="H117" i="25"/>
  <c r="G364" i="25"/>
  <c r="G251" i="25"/>
  <c r="G235" i="25"/>
  <c r="H113" i="25"/>
  <c r="H109" i="25"/>
  <c r="H105" i="25"/>
  <c r="H101" i="25"/>
  <c r="H97" i="25"/>
  <c r="H93" i="25"/>
  <c r="H89" i="25"/>
  <c r="H85" i="25"/>
  <c r="H81" i="25"/>
  <c r="H77" i="25"/>
  <c r="H75" i="25"/>
  <c r="H73" i="25"/>
  <c r="H70" i="25"/>
  <c r="H67" i="25"/>
  <c r="H64" i="25"/>
  <c r="H60" i="25"/>
  <c r="H57" i="25"/>
  <c r="H54" i="25"/>
  <c r="H51" i="25"/>
  <c r="H48" i="25"/>
  <c r="H45" i="25"/>
  <c r="H42" i="25"/>
  <c r="H39" i="25"/>
  <c r="H35" i="25"/>
  <c r="H32" i="25"/>
  <c r="H29" i="25"/>
  <c r="H25" i="25"/>
  <c r="H22" i="25"/>
  <c r="H19" i="25"/>
  <c r="H16" i="25"/>
  <c r="H14" i="25"/>
  <c r="H13" i="25"/>
  <c r="G44" i="25"/>
  <c r="G41" i="25"/>
  <c r="G37" i="25"/>
  <c r="G33" i="25"/>
  <c r="G29" i="25"/>
  <c r="G26" i="25"/>
  <c r="G22" i="25"/>
  <c r="G18" i="25"/>
  <c r="G14" i="25"/>
  <c r="H107" i="25"/>
  <c r="H95" i="25"/>
  <c r="H514" i="25"/>
  <c r="G348" i="25"/>
  <c r="G263" i="25"/>
  <c r="G247" i="25"/>
  <c r="H114" i="25"/>
  <c r="H110" i="25"/>
  <c r="H106" i="25"/>
  <c r="H102" i="25"/>
  <c r="H98" i="25"/>
  <c r="H94" i="25"/>
  <c r="H90" i="25"/>
  <c r="H86" i="25"/>
  <c r="H82" i="25"/>
  <c r="H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3" i="25"/>
  <c r="G40" i="25"/>
  <c r="G36" i="25"/>
  <c r="G32" i="25"/>
  <c r="G28" i="25"/>
  <c r="G24" i="25"/>
  <c r="G21" i="25"/>
  <c r="G17" i="25"/>
  <c r="G13" i="25"/>
  <c r="G332" i="25"/>
  <c r="G259" i="25"/>
  <c r="H115" i="25"/>
  <c r="H103" i="25"/>
  <c r="H91" i="25"/>
  <c r="H79" i="25"/>
  <c r="H390" i="25"/>
  <c r="G255" i="25"/>
  <c r="G239" i="25"/>
  <c r="H116" i="25"/>
  <c r="H112" i="25"/>
  <c r="H108" i="25"/>
  <c r="H104" i="25"/>
  <c r="H100" i="25"/>
  <c r="H96" i="25"/>
  <c r="H92" i="25"/>
  <c r="H88" i="25"/>
  <c r="H84" i="25"/>
  <c r="H80" i="25"/>
  <c r="H76" i="25"/>
  <c r="H74" i="25"/>
  <c r="H72" i="25"/>
  <c r="H71" i="25"/>
  <c r="H69" i="25"/>
  <c r="H68" i="25"/>
  <c r="H66" i="25"/>
  <c r="H65" i="25"/>
  <c r="H63" i="25"/>
  <c r="H62" i="25"/>
  <c r="H61" i="25"/>
  <c r="H59" i="25"/>
  <c r="H58" i="25"/>
  <c r="H56" i="25"/>
  <c r="H55" i="25"/>
  <c r="H53" i="25"/>
  <c r="H52" i="25"/>
  <c r="H50" i="25"/>
  <c r="H49" i="25"/>
  <c r="H47" i="25"/>
  <c r="H46" i="25"/>
  <c r="H44" i="25"/>
  <c r="H43" i="25"/>
  <c r="H41" i="25"/>
  <c r="H40" i="25"/>
  <c r="H38" i="25"/>
  <c r="H37" i="25"/>
  <c r="H36" i="25"/>
  <c r="H34" i="25"/>
  <c r="H33" i="25"/>
  <c r="H31" i="25"/>
  <c r="H30" i="25"/>
  <c r="H28" i="25"/>
  <c r="H27" i="25"/>
  <c r="H26" i="25"/>
  <c r="H24" i="25"/>
  <c r="H23" i="25"/>
  <c r="H21" i="25"/>
  <c r="H20" i="25"/>
  <c r="H18" i="25"/>
  <c r="H17" i="25"/>
  <c r="H15" i="25"/>
  <c r="G42" i="25"/>
  <c r="G39" i="25"/>
  <c r="G38" i="25"/>
  <c r="G35" i="25"/>
  <c r="G34" i="25"/>
  <c r="G31" i="25"/>
  <c r="G30" i="25"/>
  <c r="G27" i="25"/>
  <c r="G25" i="25"/>
  <c r="G23" i="25"/>
  <c r="G20" i="25"/>
  <c r="G19" i="25"/>
  <c r="G16" i="25"/>
  <c r="G15" i="25"/>
  <c r="H450" i="25"/>
  <c r="G243" i="25"/>
  <c r="H111" i="25"/>
  <c r="H99" i="25"/>
  <c r="H87" i="25"/>
  <c r="H83" i="25"/>
  <c r="AO109" i="23"/>
  <c r="AO108" i="23"/>
  <c r="AO107" i="23"/>
  <c r="AO106" i="23"/>
  <c r="AO105" i="23"/>
  <c r="AO104" i="23"/>
  <c r="AO103" i="23"/>
  <c r="AO102" i="23"/>
  <c r="AO101" i="23"/>
  <c r="AO100" i="23"/>
  <c r="AO99" i="23"/>
  <c r="AO98" i="23"/>
  <c r="AO97" i="23"/>
  <c r="AO96" i="23"/>
  <c r="AO95" i="23"/>
  <c r="AO94" i="23"/>
  <c r="AO93" i="23"/>
  <c r="AO92" i="23"/>
  <c r="AO91" i="23"/>
  <c r="AO90" i="23"/>
  <c r="AO89" i="23"/>
  <c r="AO88" i="23"/>
  <c r="AO87" i="23"/>
  <c r="AO86" i="23"/>
  <c r="AO85" i="23"/>
  <c r="AO84" i="23"/>
  <c r="AO83" i="23"/>
  <c r="AO82" i="23"/>
  <c r="AO81" i="23"/>
  <c r="H109" i="23"/>
  <c r="H107" i="23"/>
  <c r="H105" i="23"/>
  <c r="H103" i="23"/>
  <c r="H101" i="23"/>
  <c r="H99" i="23"/>
  <c r="H97" i="23"/>
  <c r="H95" i="23"/>
  <c r="H91" i="23"/>
  <c r="H87" i="23"/>
  <c r="H83" i="23"/>
  <c r="AO59" i="23"/>
  <c r="AO58" i="23"/>
  <c r="AO57" i="23"/>
  <c r="AO56" i="23"/>
  <c r="AO55" i="23"/>
  <c r="AO54" i="23"/>
  <c r="AO53" i="23"/>
  <c r="AO52" i="23"/>
  <c r="AO51" i="23"/>
  <c r="AO50" i="23"/>
  <c r="H49" i="23"/>
  <c r="H48" i="23"/>
  <c r="H47" i="23"/>
  <c r="H46" i="23"/>
  <c r="H45" i="23"/>
  <c r="H44" i="23"/>
  <c r="H43" i="23"/>
  <c r="H42" i="23"/>
  <c r="H41" i="23"/>
  <c r="H40" i="23"/>
  <c r="H39" i="23"/>
  <c r="H38" i="23"/>
  <c r="AO32" i="23"/>
  <c r="AO31" i="23"/>
  <c r="AO30" i="23"/>
  <c r="H29" i="23"/>
  <c r="H28" i="23"/>
  <c r="AO22" i="23"/>
  <c r="AO21" i="23"/>
  <c r="H20" i="23"/>
  <c r="AO14" i="23"/>
  <c r="AO13" i="23"/>
  <c r="AO12" i="23"/>
  <c r="AO11" i="23"/>
  <c r="H9" i="23"/>
  <c r="H102" i="23"/>
  <c r="H80" i="23"/>
  <c r="H76" i="23"/>
  <c r="H72" i="23"/>
  <c r="H68" i="23"/>
  <c r="H92" i="23"/>
  <c r="H88" i="23"/>
  <c r="H84" i="23"/>
  <c r="AO49" i="23"/>
  <c r="AO48" i="23"/>
  <c r="AO47" i="23"/>
  <c r="AO46" i="23"/>
  <c r="AO45" i="23"/>
  <c r="AO44" i="23"/>
  <c r="AO43" i="23"/>
  <c r="AO42" i="23"/>
  <c r="AO41" i="23"/>
  <c r="AO40" i="23"/>
  <c r="AO39" i="23"/>
  <c r="AO38" i="23"/>
  <c r="H37" i="23"/>
  <c r="H36" i="23"/>
  <c r="H35" i="23"/>
  <c r="AO29" i="23"/>
  <c r="AO28" i="23"/>
  <c r="H27" i="23"/>
  <c r="AO20" i="23"/>
  <c r="H19" i="23"/>
  <c r="H18" i="23"/>
  <c r="H17" i="23"/>
  <c r="H16" i="23"/>
  <c r="AO10" i="23"/>
  <c r="AO9" i="23"/>
  <c r="H98" i="23"/>
  <c r="H89" i="23"/>
  <c r="H81" i="23"/>
  <c r="H78" i="23"/>
  <c r="H73" i="23"/>
  <c r="H69" i="23"/>
  <c r="H66" i="23"/>
  <c r="H94" i="23"/>
  <c r="H90" i="23"/>
  <c r="H86" i="23"/>
  <c r="H82" i="23"/>
  <c r="AO80" i="23"/>
  <c r="AO79" i="23"/>
  <c r="AO78" i="23"/>
  <c r="AO77" i="23"/>
  <c r="AO76" i="23"/>
  <c r="AO75" i="23"/>
  <c r="AO74" i="23"/>
  <c r="AO73" i="23"/>
  <c r="AO72" i="23"/>
  <c r="AO71" i="23"/>
  <c r="AO70" i="23"/>
  <c r="AO69" i="23"/>
  <c r="AO68" i="23"/>
  <c r="AO67" i="23"/>
  <c r="AO66" i="23"/>
  <c r="AO65" i="23"/>
  <c r="AO64" i="23"/>
  <c r="AO63" i="23"/>
  <c r="AO62" i="23"/>
  <c r="AO61" i="23"/>
  <c r="AO60" i="23"/>
  <c r="H59" i="23"/>
  <c r="H58" i="23"/>
  <c r="H57" i="23"/>
  <c r="H56" i="23"/>
  <c r="H55" i="23"/>
  <c r="H54" i="23"/>
  <c r="H53" i="23"/>
  <c r="H52" i="23"/>
  <c r="H51" i="23"/>
  <c r="H50" i="23"/>
  <c r="AO34" i="23"/>
  <c r="AO33" i="23"/>
  <c r="H32" i="23"/>
  <c r="H31" i="23"/>
  <c r="H30" i="23"/>
  <c r="AO26" i="23"/>
  <c r="AO25" i="23"/>
  <c r="AO24" i="23"/>
  <c r="AO23" i="23"/>
  <c r="H22" i="23"/>
  <c r="H21" i="23"/>
  <c r="AO15" i="23"/>
  <c r="H14" i="23"/>
  <c r="H13" i="23"/>
  <c r="H12" i="23"/>
  <c r="H11" i="23"/>
  <c r="B11" i="23"/>
  <c r="H10" i="23"/>
  <c r="H108" i="23"/>
  <c r="H106" i="23"/>
  <c r="H104" i="23"/>
  <c r="H100" i="23"/>
  <c r="H96" i="23"/>
  <c r="H93" i="23"/>
  <c r="H85" i="23"/>
  <c r="H79" i="23"/>
  <c r="H77" i="23"/>
  <c r="H75" i="23"/>
  <c r="H74" i="23"/>
  <c r="H71" i="23"/>
  <c r="H70" i="23"/>
  <c r="H67" i="23"/>
  <c r="H65" i="23"/>
  <c r="H63" i="23"/>
  <c r="H61" i="23"/>
  <c r="AO37" i="23"/>
  <c r="AO35" i="23"/>
  <c r="H34" i="23"/>
  <c r="H25" i="23"/>
  <c r="H60" i="23"/>
  <c r="H33" i="23"/>
  <c r="H26" i="23"/>
  <c r="AO18" i="23"/>
  <c r="H15" i="23"/>
  <c r="H62" i="23"/>
  <c r="AO19" i="23"/>
  <c r="AO17" i="23"/>
  <c r="H23" i="23"/>
  <c r="AO16" i="23"/>
  <c r="H64" i="23"/>
  <c r="AO36" i="23"/>
  <c r="AO27" i="23"/>
  <c r="H24" i="23"/>
  <c r="K9" i="23"/>
  <c r="AW8" i="23"/>
  <c r="AX8" i="23"/>
  <c r="K97" i="23"/>
  <c r="K50" i="23"/>
  <c r="K78" i="23"/>
  <c r="K43" i="23"/>
  <c r="K104" i="23"/>
  <c r="K37" i="23"/>
  <c r="K35" i="23"/>
  <c r="K24" i="23"/>
  <c r="K68" i="23"/>
  <c r="K32" i="23"/>
  <c r="K89" i="23"/>
  <c r="K96" i="23"/>
  <c r="K25" i="23"/>
  <c r="K57" i="23"/>
  <c r="K33" i="23"/>
  <c r="K94" i="23"/>
  <c r="K44" i="23"/>
  <c r="K27" i="23"/>
  <c r="K91" i="23"/>
  <c r="K93" i="23"/>
  <c r="K22" i="23"/>
  <c r="K88" i="23"/>
  <c r="K15" i="23"/>
  <c r="K87" i="23"/>
  <c r="K14" i="23"/>
  <c r="K65" i="23"/>
  <c r="K107" i="23"/>
  <c r="K66" i="23"/>
  <c r="K13" i="23"/>
  <c r="K52" i="23"/>
  <c r="K29" i="23"/>
  <c r="K51" i="23"/>
  <c r="K16" i="23"/>
  <c r="K10" i="23"/>
  <c r="K59" i="23"/>
  <c r="K101" i="23"/>
  <c r="K80" i="23"/>
  <c r="K79" i="23"/>
  <c r="K42" i="23"/>
  <c r="K40" i="23"/>
  <c r="K61" i="23"/>
  <c r="K34" i="23"/>
  <c r="K56" i="23"/>
  <c r="K39" i="23"/>
  <c r="K55" i="23"/>
  <c r="K20" i="23"/>
  <c r="K76" i="23"/>
  <c r="K41" i="23"/>
  <c r="K38" i="23"/>
  <c r="K84" i="23"/>
  <c r="K102" i="23"/>
  <c r="K83" i="23"/>
  <c r="K48" i="23"/>
  <c r="K81" i="23"/>
  <c r="K60" i="23"/>
  <c r="K105" i="23"/>
  <c r="K106" i="23"/>
  <c r="K69" i="23"/>
  <c r="K62" i="23"/>
  <c r="K47" i="23"/>
  <c r="K18" i="23"/>
  <c r="K46" i="23"/>
  <c r="K12" i="23"/>
  <c r="K103" i="23"/>
  <c r="K90" i="23"/>
  <c r="K86" i="23"/>
  <c r="K82" i="23"/>
  <c r="K70" i="23"/>
  <c r="K67" i="23"/>
  <c r="K49" i="23"/>
  <c r="K21" i="23"/>
  <c r="K54" i="23"/>
  <c r="K53" i="23"/>
  <c r="K26" i="23"/>
  <c r="K95" i="23"/>
  <c r="K98" i="23"/>
  <c r="K36" i="23"/>
  <c r="K100" i="23"/>
  <c r="K23" i="23"/>
  <c r="K63" i="23"/>
  <c r="K19" i="23"/>
  <c r="K109" i="23"/>
  <c r="K92" i="23"/>
  <c r="K72" i="23"/>
  <c r="K45" i="23"/>
  <c r="K31" i="23"/>
  <c r="K108" i="23"/>
  <c r="K11" i="23"/>
  <c r="K75" i="23"/>
  <c r="K64" i="23"/>
  <c r="K77" i="23"/>
  <c r="K71" i="23"/>
  <c r="K73" i="23"/>
  <c r="K30" i="23"/>
  <c r="K17" i="23"/>
  <c r="K58" i="23"/>
  <c r="K85" i="23"/>
  <c r="K28" i="23"/>
  <c r="K74" i="23"/>
  <c r="K99" i="23"/>
  <c r="F234"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D53" i="2"/>
  <c r="D54" i="2"/>
  <c r="B39" i="2"/>
  <c r="D39" i="2"/>
  <c r="B38" i="2"/>
  <c r="D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375" i="2"/>
  <c r="B347" i="2"/>
  <c r="A361" i="2"/>
  <c r="B387" i="2"/>
  <c r="B361" i="2"/>
  <c r="F135" i="2" l="1"/>
  <c r="F136" i="2"/>
  <c r="B136" i="2" s="1"/>
  <c r="K132" i="2"/>
  <c r="K133" i="2"/>
  <c r="B16" i="21"/>
  <c r="A375" i="2"/>
  <c r="B27" i="2" l="1"/>
  <c r="B190" i="2" s="1"/>
  <c r="D186" i="2" l="1"/>
  <c r="B30" i="2"/>
  <c r="D58" i="2"/>
  <c r="D133" i="2" s="1"/>
  <c r="D57" i="2"/>
  <c r="D132" i="2" s="1"/>
  <c r="B41" i="2"/>
  <c r="D227" i="2"/>
  <c r="B75" i="1" s="1"/>
  <c r="D42" i="2"/>
  <c r="D44" i="2" s="1"/>
  <c r="N3" i="25"/>
  <c r="N5" i="25" s="1"/>
  <c r="AL9" i="23"/>
  <c r="B78" i="23"/>
  <c r="AL23" i="23"/>
  <c r="AL107" i="23"/>
  <c r="AL75" i="23"/>
  <c r="AL19" i="23"/>
  <c r="AL24" i="23"/>
  <c r="AL43" i="23"/>
  <c r="AL103" i="23"/>
  <c r="AL35" i="23"/>
  <c r="AL100" i="23"/>
  <c r="AL52" i="23"/>
  <c r="AL67" i="23"/>
  <c r="AL30" i="23"/>
  <c r="AL32" i="23"/>
  <c r="AL60" i="23"/>
  <c r="AL72" i="23"/>
  <c r="AL15" i="23"/>
  <c r="AL87" i="23"/>
  <c r="AL14" i="23"/>
  <c r="AL105" i="23"/>
  <c r="AL38" i="23"/>
  <c r="AL31" i="23"/>
  <c r="AL99" i="23"/>
  <c r="AL54" i="23"/>
  <c r="AL11" i="23"/>
  <c r="AL96" i="23"/>
  <c r="AL64" i="23"/>
  <c r="AL95" i="23"/>
  <c r="AL63" i="23"/>
  <c r="AL28" i="23"/>
  <c r="AL86" i="23"/>
  <c r="AL59" i="23"/>
  <c r="AL78" i="23"/>
  <c r="AL22" i="23"/>
  <c r="AL71" i="23"/>
  <c r="AL68" i="23"/>
  <c r="AL51" i="23"/>
  <c r="AL16" i="23"/>
  <c r="AL39" i="23"/>
  <c r="AL102" i="23"/>
  <c r="AL49" i="23"/>
  <c r="AL108" i="23"/>
  <c r="AL42" i="23"/>
  <c r="AL93" i="23"/>
  <c r="AL34" i="23"/>
  <c r="AL37" i="23"/>
  <c r="AL66" i="23"/>
  <c r="AL57" i="23"/>
  <c r="AL29" i="23"/>
  <c r="AL90" i="23"/>
  <c r="AL65" i="23"/>
  <c r="AL45" i="23"/>
  <c r="AL50" i="23"/>
  <c r="AL109" i="23"/>
  <c r="AL98" i="23"/>
  <c r="AL13" i="23"/>
  <c r="AL85" i="23"/>
  <c r="AL53" i="23"/>
  <c r="AL26" i="23"/>
  <c r="AL58" i="23"/>
  <c r="AL25" i="23"/>
  <c r="AL76" i="23"/>
  <c r="AL91" i="23"/>
  <c r="AL40" i="23"/>
  <c r="AL88" i="23"/>
  <c r="AL20" i="23"/>
  <c r="AL70" i="23"/>
  <c r="AL48" i="23"/>
  <c r="AL92" i="23"/>
  <c r="AL56" i="23"/>
  <c r="AL36" i="23"/>
  <c r="AL81" i="23"/>
  <c r="AL10" i="23"/>
  <c r="AL77" i="23"/>
  <c r="AL74" i="23"/>
  <c r="AL89" i="23"/>
  <c r="AL17" i="23"/>
  <c r="AL97" i="23"/>
  <c r="AL21" i="23"/>
  <c r="AL41" i="23"/>
  <c r="AL61" i="23"/>
  <c r="AL73" i="23"/>
  <c r="AL82" i="23"/>
  <c r="AL106" i="23"/>
  <c r="AL101" i="23"/>
  <c r="AL69" i="23"/>
  <c r="AL33" i="23"/>
  <c r="AL18" i="23"/>
  <c r="AL83" i="23"/>
  <c r="AL27" i="23"/>
  <c r="AL104" i="23"/>
  <c r="AL55" i="23"/>
  <c r="AL84" i="23"/>
  <c r="AL62" i="23"/>
  <c r="AL12" i="23"/>
  <c r="AL80" i="23"/>
  <c r="AL79" i="23"/>
  <c r="AL46" i="23"/>
  <c r="AL94" i="23"/>
  <c r="AL44" i="23"/>
  <c r="AL47" i="23"/>
  <c r="AM42" i="23"/>
  <c r="AM66" i="23"/>
  <c r="AM65" i="23"/>
  <c r="AM98" i="23"/>
  <c r="AM26" i="23"/>
  <c r="AM74" i="23"/>
  <c r="AM82" i="23"/>
  <c r="AM19" i="23"/>
  <c r="AM35" i="23"/>
  <c r="AM30" i="23"/>
  <c r="AM15" i="23"/>
  <c r="AM38" i="23"/>
  <c r="AM11" i="23"/>
  <c r="AM63" i="23"/>
  <c r="AM17" i="23"/>
  <c r="AM91" i="23"/>
  <c r="AM22" i="23"/>
  <c r="AM68" i="23"/>
  <c r="AM48" i="23"/>
  <c r="AM104" i="23"/>
  <c r="AM36" i="23"/>
  <c r="AM80" i="23"/>
  <c r="AM46" i="23"/>
  <c r="AM73" i="23"/>
  <c r="AM101" i="23"/>
  <c r="AM9" i="23"/>
  <c r="AM93" i="23"/>
  <c r="AM57" i="23"/>
  <c r="AM45" i="23"/>
  <c r="AM13" i="23"/>
  <c r="AM58" i="23"/>
  <c r="AM89" i="23"/>
  <c r="AM23" i="23"/>
  <c r="AM24" i="23"/>
  <c r="AM100" i="23"/>
  <c r="AM32" i="23"/>
  <c r="AM87" i="23"/>
  <c r="AM31" i="23"/>
  <c r="AM96" i="23"/>
  <c r="AM28" i="23"/>
  <c r="AM97" i="23"/>
  <c r="AM59" i="23"/>
  <c r="AM88" i="23"/>
  <c r="AM70" i="23"/>
  <c r="AM16" i="23"/>
  <c r="AM56" i="23"/>
  <c r="AM84" i="23"/>
  <c r="AM47" i="23"/>
  <c r="AM44" i="23"/>
  <c r="AM106" i="23"/>
  <c r="AM33" i="23"/>
  <c r="AM75" i="23"/>
  <c r="AM103" i="23"/>
  <c r="AM72" i="23"/>
  <c r="AM54" i="23"/>
  <c r="AM95" i="23"/>
  <c r="AM86" i="23"/>
  <c r="AM78" i="23"/>
  <c r="AM51" i="23"/>
  <c r="AM92" i="23"/>
  <c r="AM62" i="23"/>
  <c r="AM79" i="23"/>
  <c r="AM69" i="23"/>
  <c r="AM49" i="23"/>
  <c r="AM34" i="23"/>
  <c r="AM29" i="23"/>
  <c r="AM50" i="23"/>
  <c r="AM85" i="23"/>
  <c r="AM25" i="23"/>
  <c r="AM21" i="23"/>
  <c r="AM107" i="23"/>
  <c r="AM43" i="23"/>
  <c r="AM52" i="23"/>
  <c r="AM60" i="23"/>
  <c r="AM14" i="23"/>
  <c r="AM99" i="23"/>
  <c r="AM64" i="23"/>
  <c r="AM81" i="23"/>
  <c r="AM76" i="23"/>
  <c r="AM40" i="23"/>
  <c r="AM71" i="23"/>
  <c r="AM83" i="23"/>
  <c r="AM27" i="23"/>
  <c r="AM39" i="23"/>
  <c r="AM102" i="23"/>
  <c r="AM94" i="23"/>
  <c r="AM12" i="23"/>
  <c r="AM18" i="23"/>
  <c r="AM108" i="23"/>
  <c r="AM37" i="23"/>
  <c r="AM90" i="23"/>
  <c r="AM109" i="23"/>
  <c r="AM53" i="23"/>
  <c r="AM10" i="23"/>
  <c r="AM61" i="23"/>
  <c r="AM67" i="23"/>
  <c r="AM105" i="23"/>
  <c r="AM77" i="23"/>
  <c r="AM20" i="23"/>
  <c r="AM55" i="23"/>
  <c r="AM41" i="23"/>
  <c r="B13" i="23"/>
  <c r="D41" i="2"/>
  <c r="B13" i="21"/>
  <c r="B78" i="21"/>
  <c r="B28" i="2"/>
  <c r="B327" i="2"/>
  <c r="B222" i="2"/>
  <c r="N3" i="17"/>
  <c r="N5" i="17" s="1"/>
  <c r="N22" i="8"/>
  <c r="D60" i="16"/>
  <c r="L190" i="2" l="1"/>
  <c r="M190" i="2" s="1"/>
  <c r="K190" i="2"/>
  <c r="J3" i="8"/>
  <c r="C636" i="25"/>
  <c r="A626" i="25"/>
  <c r="B79" i="23"/>
  <c r="B70" i="23"/>
  <c r="D112" i="2"/>
  <c r="D127" i="2"/>
  <c r="J38" i="1" s="1"/>
  <c r="D123" i="2"/>
  <c r="D120" i="2"/>
  <c r="D121" i="2" s="1"/>
  <c r="D113" i="2"/>
  <c r="D62" i="2"/>
  <c r="D69" i="2"/>
  <c r="D81" i="2"/>
  <c r="D90" i="2" s="1"/>
  <c r="D99" i="2"/>
  <c r="D61" i="2"/>
  <c r="D68" i="2"/>
  <c r="J30" i="1" s="1"/>
  <c r="D80" i="2"/>
  <c r="D89" i="2" s="1"/>
  <c r="D92" i="2" s="1"/>
  <c r="D98" i="2"/>
  <c r="J27" i="1"/>
  <c r="A626" i="17"/>
  <c r="C636" i="17"/>
  <c r="I60" i="16"/>
  <c r="J23" i="1" l="1"/>
  <c r="D102" i="2"/>
  <c r="D106" i="2" s="1"/>
  <c r="D103" i="2"/>
  <c r="D107" i="2" s="1"/>
  <c r="J24" i="1"/>
  <c r="D61" i="16"/>
  <c r="C67" i="16"/>
  <c r="D67" i="16" s="1"/>
  <c r="D71" i="16"/>
  <c r="D74" i="16"/>
  <c r="C58" i="16"/>
  <c r="D56" i="16"/>
  <c r="D53" i="16"/>
  <c r="D52" i="16"/>
  <c r="D55" i="16"/>
  <c r="D45" i="16"/>
  <c r="B363" i="2"/>
  <c r="F63" i="1" l="1"/>
  <c r="D72" i="16" l="1"/>
  <c r="D73" i="16" l="1"/>
  <c r="B126" i="2"/>
  <c r="B224" i="2"/>
  <c r="B46" i="2"/>
  <c r="B140" i="2"/>
  <c r="B311" i="2"/>
  <c r="B280" i="2"/>
  <c r="B42" i="21" s="1"/>
  <c r="B339" i="2"/>
  <c r="B47" i="2"/>
  <c r="B7" i="2"/>
  <c r="B146" i="2"/>
  <c r="B273" i="2"/>
  <c r="B292" i="2"/>
  <c r="B37" i="23" s="1"/>
  <c r="B238" i="2"/>
  <c r="N10" i="8" s="1"/>
  <c r="B307" i="2"/>
  <c r="B47" i="23" s="1"/>
  <c r="B310" i="2"/>
  <c r="B304" i="2"/>
  <c r="B46" i="23" s="1"/>
  <c r="B160" i="2"/>
  <c r="B275" i="2"/>
  <c r="B294" i="2"/>
  <c r="B285" i="2"/>
  <c r="B276" i="2"/>
  <c r="B277" i="2"/>
  <c r="B41" i="21" s="1"/>
  <c r="B282" i="2"/>
  <c r="B281" i="2"/>
  <c r="B43" i="21" s="1"/>
  <c r="B386" i="2"/>
  <c r="B288" i="2"/>
  <c r="B255" i="2"/>
  <c r="B20" i="23" s="1"/>
  <c r="B151" i="2"/>
  <c r="B23" i="23" s="1"/>
  <c r="B274" i="2"/>
  <c r="B38" i="23" s="1"/>
  <c r="B293" i="2"/>
  <c r="B50" i="23" s="1"/>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37" i="8"/>
  <c r="A49" i="8" s="1"/>
  <c r="A61" i="8" s="1"/>
  <c r="A73" i="8" s="1"/>
  <c r="A85" i="8" s="1"/>
  <c r="A97" i="8" s="1"/>
  <c r="A109" i="8" s="1"/>
  <c r="A121" i="8" s="1"/>
  <c r="A133" i="8" s="1"/>
  <c r="A145" i="8" s="1"/>
  <c r="A157" i="8" s="1"/>
  <c r="A38" i="8"/>
  <c r="A39" i="8"/>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48" i="8"/>
  <c r="A60" i="8" s="1"/>
  <c r="A72" i="8" s="1"/>
  <c r="A84" i="8" s="1"/>
  <c r="A96" i="8" s="1"/>
  <c r="A108" i="8" s="1"/>
  <c r="A120" i="8" s="1"/>
  <c r="A132" i="8" s="1"/>
  <c r="A144" i="8" s="1"/>
  <c r="A156" i="8" s="1"/>
  <c r="A50" i="8"/>
  <c r="A62" i="8" s="1"/>
  <c r="A74" i="8" s="1"/>
  <c r="A86" i="8" s="1"/>
  <c r="A98" i="8" s="1"/>
  <c r="A110" i="8" s="1"/>
  <c r="A122" i="8" s="1"/>
  <c r="A134" i="8" s="1"/>
  <c r="A146" i="8" s="1"/>
  <c r="A158" i="8" s="1"/>
  <c r="A51" i="8"/>
  <c r="A63" i="8" s="1"/>
  <c r="A75" i="8" s="1"/>
  <c r="A87" i="8" s="1"/>
  <c r="A99" i="8" s="1"/>
  <c r="A111" i="8" s="1"/>
  <c r="A123" i="8" s="1"/>
  <c r="A135" i="8" s="1"/>
  <c r="A147" i="8" s="1"/>
  <c r="A159" i="8" s="1"/>
  <c r="A56" i="8"/>
  <c r="A68" i="8" s="1"/>
  <c r="A80" i="8" s="1"/>
  <c r="A92" i="8" s="1"/>
  <c r="A104" i="8" s="1"/>
  <c r="A116" i="8" s="1"/>
  <c r="A128" i="8" s="1"/>
  <c r="A140" i="8" s="1"/>
  <c r="A152" i="8" s="1"/>
  <c r="A57" i="8"/>
  <c r="A69" i="8" s="1"/>
  <c r="A81" i="8" s="1"/>
  <c r="A93" i="8" s="1"/>
  <c r="A105" i="8" s="1"/>
  <c r="A117" i="8" s="1"/>
  <c r="A129" i="8" s="1"/>
  <c r="A141" i="8" s="1"/>
  <c r="A153" i="8" s="1"/>
  <c r="B116" i="2"/>
  <c r="A343" i="2"/>
  <c r="B343" i="2"/>
  <c r="A363" i="2"/>
  <c r="B385" i="2"/>
  <c r="B341" i="2" l="1"/>
  <c r="B93" i="2"/>
  <c r="M56" i="23" s="1"/>
  <c r="N56" i="23" s="1"/>
  <c r="D341" i="2"/>
  <c r="AM90" i="21"/>
  <c r="AM29" i="21"/>
  <c r="AM9" i="21"/>
  <c r="AM78" i="21"/>
  <c r="AM89" i="21"/>
  <c r="AM68" i="21"/>
  <c r="AM18" i="21"/>
  <c r="AM93" i="21"/>
  <c r="AM49" i="21"/>
  <c r="AM26" i="21"/>
  <c r="AM41" i="21"/>
  <c r="AM17" i="21"/>
  <c r="AM80" i="21"/>
  <c r="AM98" i="21"/>
  <c r="AM95" i="21"/>
  <c r="AM76" i="21"/>
  <c r="AM21" i="21"/>
  <c r="AM35" i="21"/>
  <c r="AM30" i="21"/>
  <c r="AM72" i="21"/>
  <c r="AM102" i="21"/>
  <c r="AM84" i="21"/>
  <c r="AM101" i="21"/>
  <c r="AM69" i="21"/>
  <c r="AM14" i="21"/>
  <c r="AM16" i="21"/>
  <c r="AM22" i="21"/>
  <c r="AM96" i="21"/>
  <c r="AM73" i="21"/>
  <c r="AM46" i="21"/>
  <c r="AM99" i="21"/>
  <c r="AM54" i="21"/>
  <c r="AM109" i="21"/>
  <c r="AM63" i="21"/>
  <c r="AM88" i="21"/>
  <c r="AM39" i="21"/>
  <c r="AM48" i="21"/>
  <c r="AM10" i="21"/>
  <c r="AM60" i="21"/>
  <c r="AM70" i="21"/>
  <c r="AM13" i="21"/>
  <c r="AM43" i="21"/>
  <c r="AM85" i="21"/>
  <c r="AM92" i="21"/>
  <c r="AM24" i="21"/>
  <c r="AM103" i="21"/>
  <c r="AM107" i="21"/>
  <c r="AM47" i="21"/>
  <c r="AM100" i="21"/>
  <c r="AM83" i="21"/>
  <c r="AM36" i="21"/>
  <c r="AM66" i="21"/>
  <c r="AM58" i="21"/>
  <c r="AM87" i="21"/>
  <c r="AM56" i="21"/>
  <c r="AM19" i="21"/>
  <c r="AM25" i="21"/>
  <c r="AM28" i="21"/>
  <c r="AM59" i="21"/>
  <c r="AM75" i="21"/>
  <c r="AM108" i="21"/>
  <c r="AM33" i="21"/>
  <c r="AM11" i="21"/>
  <c r="AM104" i="21"/>
  <c r="AM82" i="21"/>
  <c r="AM40" i="21"/>
  <c r="AM50" i="21"/>
  <c r="AM45" i="21"/>
  <c r="AM32" i="21"/>
  <c r="AM91" i="21"/>
  <c r="AM77" i="21"/>
  <c r="AM94" i="21"/>
  <c r="AM27" i="21"/>
  <c r="AM44" i="21"/>
  <c r="AM31" i="21"/>
  <c r="AM20" i="21"/>
  <c r="AM86" i="21"/>
  <c r="AM57" i="21"/>
  <c r="AM23" i="21"/>
  <c r="AM64" i="21"/>
  <c r="AM12" i="21"/>
  <c r="AM51" i="21"/>
  <c r="AM42" i="21"/>
  <c r="AM61" i="21"/>
  <c r="AM37" i="21"/>
  <c r="AM67" i="21"/>
  <c r="AM38" i="21"/>
  <c r="AM53" i="21"/>
  <c r="AM34" i="21"/>
  <c r="AM71" i="21"/>
  <c r="AM55" i="21"/>
  <c r="AM105" i="21"/>
  <c r="AM15" i="21"/>
  <c r="AM81" i="21"/>
  <c r="AM52" i="21"/>
  <c r="AM62" i="21"/>
  <c r="AM106" i="21"/>
  <c r="AM65" i="21"/>
  <c r="AM79" i="21"/>
  <c r="AM97" i="21"/>
  <c r="AM74" i="21"/>
  <c r="AR57" i="23"/>
  <c r="AR18" i="23"/>
  <c r="AR19" i="23"/>
  <c r="AR83" i="23"/>
  <c r="AR44" i="23"/>
  <c r="AR108" i="23"/>
  <c r="AR77" i="23"/>
  <c r="AR46" i="23"/>
  <c r="AR95" i="23"/>
  <c r="AR24" i="23"/>
  <c r="AR31" i="23"/>
  <c r="AR103" i="23"/>
  <c r="AR84" i="23"/>
  <c r="AR14" i="23"/>
  <c r="AR105" i="23"/>
  <c r="AR30" i="23"/>
  <c r="AR65" i="23"/>
  <c r="AR26" i="23"/>
  <c r="AR27" i="23"/>
  <c r="AR91" i="23"/>
  <c r="AR52" i="23"/>
  <c r="AR13" i="23"/>
  <c r="AR85" i="23"/>
  <c r="AR54" i="23"/>
  <c r="AR32" i="23"/>
  <c r="AR48" i="23"/>
  <c r="AR39" i="23"/>
  <c r="AR40" i="23"/>
  <c r="AR59" i="23"/>
  <c r="AR67" i="23"/>
  <c r="AR61" i="23"/>
  <c r="AR106" i="23"/>
  <c r="AR73" i="23"/>
  <c r="AR34" i="23"/>
  <c r="AR35" i="23"/>
  <c r="AR99" i="23"/>
  <c r="AR60" i="23"/>
  <c r="AR29" i="23"/>
  <c r="AR93" i="23"/>
  <c r="AR62" i="23"/>
  <c r="AR56" i="23"/>
  <c r="AR72" i="23"/>
  <c r="AR47" i="23"/>
  <c r="AR64" i="23"/>
  <c r="AR20" i="23"/>
  <c r="AR92" i="23"/>
  <c r="AR17" i="23"/>
  <c r="AR81" i="23"/>
  <c r="AR42" i="23"/>
  <c r="AR43" i="23"/>
  <c r="AR107" i="23"/>
  <c r="AR68" i="23"/>
  <c r="AR37" i="23"/>
  <c r="AR101" i="23"/>
  <c r="AR70" i="23"/>
  <c r="AR88" i="23"/>
  <c r="AR96" i="23"/>
  <c r="AR55" i="23"/>
  <c r="AR80" i="23"/>
  <c r="AR58" i="23"/>
  <c r="AR22" i="23"/>
  <c r="AR90" i="23"/>
  <c r="AR28" i="23"/>
  <c r="AR15" i="23"/>
  <c r="AR25" i="23"/>
  <c r="AR89" i="23"/>
  <c r="AR50" i="23"/>
  <c r="AR51" i="23"/>
  <c r="AR12" i="23"/>
  <c r="AR76" i="23"/>
  <c r="AR45" i="23"/>
  <c r="AR109" i="23"/>
  <c r="AR78" i="23"/>
  <c r="AR66" i="23"/>
  <c r="AR74" i="23"/>
  <c r="AR63" i="23"/>
  <c r="AR104" i="23"/>
  <c r="AR97" i="23"/>
  <c r="AR86" i="23"/>
  <c r="AR82" i="23"/>
  <c r="AR21" i="23"/>
  <c r="AR33" i="23"/>
  <c r="AR49" i="23"/>
  <c r="AR10" i="23"/>
  <c r="AR11" i="23"/>
  <c r="AR75" i="23"/>
  <c r="AR36" i="23"/>
  <c r="AR100" i="23"/>
  <c r="AR69" i="23"/>
  <c r="AR38" i="23"/>
  <c r="AR102" i="23"/>
  <c r="AR9" i="23"/>
  <c r="AR23" i="23"/>
  <c r="AR87" i="23"/>
  <c r="AR16" i="23"/>
  <c r="AR53" i="23"/>
  <c r="AR98" i="23"/>
  <c r="AR71" i="23"/>
  <c r="AR41" i="23"/>
  <c r="AR94" i="23"/>
  <c r="AR79" i="23"/>
  <c r="B162"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D58" i="16"/>
  <c r="D59" i="16"/>
  <c r="A42" i="16"/>
  <c r="B143" i="2"/>
  <c r="B142" i="2"/>
  <c r="B22" i="23"/>
  <c r="B283" i="2"/>
  <c r="AP37" i="23"/>
  <c r="AS37" i="23" s="1"/>
  <c r="AP99" i="23"/>
  <c r="AS99" i="23" s="1"/>
  <c r="AP92" i="23"/>
  <c r="AS92" i="23" s="1"/>
  <c r="AP15" i="23"/>
  <c r="AS15" i="23" s="1"/>
  <c r="AP10" i="23"/>
  <c r="AS10" i="23" s="1"/>
  <c r="AP77" i="23"/>
  <c r="AS77" i="23" s="1"/>
  <c r="AP41" i="23"/>
  <c r="AS41" i="23" s="1"/>
  <c r="AP49" i="23"/>
  <c r="AS49" i="23" s="1"/>
  <c r="AP88" i="23"/>
  <c r="AS88" i="23" s="1"/>
  <c r="AP9" i="23"/>
  <c r="AS9" i="23" s="1"/>
  <c r="B75" i="23" s="1"/>
  <c r="B76" i="23" s="1"/>
  <c r="AP75" i="23"/>
  <c r="AS75" i="23" s="1"/>
  <c r="AP84" i="23"/>
  <c r="AS84" i="23" s="1"/>
  <c r="AP27" i="23"/>
  <c r="AS27" i="23" s="1"/>
  <c r="AP52" i="23"/>
  <c r="AS52" i="23" s="1"/>
  <c r="AP69" i="23"/>
  <c r="AS69" i="23" s="1"/>
  <c r="AP25" i="23"/>
  <c r="AS25" i="23" s="1"/>
  <c r="AP108" i="23"/>
  <c r="AS108" i="23" s="1"/>
  <c r="AP63" i="23"/>
  <c r="AS63" i="23" s="1"/>
  <c r="AP26" i="23"/>
  <c r="AS26" i="23" s="1"/>
  <c r="AP109" i="23"/>
  <c r="AS109" i="23" s="1"/>
  <c r="AP105" i="23"/>
  <c r="AS105" i="23" s="1"/>
  <c r="AP34" i="23"/>
  <c r="AS34" i="23" s="1"/>
  <c r="AP21" i="23"/>
  <c r="AS21" i="23" s="1"/>
  <c r="AP17" i="23"/>
  <c r="AS17" i="23" s="1"/>
  <c r="AP91" i="23"/>
  <c r="AS91" i="23" s="1"/>
  <c r="AP100" i="23"/>
  <c r="AS100" i="23" s="1"/>
  <c r="AP64" i="23"/>
  <c r="AS64" i="23" s="1"/>
  <c r="AP87" i="23"/>
  <c r="AS87" i="23" s="1"/>
  <c r="AP22" i="23"/>
  <c r="AS22" i="23" s="1"/>
  <c r="AP101" i="23"/>
  <c r="AS101" i="23" s="1"/>
  <c r="AP89" i="23"/>
  <c r="AS89" i="23" s="1"/>
  <c r="AP33" i="23"/>
  <c r="AS33" i="23" s="1"/>
  <c r="AP79" i="23"/>
  <c r="AS79" i="23" s="1"/>
  <c r="AP42" i="23"/>
  <c r="AS42" i="23" s="1"/>
  <c r="AP23" i="23"/>
  <c r="AS23" i="23" s="1"/>
  <c r="AP16" i="23"/>
  <c r="AS16" i="23" s="1"/>
  <c r="AP82" i="23"/>
  <c r="AS82" i="23" s="1"/>
  <c r="AP14" i="23"/>
  <c r="AS14" i="23" s="1"/>
  <c r="AP53" i="23"/>
  <c r="AS53" i="23" s="1"/>
  <c r="AP107" i="23"/>
  <c r="AS107" i="23" s="1"/>
  <c r="AP65" i="23"/>
  <c r="AS65" i="23" s="1"/>
  <c r="AP90" i="23"/>
  <c r="AS90" i="23" s="1"/>
  <c r="AP43" i="23"/>
  <c r="AS43" i="23" s="1"/>
  <c r="AP38" i="23"/>
  <c r="AS38" i="23" s="1"/>
  <c r="AP19" i="23"/>
  <c r="AS19" i="23" s="1"/>
  <c r="AP12" i="23"/>
  <c r="AS12" i="23" s="1"/>
  <c r="AP97" i="23"/>
  <c r="AS97" i="23" s="1"/>
  <c r="AP13" i="23"/>
  <c r="AS13" i="23" s="1"/>
  <c r="AP58" i="23"/>
  <c r="AS58" i="23" s="1"/>
  <c r="AP39" i="23"/>
  <c r="AS39" i="23" s="1"/>
  <c r="AP32" i="23"/>
  <c r="AS32" i="23" s="1"/>
  <c r="AP29" i="23"/>
  <c r="AS29" i="23" s="1"/>
  <c r="AP30" i="23"/>
  <c r="AS30" i="23" s="1"/>
  <c r="AP85" i="23"/>
  <c r="AS85" i="23" s="1"/>
  <c r="AP57" i="23"/>
  <c r="AS57" i="23" s="1"/>
  <c r="AP50" i="23"/>
  <c r="AS50" i="23" s="1"/>
  <c r="AP66" i="23"/>
  <c r="AS66" i="23" s="1"/>
  <c r="AP62" i="23"/>
  <c r="AS62" i="23" s="1"/>
  <c r="AP73" i="23"/>
  <c r="AS73" i="23" s="1"/>
  <c r="AP54" i="23"/>
  <c r="AS54" i="23" s="1"/>
  <c r="AP35" i="23"/>
  <c r="AS35" i="23" s="1"/>
  <c r="AP28" i="23"/>
  <c r="AS28" i="23" s="1"/>
  <c r="AP18" i="23"/>
  <c r="AS18" i="23" s="1"/>
  <c r="AP24" i="23"/>
  <c r="AS24" i="23" s="1"/>
  <c r="AP74" i="23"/>
  <c r="AS74" i="23" s="1"/>
  <c r="AP55" i="23"/>
  <c r="AS55" i="23" s="1"/>
  <c r="AP48" i="23"/>
  <c r="AS48" i="23" s="1"/>
  <c r="AP47" i="23"/>
  <c r="AS47" i="23" s="1"/>
  <c r="AP46" i="23"/>
  <c r="AS46" i="23" s="1"/>
  <c r="AP11" i="23"/>
  <c r="AS11" i="23" s="1"/>
  <c r="AP20" i="23"/>
  <c r="AS20" i="23" s="1"/>
  <c r="AP61" i="23"/>
  <c r="AS61" i="23" s="1"/>
  <c r="AP44" i="23"/>
  <c r="AS44" i="23" s="1"/>
  <c r="AP36" i="23"/>
  <c r="AS36" i="23" s="1"/>
  <c r="AP72" i="23"/>
  <c r="AS72" i="23" s="1"/>
  <c r="AP70" i="23"/>
  <c r="AS70" i="23" s="1"/>
  <c r="AP51" i="23"/>
  <c r="AS51" i="23" s="1"/>
  <c r="AP56" i="23"/>
  <c r="AS56" i="23" s="1"/>
  <c r="AP95" i="23"/>
  <c r="AS95" i="23" s="1"/>
  <c r="AP86" i="23"/>
  <c r="AS86" i="23" s="1"/>
  <c r="AP67" i="23"/>
  <c r="AS67" i="23" s="1"/>
  <c r="AP60" i="23"/>
  <c r="AS60" i="23" s="1"/>
  <c r="AP98" i="23"/>
  <c r="AS98" i="23" s="1"/>
  <c r="AP104" i="23"/>
  <c r="AS104" i="23" s="1"/>
  <c r="AP106" i="23"/>
  <c r="AS106" i="23" s="1"/>
  <c r="AP78" i="23"/>
  <c r="AS78" i="23" s="1"/>
  <c r="AP102" i="23"/>
  <c r="AS102" i="23" s="1"/>
  <c r="AP83" i="23"/>
  <c r="AS83" i="23" s="1"/>
  <c r="AP76" i="23"/>
  <c r="AS76" i="23" s="1"/>
  <c r="AP93" i="23"/>
  <c r="AS93" i="23" s="1"/>
  <c r="AP81" i="23"/>
  <c r="AS81" i="23" s="1"/>
  <c r="AP45" i="23"/>
  <c r="AS45" i="23" s="1"/>
  <c r="AP103" i="23"/>
  <c r="AS103" i="23" s="1"/>
  <c r="AP96" i="23"/>
  <c r="AS96" i="23" s="1"/>
  <c r="AP40" i="23"/>
  <c r="AS40" i="23" s="1"/>
  <c r="AP94" i="23"/>
  <c r="AS94" i="23" s="1"/>
  <c r="AP59" i="23"/>
  <c r="AS59" i="23" s="1"/>
  <c r="AP68" i="23"/>
  <c r="AS68" i="23" s="1"/>
  <c r="AP71" i="23"/>
  <c r="AS71" i="23" s="1"/>
  <c r="AP31" i="23"/>
  <c r="AS31" i="23" s="1"/>
  <c r="AP80" i="23"/>
  <c r="AS80" i="23" s="1"/>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B322" i="2"/>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40" i="2"/>
  <c r="B53" i="2"/>
  <c r="B57" i="2" s="1"/>
  <c r="B32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B39" i="23"/>
  <c r="B77" i="23"/>
  <c r="AQ18" i="23"/>
  <c r="AQ50" i="23"/>
  <c r="AQ82" i="23"/>
  <c r="AQ13" i="23"/>
  <c r="AQ77" i="23"/>
  <c r="AQ57" i="23"/>
  <c r="AQ76" i="23"/>
  <c r="AQ71" i="23"/>
  <c r="AQ102" i="23"/>
  <c r="AQ64" i="23"/>
  <c r="AQ59" i="23"/>
  <c r="AQ40" i="23"/>
  <c r="AQ67" i="23"/>
  <c r="AQ34" i="23"/>
  <c r="AQ61" i="23"/>
  <c r="AQ89" i="23"/>
  <c r="AQ23" i="23"/>
  <c r="AQ62" i="23"/>
  <c r="AQ80" i="23"/>
  <c r="AQ107" i="23"/>
  <c r="AQ26" i="23"/>
  <c r="AQ58" i="23"/>
  <c r="AQ90" i="23"/>
  <c r="AQ21" i="23"/>
  <c r="AQ53" i="23"/>
  <c r="AQ85" i="23"/>
  <c r="AQ14" i="23"/>
  <c r="AQ109" i="23"/>
  <c r="AQ73" i="23"/>
  <c r="AQ20" i="23"/>
  <c r="AQ52" i="23"/>
  <c r="AQ84" i="23"/>
  <c r="AQ15" i="23"/>
  <c r="AQ47" i="23"/>
  <c r="AQ79" i="23"/>
  <c r="AQ22" i="23"/>
  <c r="AQ54" i="23"/>
  <c r="AQ17" i="23"/>
  <c r="AQ105" i="23"/>
  <c r="AQ72" i="23"/>
  <c r="AQ35" i="23"/>
  <c r="AQ98" i="23"/>
  <c r="AQ70" i="23"/>
  <c r="AQ60" i="23"/>
  <c r="AQ87" i="23"/>
  <c r="AQ16" i="23"/>
  <c r="AQ43" i="23"/>
  <c r="AQ10" i="23"/>
  <c r="AQ42" i="23"/>
  <c r="AQ74" i="23"/>
  <c r="AQ106" i="23"/>
  <c r="AQ37" i="23"/>
  <c r="AQ69" i="23"/>
  <c r="AQ101" i="23"/>
  <c r="AQ86" i="23"/>
  <c r="AQ41" i="23"/>
  <c r="AQ97" i="23"/>
  <c r="AQ36" i="23"/>
  <c r="AQ68" i="23"/>
  <c r="AQ100" i="23"/>
  <c r="AQ31" i="23"/>
  <c r="AQ63" i="23"/>
  <c r="AQ95" i="23"/>
  <c r="AQ38" i="23"/>
  <c r="AQ78" i="23"/>
  <c r="AQ49" i="23"/>
  <c r="AQ24" i="23"/>
  <c r="AQ56" i="23"/>
  <c r="AQ88" i="23"/>
  <c r="AQ19" i="23"/>
  <c r="AQ51" i="23"/>
  <c r="AQ83" i="23"/>
  <c r="AQ65" i="23"/>
  <c r="AQ45" i="23"/>
  <c r="AQ9" i="23"/>
  <c r="AQ94" i="23"/>
  <c r="AQ12" i="23"/>
  <c r="AQ44" i="23"/>
  <c r="AQ108" i="23"/>
  <c r="AQ39" i="23"/>
  <c r="AQ103" i="23"/>
  <c r="AQ46" i="23"/>
  <c r="AQ81" i="23"/>
  <c r="AQ32" i="23"/>
  <c r="AQ96" i="23"/>
  <c r="AQ27" i="23"/>
  <c r="AQ91" i="23"/>
  <c r="AQ104" i="23"/>
  <c r="AQ99" i="23"/>
  <c r="AQ66" i="23"/>
  <c r="AQ29" i="23"/>
  <c r="AQ93" i="23"/>
  <c r="AQ25" i="23"/>
  <c r="AQ28" i="23"/>
  <c r="AQ92" i="23"/>
  <c r="AQ55" i="23"/>
  <c r="AQ30" i="23"/>
  <c r="AQ33" i="23"/>
  <c r="AQ48" i="23"/>
  <c r="AQ11" i="23"/>
  <c r="AQ75" i="23"/>
  <c r="M9" i="23"/>
  <c r="M50" i="23"/>
  <c r="N50" i="23" s="1"/>
  <c r="M40" i="23"/>
  <c r="N40" i="23" s="1"/>
  <c r="M88" i="23"/>
  <c r="N88" i="23" s="1"/>
  <c r="M39" i="23"/>
  <c r="N39" i="23" s="1"/>
  <c r="M36" i="23"/>
  <c r="N36" i="23" s="1"/>
  <c r="M100" i="23"/>
  <c r="N100" i="23" s="1"/>
  <c r="M68" i="23"/>
  <c r="N68" i="23" s="1"/>
  <c r="M67" i="23"/>
  <c r="N67" i="23" s="1"/>
  <c r="M23" i="23"/>
  <c r="N23" i="23" s="1"/>
  <c r="M59" i="23"/>
  <c r="N59" i="23" s="1"/>
  <c r="M17" i="23"/>
  <c r="N17" i="23" s="1"/>
  <c r="M33" i="23"/>
  <c r="N33" i="23" s="1"/>
  <c r="M62" i="23"/>
  <c r="N62" i="23" s="1"/>
  <c r="M63" i="23"/>
  <c r="N63" i="23" s="1"/>
  <c r="M25" i="23"/>
  <c r="N25" i="23" s="1"/>
  <c r="M12" i="23"/>
  <c r="N12" i="23" s="1"/>
  <c r="M94" i="23"/>
  <c r="N94" i="23" s="1"/>
  <c r="M95" i="23"/>
  <c r="N95" i="23" s="1"/>
  <c r="M92" i="23"/>
  <c r="N92" i="23" s="1"/>
  <c r="M78" i="23"/>
  <c r="N78" i="23" s="1"/>
  <c r="M77" i="23"/>
  <c r="N77" i="23" s="1"/>
  <c r="M43" i="23"/>
  <c r="N43" i="23" s="1"/>
  <c r="M37" i="23"/>
  <c r="N37" i="23" s="1"/>
  <c r="M74" i="23"/>
  <c r="N74" i="23" s="1"/>
  <c r="M55" i="23"/>
  <c r="N55" i="23" s="1"/>
  <c r="M65" i="23"/>
  <c r="N65" i="23" s="1"/>
  <c r="M107" i="23"/>
  <c r="N107" i="23" s="1"/>
  <c r="M41" i="23"/>
  <c r="N41" i="23" s="1"/>
  <c r="M38" i="23"/>
  <c r="N38" i="23" s="1"/>
  <c r="M13" i="23"/>
  <c r="N13" i="23" s="1"/>
  <c r="M29" i="23"/>
  <c r="N29" i="23" s="1"/>
  <c r="M49" i="23"/>
  <c r="N49" i="23" s="1"/>
  <c r="M21" i="23"/>
  <c r="N21" i="23" s="1"/>
  <c r="M105" i="23"/>
  <c r="N105" i="23" s="1"/>
  <c r="M85" i="23"/>
  <c r="N85" i="23" s="1"/>
  <c r="M53" i="23"/>
  <c r="N53" i="23" s="1"/>
  <c r="M18" i="23"/>
  <c r="N18" i="23" s="1"/>
  <c r="M27" i="23"/>
  <c r="N27" i="23" s="1"/>
  <c r="M42" i="23"/>
  <c r="N42" i="23" s="1"/>
  <c r="M104" i="23"/>
  <c r="N104" i="23" s="1"/>
  <c r="M72" i="23"/>
  <c r="N72" i="23" s="1"/>
  <c r="M103" i="23"/>
  <c r="N103" i="23" s="1"/>
  <c r="M71" i="23"/>
  <c r="N71" i="23" s="1"/>
  <c r="M20" i="23"/>
  <c r="N20" i="23" s="1"/>
  <c r="M84" i="23"/>
  <c r="N84" i="23" s="1"/>
  <c r="M52" i="23"/>
  <c r="N52" i="23" s="1"/>
  <c r="M102" i="23"/>
  <c r="N102" i="23" s="1"/>
  <c r="M83" i="23"/>
  <c r="N83" i="23" s="1"/>
  <c r="M51" i="23"/>
  <c r="N51" i="23" s="1"/>
  <c r="M81" i="23"/>
  <c r="N81" i="23" s="1"/>
  <c r="M108" i="23"/>
  <c r="N108" i="23" s="1"/>
  <c r="M57" i="23"/>
  <c r="N57" i="23" s="1"/>
  <c r="M11" i="23"/>
  <c r="N11" i="23" s="1"/>
  <c r="M26" i="23"/>
  <c r="N26" i="23" s="1"/>
  <c r="M79" i="23"/>
  <c r="N79" i="23" s="1"/>
  <c r="M46" i="23"/>
  <c r="N46" i="23" s="1"/>
  <c r="M28" i="23"/>
  <c r="N28" i="23" s="1"/>
  <c r="M91" i="23"/>
  <c r="N91" i="23" s="1"/>
  <c r="M61" i="23"/>
  <c r="N61" i="23" s="1"/>
  <c r="M22" i="23"/>
  <c r="N22" i="23" s="1"/>
  <c r="M34" i="23"/>
  <c r="N34" i="23" s="1"/>
  <c r="M15" i="23"/>
  <c r="N15" i="23" s="1"/>
  <c r="M35" i="23"/>
  <c r="N35" i="23" s="1"/>
  <c r="M90" i="23"/>
  <c r="N90" i="23" s="1"/>
  <c r="M45" i="23"/>
  <c r="N45" i="23" s="1"/>
  <c r="M75" i="23"/>
  <c r="N75" i="23" s="1"/>
  <c r="M73" i="23"/>
  <c r="N73" i="23" s="1"/>
  <c r="M82" i="23"/>
  <c r="N82" i="23" s="1"/>
  <c r="M31" i="23"/>
  <c r="N31" i="23" s="1"/>
  <c r="M70" i="23"/>
  <c r="N70" i="23" s="1"/>
  <c r="M99" i="23"/>
  <c r="N99" i="23" s="1"/>
  <c r="M48" i="23"/>
  <c r="N48" i="23" s="1"/>
  <c r="M10" i="23"/>
  <c r="N10" i="23" s="1"/>
  <c r="M106" i="23"/>
  <c r="N106" i="23" s="1"/>
  <c r="M101" i="23"/>
  <c r="N101" i="23" s="1"/>
  <c r="M69" i="23"/>
  <c r="N69" i="23" s="1"/>
  <c r="M96" i="23"/>
  <c r="N96" i="23" s="1"/>
  <c r="M64" i="23"/>
  <c r="N64" i="23" s="1"/>
  <c r="M44" i="23"/>
  <c r="N44" i="23" s="1"/>
  <c r="G234" i="2"/>
  <c r="B58" i="21"/>
  <c r="AL9" i="21"/>
  <c r="B37" i="21"/>
  <c r="M9" i="21"/>
  <c r="N9" i="21" s="1"/>
  <c r="D52" i="2"/>
  <c r="D56" i="2" s="1"/>
  <c r="D192" i="2"/>
  <c r="B188" i="2"/>
  <c r="B187" i="2"/>
  <c r="B118" i="2"/>
  <c r="B37" i="2"/>
  <c r="D37" i="2"/>
  <c r="B68" i="23" s="1"/>
  <c r="B21" i="2"/>
  <c r="B388"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28" i="2"/>
  <c r="B351" i="2"/>
  <c r="A340" i="2"/>
  <c r="B340" i="2"/>
  <c r="B49" i="2"/>
  <c r="B239" i="2"/>
  <c r="N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206" i="2"/>
  <c r="B16" i="2"/>
  <c r="B34" i="2"/>
  <c r="B349" i="2"/>
  <c r="N4" i="8"/>
  <c r="O4" i="8" s="1"/>
  <c r="E13" i="1" s="1"/>
  <c r="O10" i="8"/>
  <c r="F66" i="1"/>
  <c r="B257"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22" i="8" s="1"/>
  <c r="E56"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72" i="2"/>
  <c r="B221" i="2"/>
  <c r="B161"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M54" i="23" l="1"/>
  <c r="N54" i="23" s="1"/>
  <c r="O54" i="23" s="1"/>
  <c r="M66" i="23"/>
  <c r="N66" i="23" s="1"/>
  <c r="O66" i="23" s="1"/>
  <c r="M98" i="23"/>
  <c r="N98" i="23" s="1"/>
  <c r="O98" i="23" s="1"/>
  <c r="M80" i="23"/>
  <c r="N80" i="23" s="1"/>
  <c r="O80" i="23" s="1"/>
  <c r="M89" i="23"/>
  <c r="N89" i="23" s="1"/>
  <c r="P89" i="23" s="1"/>
  <c r="Q89" i="23" s="1"/>
  <c r="AE89" i="23" s="1"/>
  <c r="M24" i="23"/>
  <c r="N24" i="23" s="1"/>
  <c r="O24" i="23" s="1"/>
  <c r="M97" i="23"/>
  <c r="N97" i="23" s="1"/>
  <c r="O97" i="23" s="1"/>
  <c r="B52" i="2"/>
  <c r="B56" i="2" s="1"/>
  <c r="M60" i="23"/>
  <c r="N60" i="23" s="1"/>
  <c r="O60" i="23" s="1"/>
  <c r="M87" i="23"/>
  <c r="N87" i="23" s="1"/>
  <c r="AF87" i="23" s="1"/>
  <c r="B54" i="2"/>
  <c r="B58" i="2" s="1"/>
  <c r="B154" i="2" s="1"/>
  <c r="M16" i="23"/>
  <c r="N16" i="23" s="1"/>
  <c r="O16" i="23" s="1"/>
  <c r="M86" i="23"/>
  <c r="N86" i="23" s="1"/>
  <c r="P86" i="23" s="1"/>
  <c r="Q86" i="23" s="1"/>
  <c r="AE86" i="23" s="1"/>
  <c r="M93" i="23"/>
  <c r="N93" i="23" s="1"/>
  <c r="V93" i="23" s="1"/>
  <c r="M109" i="23"/>
  <c r="N109" i="23" s="1"/>
  <c r="P109" i="23" s="1"/>
  <c r="Q109" i="23" s="1"/>
  <c r="AE109" i="23" s="1"/>
  <c r="M76" i="23"/>
  <c r="N76" i="23" s="1"/>
  <c r="AF76" i="23" s="1"/>
  <c r="M58" i="23"/>
  <c r="N58" i="23" s="1"/>
  <c r="O58" i="23" s="1"/>
  <c r="M32" i="23"/>
  <c r="N32" i="23" s="1"/>
  <c r="P32" i="23" s="1"/>
  <c r="Q32" i="23" s="1"/>
  <c r="AE32" i="23" s="1"/>
  <c r="M14" i="23"/>
  <c r="N14" i="23" s="1"/>
  <c r="P14" i="23" s="1"/>
  <c r="Q14" i="23" s="1"/>
  <c r="AE14" i="23" s="1"/>
  <c r="M19" i="23"/>
  <c r="N19" i="23" s="1"/>
  <c r="O19" i="23" s="1"/>
  <c r="M47" i="23"/>
  <c r="N47" i="23" s="1"/>
  <c r="P47" i="23" s="1"/>
  <c r="Q47" i="23" s="1"/>
  <c r="AE47" i="23" s="1"/>
  <c r="M30" i="23"/>
  <c r="N30" i="23" s="1"/>
  <c r="O30" i="23" s="1"/>
  <c r="C65" i="16"/>
  <c r="D65" i="16" s="1"/>
  <c r="B95" i="2"/>
  <c r="E20" i="1" s="1"/>
  <c r="C64" i="16"/>
  <c r="B183" i="2"/>
  <c r="B42" i="2"/>
  <c r="B44" i="2" s="1"/>
  <c r="E27" i="1" s="1"/>
  <c r="D63" i="2"/>
  <c r="D197" i="2"/>
  <c r="F6" i="25" s="1"/>
  <c r="D194" i="2"/>
  <c r="O48" i="23"/>
  <c r="P48" i="23"/>
  <c r="Q48" i="23" s="1"/>
  <c r="AE48" i="23" s="1"/>
  <c r="O18" i="23"/>
  <c r="P18" i="23"/>
  <c r="Q18" i="23" s="1"/>
  <c r="AE18" i="23" s="1"/>
  <c r="P92" i="23"/>
  <c r="Q92" i="23" s="1"/>
  <c r="AE92" i="23" s="1"/>
  <c r="O92" i="23"/>
  <c r="O64" i="23"/>
  <c r="P64" i="23"/>
  <c r="Q64" i="23" s="1"/>
  <c r="AE64" i="23" s="1"/>
  <c r="P90" i="23"/>
  <c r="Q90" i="23" s="1"/>
  <c r="AE90" i="23" s="1"/>
  <c r="O90" i="23"/>
  <c r="P28" i="23"/>
  <c r="Q28" i="23" s="1"/>
  <c r="AE28" i="23" s="1"/>
  <c r="O28" i="23"/>
  <c r="O81" i="23"/>
  <c r="P81" i="23"/>
  <c r="Q81" i="23" s="1"/>
  <c r="AE81" i="23" s="1"/>
  <c r="O71" i="23"/>
  <c r="P71" i="23"/>
  <c r="Q71" i="23" s="1"/>
  <c r="AE71" i="23" s="1"/>
  <c r="P53" i="23"/>
  <c r="Q53" i="23" s="1"/>
  <c r="AE53" i="23" s="1"/>
  <c r="O53" i="23"/>
  <c r="O13" i="23"/>
  <c r="P13" i="23"/>
  <c r="Q13" i="23" s="1"/>
  <c r="AE13" i="23" s="1"/>
  <c r="P74" i="23"/>
  <c r="Q74" i="23" s="1"/>
  <c r="AE74" i="23" s="1"/>
  <c r="O74" i="23"/>
  <c r="P95" i="23"/>
  <c r="Q95" i="23" s="1"/>
  <c r="AE95" i="23" s="1"/>
  <c r="O95" i="23"/>
  <c r="P33" i="23"/>
  <c r="Q33" i="23" s="1"/>
  <c r="AE33" i="23" s="1"/>
  <c r="O33" i="23"/>
  <c r="O68" i="23"/>
  <c r="P68" i="23"/>
  <c r="Q68" i="23" s="1"/>
  <c r="AE68" i="23" s="1"/>
  <c r="P40" i="23"/>
  <c r="Q40" i="23" s="1"/>
  <c r="AE40" i="23" s="1"/>
  <c r="O40" i="23"/>
  <c r="O75" i="23"/>
  <c r="P75" i="23"/>
  <c r="Q75" i="23" s="1"/>
  <c r="AE75" i="23" s="1"/>
  <c r="O108" i="23"/>
  <c r="P108" i="23"/>
  <c r="Q108" i="23" s="1"/>
  <c r="AE108" i="23" s="1"/>
  <c r="O67" i="23"/>
  <c r="P67" i="23"/>
  <c r="Q67" i="23" s="1"/>
  <c r="AE67" i="23" s="1"/>
  <c r="P99" i="23"/>
  <c r="Q99" i="23" s="1"/>
  <c r="AE99" i="23" s="1"/>
  <c r="O99" i="23"/>
  <c r="P96" i="23"/>
  <c r="Q96" i="23" s="1"/>
  <c r="AE96" i="23" s="1"/>
  <c r="O96" i="23"/>
  <c r="O70" i="23"/>
  <c r="P70" i="23"/>
  <c r="Q70" i="23" s="1"/>
  <c r="AE70" i="23" s="1"/>
  <c r="O35" i="23"/>
  <c r="P35" i="23"/>
  <c r="Q35" i="23" s="1"/>
  <c r="AE35" i="23" s="1"/>
  <c r="P46" i="23"/>
  <c r="Q46" i="23" s="1"/>
  <c r="AE46" i="23" s="1"/>
  <c r="O46" i="23"/>
  <c r="O51" i="23"/>
  <c r="P51" i="23"/>
  <c r="Q51" i="23" s="1"/>
  <c r="AE51" i="23" s="1"/>
  <c r="O103" i="23"/>
  <c r="P103" i="23"/>
  <c r="Q103" i="23" s="1"/>
  <c r="AE103" i="23" s="1"/>
  <c r="P85" i="23"/>
  <c r="Q85" i="23" s="1"/>
  <c r="AE85" i="23" s="1"/>
  <c r="O85" i="23"/>
  <c r="O38" i="23"/>
  <c r="P38" i="23"/>
  <c r="Q38" i="23" s="1"/>
  <c r="AE38" i="23" s="1"/>
  <c r="O37" i="23"/>
  <c r="P37" i="23"/>
  <c r="Q37" i="23" s="1"/>
  <c r="AE37" i="23" s="1"/>
  <c r="O94" i="23"/>
  <c r="P94" i="23"/>
  <c r="Q94" i="23" s="1"/>
  <c r="AE94" i="23" s="1"/>
  <c r="O17" i="23"/>
  <c r="P17" i="23"/>
  <c r="Q17" i="23" s="1"/>
  <c r="AE17" i="23" s="1"/>
  <c r="O100" i="23"/>
  <c r="P100" i="23"/>
  <c r="Q100" i="23" s="1"/>
  <c r="AE100" i="23" s="1"/>
  <c r="O50" i="23"/>
  <c r="P50" i="23"/>
  <c r="Q50" i="23" s="1"/>
  <c r="AE50" i="23" s="1"/>
  <c r="O10" i="23"/>
  <c r="P10" i="23"/>
  <c r="Q10" i="23" s="1"/>
  <c r="AE10" i="23" s="1"/>
  <c r="O91" i="23"/>
  <c r="P91" i="23"/>
  <c r="Q91" i="23" s="1"/>
  <c r="AE91" i="23" s="1"/>
  <c r="O88" i="23"/>
  <c r="P88" i="23"/>
  <c r="Q88" i="23" s="1"/>
  <c r="AE88" i="23" s="1"/>
  <c r="P15" i="23"/>
  <c r="Q15" i="23" s="1"/>
  <c r="AE15" i="23" s="1"/>
  <c r="O15" i="23"/>
  <c r="O72" i="23"/>
  <c r="P72" i="23"/>
  <c r="Q72" i="23" s="1"/>
  <c r="AE72" i="23" s="1"/>
  <c r="P54" i="23"/>
  <c r="Q54" i="23" s="1"/>
  <c r="AE54" i="23" s="1"/>
  <c r="P66" i="23"/>
  <c r="Q66" i="23" s="1"/>
  <c r="AE66" i="23" s="1"/>
  <c r="P98" i="23"/>
  <c r="Q98" i="23" s="1"/>
  <c r="AE98" i="23" s="1"/>
  <c r="P44" i="23"/>
  <c r="Q44" i="23" s="1"/>
  <c r="AE44" i="23" s="1"/>
  <c r="O44" i="23"/>
  <c r="O20" i="23"/>
  <c r="P20" i="23"/>
  <c r="Q20" i="23" s="1"/>
  <c r="AE20" i="23" s="1"/>
  <c r="P62" i="23"/>
  <c r="Q62" i="23" s="1"/>
  <c r="AE62" i="23" s="1"/>
  <c r="O62" i="23"/>
  <c r="O31" i="23"/>
  <c r="P31" i="23"/>
  <c r="Q31" i="23" s="1"/>
  <c r="AE31" i="23" s="1"/>
  <c r="O83" i="23"/>
  <c r="P83" i="23"/>
  <c r="Q83" i="23" s="1"/>
  <c r="AE83" i="23" s="1"/>
  <c r="O101" i="23"/>
  <c r="P101" i="23"/>
  <c r="Q101" i="23" s="1"/>
  <c r="AE101" i="23" s="1"/>
  <c r="O82" i="23"/>
  <c r="P82" i="23"/>
  <c r="Q82" i="23" s="1"/>
  <c r="AE82" i="23" s="1"/>
  <c r="O34" i="23"/>
  <c r="P34" i="23"/>
  <c r="Q34" i="23" s="1"/>
  <c r="AE34" i="23" s="1"/>
  <c r="O26" i="23"/>
  <c r="P26" i="23"/>
  <c r="Q26" i="23" s="1"/>
  <c r="AE26" i="23" s="1"/>
  <c r="O102" i="23"/>
  <c r="P102" i="23"/>
  <c r="Q102" i="23" s="1"/>
  <c r="AE102" i="23" s="1"/>
  <c r="P104" i="23"/>
  <c r="Q104" i="23" s="1"/>
  <c r="AE104" i="23" s="1"/>
  <c r="O104" i="23"/>
  <c r="O105" i="23"/>
  <c r="P105" i="23"/>
  <c r="Q105" i="23" s="1"/>
  <c r="AE105" i="23" s="1"/>
  <c r="P41" i="23"/>
  <c r="Q41" i="23" s="1"/>
  <c r="AE41" i="23" s="1"/>
  <c r="O41" i="23"/>
  <c r="O43" i="23"/>
  <c r="P43" i="23"/>
  <c r="Q43" i="23" s="1"/>
  <c r="AE43" i="23" s="1"/>
  <c r="O12" i="23"/>
  <c r="P12" i="23"/>
  <c r="Q12" i="23" s="1"/>
  <c r="AE12" i="23" s="1"/>
  <c r="O59" i="23"/>
  <c r="P59" i="23"/>
  <c r="Q59" i="23" s="1"/>
  <c r="AE59" i="23" s="1"/>
  <c r="O36" i="23"/>
  <c r="P36" i="23"/>
  <c r="Q36" i="23" s="1"/>
  <c r="AE36" i="23" s="1"/>
  <c r="P45" i="23"/>
  <c r="Q45" i="23" s="1"/>
  <c r="AE45" i="23" s="1"/>
  <c r="O45" i="23"/>
  <c r="O29" i="23"/>
  <c r="P29" i="23"/>
  <c r="Q29" i="23" s="1"/>
  <c r="AE29" i="23" s="1"/>
  <c r="O55" i="23"/>
  <c r="P55" i="23"/>
  <c r="Q55" i="23" s="1"/>
  <c r="AE55" i="23" s="1"/>
  <c r="O69" i="23"/>
  <c r="P69" i="23"/>
  <c r="Q69" i="23" s="1"/>
  <c r="AE69" i="23" s="1"/>
  <c r="P79" i="23"/>
  <c r="Q79" i="23" s="1"/>
  <c r="AE79" i="23" s="1"/>
  <c r="O79" i="23"/>
  <c r="O106" i="23"/>
  <c r="P106" i="23"/>
  <c r="Q106" i="23" s="1"/>
  <c r="AE106" i="23" s="1"/>
  <c r="O73" i="23"/>
  <c r="P73" i="23"/>
  <c r="Q73" i="23" s="1"/>
  <c r="AE73" i="23" s="1"/>
  <c r="P22" i="23"/>
  <c r="Q22" i="23" s="1"/>
  <c r="AE22" i="23" s="1"/>
  <c r="O22" i="23"/>
  <c r="O11" i="23"/>
  <c r="P11" i="23"/>
  <c r="Q11" i="23" s="1"/>
  <c r="AE11" i="23" s="1"/>
  <c r="O52" i="23"/>
  <c r="P52" i="23"/>
  <c r="Q52" i="23" s="1"/>
  <c r="AE52" i="23" s="1"/>
  <c r="O42" i="23"/>
  <c r="P42" i="23"/>
  <c r="Q42" i="23" s="1"/>
  <c r="AE42" i="23" s="1"/>
  <c r="P21" i="23"/>
  <c r="Q21" i="23" s="1"/>
  <c r="AE21" i="23" s="1"/>
  <c r="O21" i="23"/>
  <c r="O107" i="23"/>
  <c r="P107" i="23"/>
  <c r="Q107" i="23" s="1"/>
  <c r="AE107" i="23" s="1"/>
  <c r="P77" i="23"/>
  <c r="Q77" i="23" s="1"/>
  <c r="AE77" i="23" s="1"/>
  <c r="O77" i="23"/>
  <c r="O25" i="23"/>
  <c r="P25" i="23"/>
  <c r="Q25" i="23" s="1"/>
  <c r="AE25" i="23" s="1"/>
  <c r="P61" i="23"/>
  <c r="Q61" i="23" s="1"/>
  <c r="AE61" i="23" s="1"/>
  <c r="O61" i="23"/>
  <c r="P57" i="23"/>
  <c r="Q57" i="23" s="1"/>
  <c r="AE57" i="23" s="1"/>
  <c r="O57" i="23"/>
  <c r="O84" i="23"/>
  <c r="P84" i="23"/>
  <c r="Q84" i="23" s="1"/>
  <c r="AE84" i="23" s="1"/>
  <c r="P27" i="23"/>
  <c r="Q27" i="23" s="1"/>
  <c r="AE27" i="23" s="1"/>
  <c r="O27" i="23"/>
  <c r="P49" i="23"/>
  <c r="Q49" i="23" s="1"/>
  <c r="AE49" i="23" s="1"/>
  <c r="O49" i="23"/>
  <c r="O65" i="23"/>
  <c r="P65" i="23"/>
  <c r="Q65" i="23" s="1"/>
  <c r="AE65" i="23" s="1"/>
  <c r="O78" i="23"/>
  <c r="P78" i="23"/>
  <c r="Q78" i="23" s="1"/>
  <c r="AE78" i="23" s="1"/>
  <c r="P63" i="23"/>
  <c r="Q63" i="23" s="1"/>
  <c r="AE63" i="23" s="1"/>
  <c r="O63" i="23"/>
  <c r="O23" i="23"/>
  <c r="P23" i="23"/>
  <c r="Q23" i="23" s="1"/>
  <c r="AE23" i="23" s="1"/>
  <c r="P39" i="23"/>
  <c r="Q39" i="23" s="1"/>
  <c r="AE39" i="23" s="1"/>
  <c r="O39" i="23"/>
  <c r="O32" i="23"/>
  <c r="O56" i="23"/>
  <c r="P56" i="23"/>
  <c r="Q56" i="23" s="1"/>
  <c r="AE56" i="23" s="1"/>
  <c r="M131" i="2"/>
  <c r="D131" i="2"/>
  <c r="K131" i="2"/>
  <c r="K134" i="2" s="1"/>
  <c r="B68" i="2"/>
  <c r="P9" i="21"/>
  <c r="Q9" i="21" s="1"/>
  <c r="AE9" i="21" s="1"/>
  <c r="O9" i="21"/>
  <c r="B323" i="2"/>
  <c r="B324" i="2" s="1"/>
  <c r="E104" i="1" s="1"/>
  <c r="E103" i="1"/>
  <c r="F613" i="25"/>
  <c r="F611" i="25"/>
  <c r="C633" i="25"/>
  <c r="E613" i="25"/>
  <c r="E611" i="25"/>
  <c r="E609" i="25"/>
  <c r="A623" i="25"/>
  <c r="E612" i="25"/>
  <c r="E610" i="25"/>
  <c r="E608" i="25"/>
  <c r="E605" i="25"/>
  <c r="E603" i="25"/>
  <c r="E601" i="25"/>
  <c r="E599" i="25"/>
  <c r="E597" i="25"/>
  <c r="F610" i="25"/>
  <c r="F608" i="25"/>
  <c r="F607" i="25"/>
  <c r="F606" i="25"/>
  <c r="F604" i="25"/>
  <c r="F602" i="25"/>
  <c r="F600" i="25"/>
  <c r="F598" i="25"/>
  <c r="F605" i="25"/>
  <c r="F603" i="25"/>
  <c r="F601" i="25"/>
  <c r="F599" i="25"/>
  <c r="F597" i="25"/>
  <c r="F595" i="25"/>
  <c r="F593" i="25"/>
  <c r="E607" i="25"/>
  <c r="E604" i="25"/>
  <c r="E594" i="25"/>
  <c r="F592" i="25"/>
  <c r="F590" i="25"/>
  <c r="F588" i="25"/>
  <c r="F586" i="25"/>
  <c r="F612" i="25"/>
  <c r="E606" i="25"/>
  <c r="E598" i="25"/>
  <c r="E592" i="25"/>
  <c r="E590" i="25"/>
  <c r="E588" i="25"/>
  <c r="E586" i="25"/>
  <c r="E584" i="25"/>
  <c r="E602" i="25"/>
  <c r="E596" i="25"/>
  <c r="F594" i="25"/>
  <c r="E593" i="25"/>
  <c r="E591" i="25"/>
  <c r="E589" i="25"/>
  <c r="E587" i="25"/>
  <c r="E585" i="25"/>
  <c r="E583" i="25"/>
  <c r="E581" i="25"/>
  <c r="E579" i="25"/>
  <c r="F609" i="25"/>
  <c r="E600" i="25"/>
  <c r="F591" i="25"/>
  <c r="E582" i="25"/>
  <c r="F581" i="25"/>
  <c r="F580" i="25"/>
  <c r="E577" i="25"/>
  <c r="E575" i="25"/>
  <c r="E573" i="25"/>
  <c r="E571" i="25"/>
  <c r="E569" i="25"/>
  <c r="E567" i="25"/>
  <c r="E565" i="25"/>
  <c r="E563" i="25"/>
  <c r="E561" i="25"/>
  <c r="E559" i="25"/>
  <c r="E557" i="25"/>
  <c r="F585" i="25"/>
  <c r="E580" i="25"/>
  <c r="F579" i="25"/>
  <c r="F578" i="25"/>
  <c r="F576" i="25"/>
  <c r="F574" i="25"/>
  <c r="F572" i="25"/>
  <c r="F570" i="25"/>
  <c r="F568" i="25"/>
  <c r="F566" i="25"/>
  <c r="F596" i="25"/>
  <c r="E595" i="25"/>
  <c r="F589" i="25"/>
  <c r="F584" i="25"/>
  <c r="F583" i="25"/>
  <c r="F582" i="25"/>
  <c r="F577" i="25"/>
  <c r="F575" i="25"/>
  <c r="F573" i="25"/>
  <c r="F571" i="25"/>
  <c r="F569" i="25"/>
  <c r="F567" i="25"/>
  <c r="E576" i="25"/>
  <c r="E568" i="25"/>
  <c r="F565" i="25"/>
  <c r="E560" i="25"/>
  <c r="F559" i="25"/>
  <c r="F558" i="25"/>
  <c r="E556" i="25"/>
  <c r="E554" i="25"/>
  <c r="E552" i="25"/>
  <c r="E550" i="25"/>
  <c r="E548" i="25"/>
  <c r="E546" i="25"/>
  <c r="E544" i="25"/>
  <c r="E542" i="25"/>
  <c r="E540" i="25"/>
  <c r="E538" i="25"/>
  <c r="E536" i="25"/>
  <c r="E534" i="25"/>
  <c r="E532" i="25"/>
  <c r="E530" i="25"/>
  <c r="E528" i="25"/>
  <c r="E526" i="25"/>
  <c r="E570" i="25"/>
  <c r="F564" i="25"/>
  <c r="E558" i="25"/>
  <c r="F557" i="25"/>
  <c r="F555" i="25"/>
  <c r="F553" i="25"/>
  <c r="F551" i="25"/>
  <c r="F549" i="25"/>
  <c r="F547" i="25"/>
  <c r="F545" i="25"/>
  <c r="F543" i="25"/>
  <c r="F541" i="25"/>
  <c r="F539" i="25"/>
  <c r="E578" i="25"/>
  <c r="E574" i="25"/>
  <c r="E566" i="25"/>
  <c r="E562" i="25"/>
  <c r="F561" i="25"/>
  <c r="F560" i="25"/>
  <c r="F556" i="25"/>
  <c r="F554" i="25"/>
  <c r="F552" i="25"/>
  <c r="F550" i="25"/>
  <c r="F548" i="25"/>
  <c r="F546" i="25"/>
  <c r="F544" i="25"/>
  <c r="F542" i="25"/>
  <c r="F540" i="25"/>
  <c r="E572" i="25"/>
  <c r="E549" i="25"/>
  <c r="E541" i="25"/>
  <c r="F538" i="25"/>
  <c r="F537" i="25"/>
  <c r="E531" i="25"/>
  <c r="F530" i="25"/>
  <c r="F529" i="25"/>
  <c r="E564" i="25"/>
  <c r="F563" i="25"/>
  <c r="F562" i="25"/>
  <c r="E551" i="25"/>
  <c r="E543" i="25"/>
  <c r="E537" i="25"/>
  <c r="F536" i="25"/>
  <c r="F535" i="25"/>
  <c r="E529" i="25"/>
  <c r="F528" i="25"/>
  <c r="F527" i="25"/>
  <c r="E524" i="25"/>
  <c r="E555" i="25"/>
  <c r="E547" i="25"/>
  <c r="E539" i="25"/>
  <c r="E533" i="25"/>
  <c r="F532" i="25"/>
  <c r="F531" i="25"/>
  <c r="E525" i="25"/>
  <c r="E523" i="25"/>
  <c r="E521" i="25"/>
  <c r="E519" i="25"/>
  <c r="E517" i="25"/>
  <c r="E515" i="25"/>
  <c r="E513" i="25"/>
  <c r="E553" i="25"/>
  <c r="E527" i="25"/>
  <c r="F526" i="25"/>
  <c r="F525" i="25"/>
  <c r="E518" i="25"/>
  <c r="F517" i="25"/>
  <c r="F516" i="25"/>
  <c r="E510" i="25"/>
  <c r="E508" i="25"/>
  <c r="E506" i="25"/>
  <c r="E504" i="25"/>
  <c r="E502" i="25"/>
  <c r="E500" i="25"/>
  <c r="E498" i="25"/>
  <c r="E496" i="25"/>
  <c r="E494" i="25"/>
  <c r="E492" i="25"/>
  <c r="E490" i="25"/>
  <c r="E488" i="25"/>
  <c r="E486" i="25"/>
  <c r="E484" i="25"/>
  <c r="E482" i="25"/>
  <c r="E480" i="25"/>
  <c r="E478" i="25"/>
  <c r="E476" i="25"/>
  <c r="E474" i="25"/>
  <c r="E472" i="25"/>
  <c r="E470" i="25"/>
  <c r="E468" i="25"/>
  <c r="E466" i="25"/>
  <c r="F587" i="25"/>
  <c r="F524" i="25"/>
  <c r="F523" i="25"/>
  <c r="F522" i="25"/>
  <c r="E516" i="25"/>
  <c r="F515" i="25"/>
  <c r="F514" i="25"/>
  <c r="F511" i="25"/>
  <c r="F509" i="25"/>
  <c r="F507" i="25"/>
  <c r="F505" i="25"/>
  <c r="F503" i="25"/>
  <c r="F501" i="25"/>
  <c r="F499" i="25"/>
  <c r="F497" i="25"/>
  <c r="F495" i="25"/>
  <c r="F493" i="25"/>
  <c r="F491" i="25"/>
  <c r="F489" i="25"/>
  <c r="F487" i="25"/>
  <c r="F485" i="25"/>
  <c r="F483" i="25"/>
  <c r="E545" i="25"/>
  <c r="E535" i="25"/>
  <c r="F534" i="25"/>
  <c r="F533" i="25"/>
  <c r="E520" i="25"/>
  <c r="F519" i="25"/>
  <c r="F518" i="25"/>
  <c r="E512" i="25"/>
  <c r="F510" i="25"/>
  <c r="F508" i="25"/>
  <c r="F506" i="25"/>
  <c r="F504" i="25"/>
  <c r="F502" i="25"/>
  <c r="F500" i="25"/>
  <c r="F498" i="25"/>
  <c r="F496" i="25"/>
  <c r="F494" i="25"/>
  <c r="F492" i="25"/>
  <c r="F490" i="25"/>
  <c r="F488" i="25"/>
  <c r="F486" i="25"/>
  <c r="E509" i="25"/>
  <c r="E501" i="25"/>
  <c r="E493" i="25"/>
  <c r="E485" i="25"/>
  <c r="F482" i="25"/>
  <c r="F481" i="25"/>
  <c r="E475" i="25"/>
  <c r="F474" i="25"/>
  <c r="F473" i="25"/>
  <c r="E467" i="25"/>
  <c r="F466" i="25"/>
  <c r="F465" i="25"/>
  <c r="F463" i="25"/>
  <c r="F461" i="25"/>
  <c r="F459" i="25"/>
  <c r="F457" i="25"/>
  <c r="F455" i="25"/>
  <c r="F453" i="25"/>
  <c r="F451" i="25"/>
  <c r="F449" i="25"/>
  <c r="F447" i="25"/>
  <c r="F445" i="25"/>
  <c r="F443" i="25"/>
  <c r="F441" i="25"/>
  <c r="F439" i="25"/>
  <c r="F437" i="25"/>
  <c r="F435" i="25"/>
  <c r="F433" i="25"/>
  <c r="F431" i="25"/>
  <c r="F429" i="25"/>
  <c r="F427" i="25"/>
  <c r="F425" i="25"/>
  <c r="F423" i="25"/>
  <c r="F421" i="25"/>
  <c r="F419" i="25"/>
  <c r="F417" i="25"/>
  <c r="F415" i="25"/>
  <c r="F413" i="25"/>
  <c r="F411" i="25"/>
  <c r="F409" i="25"/>
  <c r="F407" i="25"/>
  <c r="F405" i="25"/>
  <c r="F403" i="25"/>
  <c r="F401" i="25"/>
  <c r="E511" i="25"/>
  <c r="E503" i="25"/>
  <c r="E495" i="25"/>
  <c r="E487" i="25"/>
  <c r="F484" i="25"/>
  <c r="E481" i="25"/>
  <c r="F480" i="25"/>
  <c r="F479" i="25"/>
  <c r="E473" i="25"/>
  <c r="F472" i="25"/>
  <c r="F471" i="25"/>
  <c r="E465" i="25"/>
  <c r="E463" i="25"/>
  <c r="E461" i="25"/>
  <c r="E459" i="25"/>
  <c r="E457" i="25"/>
  <c r="E455" i="25"/>
  <c r="E453" i="25"/>
  <c r="E451" i="25"/>
  <c r="E449" i="25"/>
  <c r="E447" i="25"/>
  <c r="E445" i="25"/>
  <c r="E443" i="25"/>
  <c r="E441" i="25"/>
  <c r="E439" i="25"/>
  <c r="E437" i="25"/>
  <c r="E435" i="25"/>
  <c r="E433" i="25"/>
  <c r="E431" i="25"/>
  <c r="E429" i="25"/>
  <c r="E514" i="25"/>
  <c r="F513" i="25"/>
  <c r="F512" i="25"/>
  <c r="E507" i="25"/>
  <c r="E499" i="25"/>
  <c r="E491" i="25"/>
  <c r="E483" i="25"/>
  <c r="E477" i="25"/>
  <c r="F476" i="25"/>
  <c r="F475" i="25"/>
  <c r="E469" i="25"/>
  <c r="F468" i="25"/>
  <c r="F467" i="25"/>
  <c r="E464" i="25"/>
  <c r="E462" i="25"/>
  <c r="E460" i="25"/>
  <c r="E458" i="25"/>
  <c r="E456" i="25"/>
  <c r="E454" i="25"/>
  <c r="E452" i="25"/>
  <c r="E450" i="25"/>
  <c r="E448" i="25"/>
  <c r="E446" i="25"/>
  <c r="E444" i="25"/>
  <c r="E442" i="25"/>
  <c r="E440" i="25"/>
  <c r="E438" i="25"/>
  <c r="E436" i="25"/>
  <c r="E434" i="25"/>
  <c r="E432" i="25"/>
  <c r="E430" i="25"/>
  <c r="E522" i="25"/>
  <c r="F520" i="25"/>
  <c r="E497" i="25"/>
  <c r="E479" i="25"/>
  <c r="F478" i="25"/>
  <c r="F477" i="25"/>
  <c r="F462" i="25"/>
  <c r="F454" i="25"/>
  <c r="F446" i="25"/>
  <c r="F438" i="25"/>
  <c r="F430" i="25"/>
  <c r="E424" i="25"/>
  <c r="F422" i="25"/>
  <c r="E421" i="25"/>
  <c r="E416" i="25"/>
  <c r="F414" i="25"/>
  <c r="E413" i="25"/>
  <c r="E408" i="25"/>
  <c r="F406" i="25"/>
  <c r="E405" i="25"/>
  <c r="E505" i="25"/>
  <c r="E471" i="25"/>
  <c r="F470" i="25"/>
  <c r="F469" i="25"/>
  <c r="F464" i="25"/>
  <c r="F456" i="25"/>
  <c r="F448" i="25"/>
  <c r="F440" i="25"/>
  <c r="F432" i="25"/>
  <c r="E427" i="25"/>
  <c r="E422" i="25"/>
  <c r="F420" i="25"/>
  <c r="E419" i="25"/>
  <c r="E414" i="25"/>
  <c r="F412" i="25"/>
  <c r="E411" i="25"/>
  <c r="E406" i="25"/>
  <c r="F404" i="25"/>
  <c r="E403" i="25"/>
  <c r="E489" i="25"/>
  <c r="F460" i="25"/>
  <c r="F452" i="25"/>
  <c r="F444" i="25"/>
  <c r="F436" i="25"/>
  <c r="E428" i="25"/>
  <c r="E426" i="25"/>
  <c r="F424" i="25"/>
  <c r="E423" i="25"/>
  <c r="E418" i="25"/>
  <c r="F416" i="25"/>
  <c r="E415" i="25"/>
  <c r="E410" i="25"/>
  <c r="F408" i="25"/>
  <c r="E407" i="25"/>
  <c r="E402" i="25"/>
  <c r="F400" i="25"/>
  <c r="F398" i="25"/>
  <c r="F396" i="25"/>
  <c r="F394" i="25"/>
  <c r="F392" i="25"/>
  <c r="F390" i="25"/>
  <c r="F388" i="25"/>
  <c r="F386" i="25"/>
  <c r="F384" i="25"/>
  <c r="F382" i="25"/>
  <c r="F380" i="25"/>
  <c r="F378" i="25"/>
  <c r="F376" i="25"/>
  <c r="F434" i="25"/>
  <c r="F418" i="25"/>
  <c r="E417" i="25"/>
  <c r="E412" i="25"/>
  <c r="E397" i="25"/>
  <c r="F395" i="25"/>
  <c r="E394" i="25"/>
  <c r="E389" i="25"/>
  <c r="F387" i="25"/>
  <c r="E386" i="25"/>
  <c r="E381" i="25"/>
  <c r="F379" i="25"/>
  <c r="E378" i="25"/>
  <c r="F374" i="25"/>
  <c r="F372" i="25"/>
  <c r="F370" i="25"/>
  <c r="F368" i="25"/>
  <c r="F366" i="25"/>
  <c r="F364" i="25"/>
  <c r="F362" i="25"/>
  <c r="F360" i="25"/>
  <c r="F358" i="25"/>
  <c r="F356" i="25"/>
  <c r="F354" i="25"/>
  <c r="F352" i="25"/>
  <c r="F350" i="25"/>
  <c r="F348" i="25"/>
  <c r="F346" i="25"/>
  <c r="F344" i="25"/>
  <c r="F342" i="25"/>
  <c r="F340" i="25"/>
  <c r="F338" i="25"/>
  <c r="F336" i="25"/>
  <c r="F334" i="25"/>
  <c r="F332" i="25"/>
  <c r="F330" i="25"/>
  <c r="F328" i="25"/>
  <c r="F326" i="25"/>
  <c r="F324" i="25"/>
  <c r="F322" i="25"/>
  <c r="F320" i="25"/>
  <c r="F318" i="25"/>
  <c r="F316" i="25"/>
  <c r="F314" i="25"/>
  <c r="F312" i="25"/>
  <c r="F310" i="25"/>
  <c r="F308" i="25"/>
  <c r="F306" i="25"/>
  <c r="F304" i="25"/>
  <c r="F302" i="25"/>
  <c r="F300" i="25"/>
  <c r="F298" i="25"/>
  <c r="F296" i="25"/>
  <c r="F294" i="25"/>
  <c r="F292" i="25"/>
  <c r="F290" i="25"/>
  <c r="F288" i="25"/>
  <c r="F286" i="25"/>
  <c r="F284" i="25"/>
  <c r="F282" i="25"/>
  <c r="F280" i="25"/>
  <c r="F521" i="25"/>
  <c r="F442" i="25"/>
  <c r="F410" i="25"/>
  <c r="E409" i="25"/>
  <c r="E404" i="25"/>
  <c r="E400" i="25"/>
  <c r="E395" i="25"/>
  <c r="F393" i="25"/>
  <c r="E392" i="25"/>
  <c r="E387" i="25"/>
  <c r="F385" i="25"/>
  <c r="E384" i="25"/>
  <c r="E379" i="25"/>
  <c r="F377" i="25"/>
  <c r="E376" i="25"/>
  <c r="E374" i="25"/>
  <c r="E372" i="25"/>
  <c r="E370" i="25"/>
  <c r="E368" i="25"/>
  <c r="E366" i="25"/>
  <c r="F458" i="25"/>
  <c r="F426" i="25"/>
  <c r="E425" i="25"/>
  <c r="E420" i="25"/>
  <c r="E399" i="25"/>
  <c r="F397" i="25"/>
  <c r="E396" i="25"/>
  <c r="E391" i="25"/>
  <c r="F389" i="25"/>
  <c r="E388" i="25"/>
  <c r="E383" i="25"/>
  <c r="F381" i="25"/>
  <c r="E380" i="25"/>
  <c r="E375" i="25"/>
  <c r="E373" i="25"/>
  <c r="E371" i="25"/>
  <c r="E369" i="25"/>
  <c r="E367" i="25"/>
  <c r="E365" i="25"/>
  <c r="E363" i="25"/>
  <c r="E361" i="25"/>
  <c r="E359" i="25"/>
  <c r="E357" i="25"/>
  <c r="E355" i="25"/>
  <c r="E353" i="25"/>
  <c r="E351" i="25"/>
  <c r="E349" i="25"/>
  <c r="E347" i="25"/>
  <c r="E345" i="25"/>
  <c r="F450" i="25"/>
  <c r="F391" i="25"/>
  <c r="E390" i="25"/>
  <c r="E385" i="25"/>
  <c r="F371" i="25"/>
  <c r="E364" i="25"/>
  <c r="F363" i="25"/>
  <c r="E360" i="25"/>
  <c r="F359" i="25"/>
  <c r="E356" i="25"/>
  <c r="F355" i="25"/>
  <c r="E352" i="25"/>
  <c r="F351" i="25"/>
  <c r="E348" i="25"/>
  <c r="F347" i="25"/>
  <c r="E344" i="25"/>
  <c r="E339" i="25"/>
  <c r="F337" i="25"/>
  <c r="E336" i="25"/>
  <c r="E331" i="25"/>
  <c r="F329" i="25"/>
  <c r="E328" i="25"/>
  <c r="E323" i="25"/>
  <c r="F321" i="25"/>
  <c r="E320" i="25"/>
  <c r="E315" i="25"/>
  <c r="F313" i="25"/>
  <c r="E312" i="25"/>
  <c r="E307" i="25"/>
  <c r="F305" i="25"/>
  <c r="E304" i="25"/>
  <c r="E299" i="25"/>
  <c r="F297" i="25"/>
  <c r="E296" i="25"/>
  <c r="E291" i="25"/>
  <c r="F289" i="25"/>
  <c r="E288" i="25"/>
  <c r="E283" i="25"/>
  <c r="F281" i="25"/>
  <c r="E280" i="25"/>
  <c r="F277" i="25"/>
  <c r="F275" i="25"/>
  <c r="F273" i="25"/>
  <c r="F271" i="25"/>
  <c r="F269" i="25"/>
  <c r="F267" i="25"/>
  <c r="F265" i="25"/>
  <c r="F402" i="25"/>
  <c r="F383" i="25"/>
  <c r="E382" i="25"/>
  <c r="E377" i="25"/>
  <c r="F373" i="25"/>
  <c r="F365" i="25"/>
  <c r="F343" i="25"/>
  <c r="E342" i="25"/>
  <c r="E337" i="25"/>
  <c r="F335" i="25"/>
  <c r="E334" i="25"/>
  <c r="E329" i="25"/>
  <c r="F327" i="25"/>
  <c r="E326" i="25"/>
  <c r="E321" i="25"/>
  <c r="F319" i="25"/>
  <c r="E318" i="25"/>
  <c r="E313" i="25"/>
  <c r="F311" i="25"/>
  <c r="E310" i="25"/>
  <c r="E305" i="25"/>
  <c r="F303" i="25"/>
  <c r="E302" i="25"/>
  <c r="E297" i="25"/>
  <c r="F295" i="25"/>
  <c r="E294" i="25"/>
  <c r="E289" i="25"/>
  <c r="F287" i="25"/>
  <c r="E286" i="25"/>
  <c r="E281" i="25"/>
  <c r="F279" i="25"/>
  <c r="E277" i="25"/>
  <c r="E275" i="25"/>
  <c r="E273" i="25"/>
  <c r="E271" i="25"/>
  <c r="E269" i="25"/>
  <c r="E267" i="25"/>
  <c r="E265" i="25"/>
  <c r="F428" i="25"/>
  <c r="E401" i="25"/>
  <c r="F399" i="25"/>
  <c r="E398" i="25"/>
  <c r="E393" i="25"/>
  <c r="F369" i="25"/>
  <c r="E341" i="25"/>
  <c r="F339" i="25"/>
  <c r="E338" i="25"/>
  <c r="E333" i="25"/>
  <c r="F331" i="25"/>
  <c r="E330" i="25"/>
  <c r="E325" i="25"/>
  <c r="F323" i="25"/>
  <c r="E322" i="25"/>
  <c r="E317" i="25"/>
  <c r="F315" i="25"/>
  <c r="E314" i="25"/>
  <c r="E309" i="25"/>
  <c r="F307" i="25"/>
  <c r="E306" i="25"/>
  <c r="E301" i="25"/>
  <c r="F299" i="25"/>
  <c r="E298" i="25"/>
  <c r="E293" i="25"/>
  <c r="F291" i="25"/>
  <c r="E290" i="25"/>
  <c r="E285" i="25"/>
  <c r="F283" i="25"/>
  <c r="E282" i="25"/>
  <c r="E278" i="25"/>
  <c r="E276" i="25"/>
  <c r="E274" i="25"/>
  <c r="E272" i="25"/>
  <c r="E270" i="25"/>
  <c r="E268" i="25"/>
  <c r="E266" i="25"/>
  <c r="E264" i="25"/>
  <c r="E262" i="25"/>
  <c r="E260" i="25"/>
  <c r="E258" i="25"/>
  <c r="E256" i="25"/>
  <c r="E254" i="25"/>
  <c r="E252" i="25"/>
  <c r="E250" i="25"/>
  <c r="E248" i="25"/>
  <c r="E246" i="25"/>
  <c r="E244" i="25"/>
  <c r="E242" i="25"/>
  <c r="E240" i="25"/>
  <c r="E238" i="25"/>
  <c r="E236" i="25"/>
  <c r="E234" i="25"/>
  <c r="E232" i="25"/>
  <c r="E230" i="25"/>
  <c r="E228" i="25"/>
  <c r="E226" i="25"/>
  <c r="F375" i="25"/>
  <c r="E362" i="25"/>
  <c r="F361" i="25"/>
  <c r="E346" i="25"/>
  <c r="F345" i="25"/>
  <c r="E343" i="25"/>
  <c r="F317" i="25"/>
  <c r="E316" i="25"/>
  <c r="E311" i="25"/>
  <c r="F285" i="25"/>
  <c r="E284" i="25"/>
  <c r="E279" i="25"/>
  <c r="F274" i="25"/>
  <c r="F266" i="25"/>
  <c r="F264" i="25"/>
  <c r="F263" i="25"/>
  <c r="E257" i="25"/>
  <c r="F256" i="25"/>
  <c r="F255" i="25"/>
  <c r="E249" i="25"/>
  <c r="F248" i="25"/>
  <c r="F247" i="25"/>
  <c r="E241" i="25"/>
  <c r="F240" i="25"/>
  <c r="F239" i="25"/>
  <c r="E233" i="25"/>
  <c r="F232" i="25"/>
  <c r="F231" i="25"/>
  <c r="E224" i="25"/>
  <c r="E222" i="25"/>
  <c r="E220" i="25"/>
  <c r="E218" i="25"/>
  <c r="E216" i="25"/>
  <c r="E214" i="25"/>
  <c r="E212" i="25"/>
  <c r="E210" i="25"/>
  <c r="E208" i="25"/>
  <c r="E206" i="25"/>
  <c r="E204" i="25"/>
  <c r="E202" i="25"/>
  <c r="E200" i="25"/>
  <c r="E198" i="25"/>
  <c r="E196" i="25"/>
  <c r="E194" i="25"/>
  <c r="E192" i="25"/>
  <c r="E190" i="25"/>
  <c r="E188" i="25"/>
  <c r="E186" i="25"/>
  <c r="E184" i="25"/>
  <c r="E182" i="25"/>
  <c r="E180" i="25"/>
  <c r="E178" i="25"/>
  <c r="E176" i="25"/>
  <c r="E174" i="25"/>
  <c r="E172" i="25"/>
  <c r="E170" i="25"/>
  <c r="E168" i="25"/>
  <c r="E166" i="25"/>
  <c r="E164" i="25"/>
  <c r="E162" i="25"/>
  <c r="E160" i="25"/>
  <c r="E158" i="25"/>
  <c r="E156" i="25"/>
  <c r="E154" i="25"/>
  <c r="E152" i="25"/>
  <c r="E150" i="25"/>
  <c r="E148" i="25"/>
  <c r="E146" i="25"/>
  <c r="E144" i="25"/>
  <c r="E142" i="25"/>
  <c r="E140" i="25"/>
  <c r="E138" i="25"/>
  <c r="E136" i="25"/>
  <c r="E134" i="25"/>
  <c r="E132" i="25"/>
  <c r="E130" i="25"/>
  <c r="E128" i="25"/>
  <c r="E126" i="25"/>
  <c r="E124" i="25"/>
  <c r="E122" i="25"/>
  <c r="E120" i="25"/>
  <c r="E350" i="25"/>
  <c r="F349" i="25"/>
  <c r="F341" i="25"/>
  <c r="E340" i="25"/>
  <c r="E335" i="25"/>
  <c r="F309" i="25"/>
  <c r="E308" i="25"/>
  <c r="E303" i="25"/>
  <c r="F276" i="25"/>
  <c r="F268" i="25"/>
  <c r="E263" i="25"/>
  <c r="F262" i="25"/>
  <c r="F261" i="25"/>
  <c r="E255" i="25"/>
  <c r="F254" i="25"/>
  <c r="F253" i="25"/>
  <c r="E247" i="25"/>
  <c r="F246" i="25"/>
  <c r="F245" i="25"/>
  <c r="E239" i="25"/>
  <c r="F238" i="25"/>
  <c r="F237" i="25"/>
  <c r="E231" i="25"/>
  <c r="F230" i="25"/>
  <c r="F229" i="25"/>
  <c r="F225" i="25"/>
  <c r="F223" i="25"/>
  <c r="F221" i="25"/>
  <c r="F367" i="25"/>
  <c r="E358" i="25"/>
  <c r="F357" i="25"/>
  <c r="F325" i="25"/>
  <c r="E324" i="25"/>
  <c r="E319" i="25"/>
  <c r="F293" i="25"/>
  <c r="E292" i="25"/>
  <c r="E287" i="25"/>
  <c r="F272" i="25"/>
  <c r="E259" i="25"/>
  <c r="F258" i="25"/>
  <c r="F257" i="25"/>
  <c r="E251" i="25"/>
  <c r="F250" i="25"/>
  <c r="F249" i="25"/>
  <c r="E243" i="25"/>
  <c r="F242" i="25"/>
  <c r="F241" i="25"/>
  <c r="E235" i="25"/>
  <c r="F234" i="25"/>
  <c r="F233" i="25"/>
  <c r="E227" i="25"/>
  <c r="F226" i="25"/>
  <c r="F224" i="25"/>
  <c r="F222" i="25"/>
  <c r="F220" i="25"/>
  <c r="F218" i="25"/>
  <c r="F216" i="25"/>
  <c r="F214" i="25"/>
  <c r="F212" i="25"/>
  <c r="F210" i="25"/>
  <c r="F208" i="25"/>
  <c r="F206" i="25"/>
  <c r="F204" i="25"/>
  <c r="F202" i="25"/>
  <c r="F200" i="25"/>
  <c r="F198" i="25"/>
  <c r="F196" i="25"/>
  <c r="F194" i="25"/>
  <c r="F192" i="25"/>
  <c r="F190" i="25"/>
  <c r="F188" i="25"/>
  <c r="F186" i="25"/>
  <c r="F184" i="25"/>
  <c r="F182" i="25"/>
  <c r="F180" i="25"/>
  <c r="F178" i="25"/>
  <c r="F176" i="25"/>
  <c r="F174" i="25"/>
  <c r="F172" i="25"/>
  <c r="F170" i="25"/>
  <c r="F168" i="25"/>
  <c r="F166" i="25"/>
  <c r="F164" i="25"/>
  <c r="F162" i="25"/>
  <c r="F160" i="25"/>
  <c r="F158" i="25"/>
  <c r="F156" i="25"/>
  <c r="F154" i="25"/>
  <c r="F152" i="25"/>
  <c r="F150" i="25"/>
  <c r="F148" i="25"/>
  <c r="F146" i="25"/>
  <c r="F144" i="25"/>
  <c r="F142" i="25"/>
  <c r="F140" i="25"/>
  <c r="F138" i="25"/>
  <c r="F136" i="25"/>
  <c r="F134" i="25"/>
  <c r="F132" i="25"/>
  <c r="F130" i="25"/>
  <c r="F128" i="25"/>
  <c r="F126" i="25"/>
  <c r="F124" i="25"/>
  <c r="F122" i="25"/>
  <c r="F120" i="25"/>
  <c r="F118" i="25"/>
  <c r="F116" i="25"/>
  <c r="F114" i="25"/>
  <c r="F112" i="25"/>
  <c r="F110" i="25"/>
  <c r="F108" i="25"/>
  <c r="F106" i="25"/>
  <c r="F104" i="25"/>
  <c r="F102" i="25"/>
  <c r="F100" i="25"/>
  <c r="F98" i="25"/>
  <c r="F96" i="25"/>
  <c r="F94" i="25"/>
  <c r="F92" i="25"/>
  <c r="F90" i="25"/>
  <c r="F88" i="25"/>
  <c r="F86" i="25"/>
  <c r="F84" i="25"/>
  <c r="F82" i="25"/>
  <c r="F80" i="25"/>
  <c r="F78" i="25"/>
  <c r="F76" i="25"/>
  <c r="F74" i="25"/>
  <c r="F72" i="25"/>
  <c r="F70" i="25"/>
  <c r="F68" i="25"/>
  <c r="F66" i="25"/>
  <c r="F64" i="25"/>
  <c r="F62" i="25"/>
  <c r="F60" i="25"/>
  <c r="F58" i="25"/>
  <c r="F56" i="25"/>
  <c r="F54" i="25"/>
  <c r="F52" i="25"/>
  <c r="F50" i="25"/>
  <c r="F48" i="25"/>
  <c r="F46" i="25"/>
  <c r="F44" i="25"/>
  <c r="F42" i="25"/>
  <c r="F40" i="25"/>
  <c r="F38" i="25"/>
  <c r="F36" i="25"/>
  <c r="F34" i="25"/>
  <c r="F32" i="25"/>
  <c r="F30" i="25"/>
  <c r="F353" i="25"/>
  <c r="F333" i="25"/>
  <c r="E295" i="25"/>
  <c r="E237" i="25"/>
  <c r="F236" i="25"/>
  <c r="F235" i="25"/>
  <c r="E221" i="25"/>
  <c r="E217" i="25"/>
  <c r="E213" i="25"/>
  <c r="E209" i="25"/>
  <c r="E205" i="25"/>
  <c r="E201" i="25"/>
  <c r="E197" i="25"/>
  <c r="E193" i="25"/>
  <c r="E189" i="25"/>
  <c r="E185" i="25"/>
  <c r="E181" i="25"/>
  <c r="E177" i="25"/>
  <c r="E173" i="25"/>
  <c r="E169" i="25"/>
  <c r="E165" i="25"/>
  <c r="E161" i="25"/>
  <c r="E157" i="25"/>
  <c r="E153" i="25"/>
  <c r="E149" i="25"/>
  <c r="E145" i="25"/>
  <c r="E141" i="25"/>
  <c r="E137" i="25"/>
  <c r="E133" i="25"/>
  <c r="E129" i="25"/>
  <c r="E125" i="25"/>
  <c r="E121" i="25"/>
  <c r="F119" i="25"/>
  <c r="E118" i="25"/>
  <c r="E113" i="25"/>
  <c r="F111" i="25"/>
  <c r="E110" i="25"/>
  <c r="E105" i="25"/>
  <c r="F103" i="25"/>
  <c r="E102" i="25"/>
  <c r="E97" i="25"/>
  <c r="F95" i="25"/>
  <c r="E94" i="25"/>
  <c r="E89" i="25"/>
  <c r="F87" i="25"/>
  <c r="E86" i="25"/>
  <c r="E81" i="25"/>
  <c r="F79" i="25"/>
  <c r="E78" i="25"/>
  <c r="E73" i="25"/>
  <c r="F71" i="25"/>
  <c r="E70" i="25"/>
  <c r="E65" i="25"/>
  <c r="F63" i="25"/>
  <c r="E62" i="25"/>
  <c r="E57" i="25"/>
  <c r="E38" i="25"/>
  <c r="F31" i="25"/>
  <c r="F301" i="25"/>
  <c r="E261" i="25"/>
  <c r="F260" i="25"/>
  <c r="F259" i="25"/>
  <c r="E229" i="25"/>
  <c r="F228" i="25"/>
  <c r="F227" i="25"/>
  <c r="E223" i="25"/>
  <c r="F219" i="25"/>
  <c r="F215" i="25"/>
  <c r="F211" i="25"/>
  <c r="F207" i="25"/>
  <c r="F203" i="25"/>
  <c r="F199" i="25"/>
  <c r="F195" i="25"/>
  <c r="F191" i="25"/>
  <c r="F187" i="25"/>
  <c r="F183" i="25"/>
  <c r="F179" i="25"/>
  <c r="F175" i="25"/>
  <c r="F171" i="25"/>
  <c r="F167" i="25"/>
  <c r="F163" i="25"/>
  <c r="F159" i="25"/>
  <c r="F155" i="25"/>
  <c r="F151" i="25"/>
  <c r="F147" i="25"/>
  <c r="F143" i="25"/>
  <c r="F139" i="25"/>
  <c r="F135" i="25"/>
  <c r="F131" i="25"/>
  <c r="F127" i="25"/>
  <c r="F123" i="25"/>
  <c r="E119" i="25"/>
  <c r="F117" i="25"/>
  <c r="E116" i="25"/>
  <c r="E111" i="25"/>
  <c r="F109" i="25"/>
  <c r="E108" i="25"/>
  <c r="E103" i="25"/>
  <c r="F101" i="25"/>
  <c r="E100" i="25"/>
  <c r="E95" i="25"/>
  <c r="F93" i="25"/>
  <c r="E92" i="25"/>
  <c r="E87" i="25"/>
  <c r="F85" i="25"/>
  <c r="E84" i="25"/>
  <c r="E79" i="25"/>
  <c r="F77" i="25"/>
  <c r="E76" i="25"/>
  <c r="E71" i="25"/>
  <c r="F69" i="25"/>
  <c r="E68" i="25"/>
  <c r="E63" i="25"/>
  <c r="F61" i="25"/>
  <c r="E60" i="25"/>
  <c r="E55" i="25"/>
  <c r="F53" i="25"/>
  <c r="E52" i="25"/>
  <c r="E47" i="25"/>
  <c r="F45" i="25"/>
  <c r="E44" i="25"/>
  <c r="E327" i="25"/>
  <c r="E300" i="25"/>
  <c r="F278" i="25"/>
  <c r="E245" i="25"/>
  <c r="F244" i="25"/>
  <c r="F243" i="25"/>
  <c r="F217" i="25"/>
  <c r="F213" i="25"/>
  <c r="F209" i="25"/>
  <c r="F205" i="25"/>
  <c r="F201" i="25"/>
  <c r="F197" i="25"/>
  <c r="F193" i="25"/>
  <c r="F189" i="25"/>
  <c r="F185" i="25"/>
  <c r="F181" i="25"/>
  <c r="F177" i="25"/>
  <c r="F173" i="25"/>
  <c r="F169" i="25"/>
  <c r="F165" i="25"/>
  <c r="F161" i="25"/>
  <c r="F157" i="25"/>
  <c r="F153" i="25"/>
  <c r="F149" i="25"/>
  <c r="F145" i="25"/>
  <c r="F141" i="25"/>
  <c r="F137" i="25"/>
  <c r="F133" i="25"/>
  <c r="F129" i="25"/>
  <c r="F125" i="25"/>
  <c r="F121" i="25"/>
  <c r="E115" i="25"/>
  <c r="F113" i="25"/>
  <c r="E112" i="25"/>
  <c r="E107" i="25"/>
  <c r="F105" i="25"/>
  <c r="E104" i="25"/>
  <c r="E99" i="25"/>
  <c r="F97" i="25"/>
  <c r="E96" i="25"/>
  <c r="E91" i="25"/>
  <c r="F89" i="25"/>
  <c r="E88" i="25"/>
  <c r="E83" i="25"/>
  <c r="F81" i="25"/>
  <c r="E80" i="25"/>
  <c r="E75" i="25"/>
  <c r="F73" i="25"/>
  <c r="E72" i="25"/>
  <c r="E67" i="25"/>
  <c r="F65" i="25"/>
  <c r="E64" i="25"/>
  <c r="E59" i="25"/>
  <c r="F57" i="25"/>
  <c r="E56" i="25"/>
  <c r="E51" i="25"/>
  <c r="F49" i="25"/>
  <c r="E48" i="25"/>
  <c r="E43" i="25"/>
  <c r="F41" i="25"/>
  <c r="E40" i="25"/>
  <c r="E35" i="25"/>
  <c r="F33" i="25"/>
  <c r="E32" i="25"/>
  <c r="F28" i="25"/>
  <c r="F26" i="25"/>
  <c r="F24" i="25"/>
  <c r="F22" i="25"/>
  <c r="F20" i="25"/>
  <c r="F18" i="25"/>
  <c r="F16" i="25"/>
  <c r="F14" i="25"/>
  <c r="F55" i="25"/>
  <c r="E54" i="25"/>
  <c r="E49" i="25"/>
  <c r="F47" i="25"/>
  <c r="E46" i="25"/>
  <c r="E41" i="25"/>
  <c r="F39" i="25"/>
  <c r="E33" i="25"/>
  <c r="E30" i="25"/>
  <c r="E28" i="25"/>
  <c r="E26" i="25"/>
  <c r="F270" i="25"/>
  <c r="E253" i="25"/>
  <c r="F251" i="25"/>
  <c r="E225" i="25"/>
  <c r="E215" i="25"/>
  <c r="E199" i="25"/>
  <c r="E183" i="25"/>
  <c r="E167" i="25"/>
  <c r="E151" i="25"/>
  <c r="E135" i="25"/>
  <c r="F99" i="25"/>
  <c r="E98" i="25"/>
  <c r="E93" i="25"/>
  <c r="F67" i="25"/>
  <c r="E66" i="25"/>
  <c r="E61" i="25"/>
  <c r="E39" i="25"/>
  <c r="F35" i="25"/>
  <c r="F29" i="25"/>
  <c r="F27" i="25"/>
  <c r="E23" i="25"/>
  <c r="F21" i="25"/>
  <c r="E15" i="25"/>
  <c r="F13" i="25"/>
  <c r="E13" i="25"/>
  <c r="F83" i="25"/>
  <c r="E50" i="25"/>
  <c r="F37" i="25"/>
  <c r="F25" i="25"/>
  <c r="F17" i="25"/>
  <c r="E16" i="25"/>
  <c r="E354" i="25"/>
  <c r="E332" i="25"/>
  <c r="E219" i="25"/>
  <c r="E203" i="25"/>
  <c r="E187" i="25"/>
  <c r="E171" i="25"/>
  <c r="E155" i="25"/>
  <c r="E139" i="25"/>
  <c r="E123" i="25"/>
  <c r="E117" i="25"/>
  <c r="F91" i="25"/>
  <c r="E90" i="25"/>
  <c r="E85" i="25"/>
  <c r="F59" i="25"/>
  <c r="E58" i="25"/>
  <c r="E53" i="25"/>
  <c r="E29" i="25"/>
  <c r="E27" i="25"/>
  <c r="E21" i="25"/>
  <c r="F19" i="25"/>
  <c r="E18" i="25"/>
  <c r="E207" i="25"/>
  <c r="E114" i="25"/>
  <c r="E109" i="25"/>
  <c r="E82" i="25"/>
  <c r="E77" i="25"/>
  <c r="E45" i="25"/>
  <c r="E24" i="25"/>
  <c r="E211" i="25"/>
  <c r="E195" i="25"/>
  <c r="E179" i="25"/>
  <c r="E163" i="25"/>
  <c r="E147" i="25"/>
  <c r="E131" i="25"/>
  <c r="F107" i="25"/>
  <c r="E106" i="25"/>
  <c r="E101" i="25"/>
  <c r="F75" i="25"/>
  <c r="E74" i="25"/>
  <c r="E69" i="25"/>
  <c r="F43" i="25"/>
  <c r="E42" i="25"/>
  <c r="E37" i="25"/>
  <c r="E36" i="25"/>
  <c r="E34" i="25"/>
  <c r="E25" i="25"/>
  <c r="F23" i="25"/>
  <c r="E22" i="25"/>
  <c r="E17" i="25"/>
  <c r="F15" i="25"/>
  <c r="E14" i="25"/>
  <c r="E20" i="25"/>
  <c r="F252" i="25"/>
  <c r="E191" i="25"/>
  <c r="E175" i="25"/>
  <c r="E159" i="25"/>
  <c r="E143" i="25"/>
  <c r="E127" i="25"/>
  <c r="F115" i="25"/>
  <c r="F51" i="25"/>
  <c r="E31" i="25"/>
  <c r="E19" i="25"/>
  <c r="E626" i="25"/>
  <c r="F626" i="25"/>
  <c r="E628" i="25"/>
  <c r="F628" i="25"/>
  <c r="AJ64" i="23"/>
  <c r="AF64" i="23"/>
  <c r="AJ106" i="23"/>
  <c r="AF106" i="23"/>
  <c r="AJ99" i="23"/>
  <c r="AF99" i="23"/>
  <c r="AF73" i="23"/>
  <c r="AJ73" i="23"/>
  <c r="AJ90" i="23"/>
  <c r="AF90" i="23"/>
  <c r="AF22" i="23"/>
  <c r="AJ22" i="23"/>
  <c r="AF28" i="23"/>
  <c r="AJ28" i="23"/>
  <c r="AF11" i="23"/>
  <c r="AJ11" i="23"/>
  <c r="AJ81" i="23"/>
  <c r="AF81" i="23"/>
  <c r="AJ52" i="23"/>
  <c r="AF52" i="23"/>
  <c r="AF71" i="23"/>
  <c r="AJ71" i="23"/>
  <c r="AF42" i="23"/>
  <c r="AJ42" i="23"/>
  <c r="AF53" i="23"/>
  <c r="AJ53" i="23"/>
  <c r="AJ21" i="23"/>
  <c r="AF21" i="23"/>
  <c r="AF13" i="23"/>
  <c r="AJ13" i="23"/>
  <c r="AF107" i="23"/>
  <c r="AJ107" i="23"/>
  <c r="AJ74" i="23"/>
  <c r="AF74" i="23"/>
  <c r="AF77" i="23"/>
  <c r="AJ77" i="23"/>
  <c r="AJ95" i="23"/>
  <c r="AF95" i="23"/>
  <c r="AJ25" i="23"/>
  <c r="AF25" i="23"/>
  <c r="AJ33" i="23"/>
  <c r="AF33" i="23"/>
  <c r="AF68" i="23"/>
  <c r="AJ68" i="23"/>
  <c r="AF40" i="23"/>
  <c r="AJ40" i="23"/>
  <c r="AF96" i="23"/>
  <c r="AJ96" i="23"/>
  <c r="AJ10" i="23"/>
  <c r="AF10" i="23"/>
  <c r="AF70" i="23"/>
  <c r="AJ70" i="23"/>
  <c r="AJ75" i="23"/>
  <c r="AF75" i="23"/>
  <c r="AJ35" i="23"/>
  <c r="AF35" i="23"/>
  <c r="AJ61" i="23"/>
  <c r="AF61" i="23"/>
  <c r="AF46" i="23"/>
  <c r="AJ46" i="23"/>
  <c r="AJ57" i="23"/>
  <c r="AF57" i="23"/>
  <c r="AJ51" i="23"/>
  <c r="AF51" i="23"/>
  <c r="AJ84" i="23"/>
  <c r="AF84" i="23"/>
  <c r="AJ103" i="23"/>
  <c r="AF103" i="23"/>
  <c r="AJ27" i="23"/>
  <c r="AF27" i="23"/>
  <c r="AJ85" i="23"/>
  <c r="AF85" i="23"/>
  <c r="AF49" i="23"/>
  <c r="AJ49" i="23"/>
  <c r="AJ38" i="23"/>
  <c r="AF38" i="23"/>
  <c r="AJ65" i="23"/>
  <c r="AF65" i="23"/>
  <c r="AJ37" i="23"/>
  <c r="AF37" i="23"/>
  <c r="AF78" i="23"/>
  <c r="AJ78" i="23"/>
  <c r="AJ94" i="23"/>
  <c r="AF94" i="23"/>
  <c r="AJ63" i="23"/>
  <c r="AF63" i="23"/>
  <c r="AF17" i="23"/>
  <c r="AJ17" i="23"/>
  <c r="AF23" i="23"/>
  <c r="AJ23" i="23"/>
  <c r="AJ100" i="23"/>
  <c r="AF100" i="23"/>
  <c r="AF39" i="23"/>
  <c r="AJ39" i="23"/>
  <c r="AJ50" i="23"/>
  <c r="AF50" i="23"/>
  <c r="AJ69" i="23"/>
  <c r="AF69" i="23"/>
  <c r="AJ31" i="23"/>
  <c r="AF31" i="23"/>
  <c r="AF15" i="23"/>
  <c r="AJ15" i="23"/>
  <c r="AJ79" i="23"/>
  <c r="AF79" i="23"/>
  <c r="AF83" i="23"/>
  <c r="AJ83" i="23"/>
  <c r="AJ72" i="23"/>
  <c r="AF72" i="23"/>
  <c r="AF54" i="23"/>
  <c r="AJ54" i="23"/>
  <c r="AJ32" i="23"/>
  <c r="AF32" i="23"/>
  <c r="AJ66" i="23"/>
  <c r="AF66" i="23"/>
  <c r="AJ14" i="23"/>
  <c r="AF14" i="23"/>
  <c r="AF98" i="23"/>
  <c r="AJ98" i="23"/>
  <c r="AF19" i="23"/>
  <c r="AJ19" i="23"/>
  <c r="AF80" i="23"/>
  <c r="AJ80" i="23"/>
  <c r="AJ56" i="23"/>
  <c r="AF56" i="23"/>
  <c r="AJ44" i="23"/>
  <c r="AF44" i="23"/>
  <c r="AF101" i="23"/>
  <c r="AJ101" i="23"/>
  <c r="AF48" i="23"/>
  <c r="AJ48" i="23"/>
  <c r="AF82" i="23"/>
  <c r="AJ82" i="23"/>
  <c r="AJ45" i="23"/>
  <c r="AF45" i="23"/>
  <c r="AJ34" i="23"/>
  <c r="AF34" i="23"/>
  <c r="AF91" i="23"/>
  <c r="AJ91" i="23"/>
  <c r="AJ26" i="23"/>
  <c r="AF26" i="23"/>
  <c r="AJ108" i="23"/>
  <c r="AF108" i="23"/>
  <c r="AJ102" i="23"/>
  <c r="AF102" i="23"/>
  <c r="AJ20" i="23"/>
  <c r="AF20" i="23"/>
  <c r="AF104" i="23"/>
  <c r="AJ104" i="23"/>
  <c r="AJ18" i="23"/>
  <c r="AF18" i="23"/>
  <c r="AJ105" i="23"/>
  <c r="AF105" i="23"/>
  <c r="AJ29" i="23"/>
  <c r="AF29" i="23"/>
  <c r="AJ41" i="23"/>
  <c r="AF41" i="23"/>
  <c r="AF55" i="23"/>
  <c r="AJ55" i="23"/>
  <c r="AJ43" i="23"/>
  <c r="AF43" i="23"/>
  <c r="AF92" i="23"/>
  <c r="AJ92" i="23"/>
  <c r="AJ12" i="23"/>
  <c r="AF12" i="23"/>
  <c r="AJ62" i="23"/>
  <c r="AF62" i="23"/>
  <c r="AF59" i="23"/>
  <c r="AJ59" i="23"/>
  <c r="AJ67" i="23"/>
  <c r="AF67" i="23"/>
  <c r="AF36" i="23"/>
  <c r="AJ36" i="23"/>
  <c r="AF88" i="23"/>
  <c r="AJ88" i="23"/>
  <c r="N9" i="23"/>
  <c r="AL70" i="21"/>
  <c r="AL54" i="21"/>
  <c r="AL10" i="21"/>
  <c r="AL95" i="21"/>
  <c r="AL79" i="21"/>
  <c r="AL63" i="21"/>
  <c r="AL31" i="21"/>
  <c r="V17" i="23"/>
  <c r="V59" i="23"/>
  <c r="V80" i="23"/>
  <c r="AL84" i="21"/>
  <c r="AL68" i="21"/>
  <c r="AL52" i="21"/>
  <c r="AL20" i="21"/>
  <c r="AL109" i="21"/>
  <c r="AL93" i="21"/>
  <c r="AL77" i="21"/>
  <c r="AL61" i="21"/>
  <c r="AL45" i="21"/>
  <c r="AL21" i="21"/>
  <c r="B69" i="23"/>
  <c r="B68" i="21"/>
  <c r="B69" i="21" s="1"/>
  <c r="V36" i="23"/>
  <c r="V18" i="23"/>
  <c r="V34" i="23"/>
  <c r="V72" i="23"/>
  <c r="V83" i="23"/>
  <c r="V88" i="23"/>
  <c r="V102" i="23"/>
  <c r="AL98" i="21"/>
  <c r="AL90" i="21"/>
  <c r="AL82" i="21"/>
  <c r="AL74" i="21"/>
  <c r="AL66" i="21"/>
  <c r="AL58" i="21"/>
  <c r="AL34" i="21"/>
  <c r="AL18" i="21"/>
  <c r="AL99" i="21"/>
  <c r="AL91" i="21"/>
  <c r="AL83" i="21"/>
  <c r="AL75" i="21"/>
  <c r="AL67" i="21"/>
  <c r="AL59" i="21"/>
  <c r="AL35" i="21"/>
  <c r="AL27" i="21"/>
  <c r="AL38" i="21"/>
  <c r="V29" i="23"/>
  <c r="V64" i="23"/>
  <c r="V91" i="23"/>
  <c r="V107" i="23"/>
  <c r="AL78" i="21"/>
  <c r="AL62" i="21"/>
  <c r="AL46" i="21"/>
  <c r="AL30" i="21"/>
  <c r="AL14" i="21"/>
  <c r="AL103" i="21"/>
  <c r="AL87" i="21"/>
  <c r="AL71" i="21"/>
  <c r="AL55" i="21"/>
  <c r="AL39" i="21"/>
  <c r="AL15" i="21"/>
  <c r="AL108" i="21"/>
  <c r="AL60" i="21"/>
  <c r="AL44" i="21"/>
  <c r="AL85" i="21"/>
  <c r="AL69" i="21"/>
  <c r="AL13" i="21"/>
  <c r="V10" i="23"/>
  <c r="V101" i="23"/>
  <c r="V82" i="23"/>
  <c r="V100" i="23"/>
  <c r="AL88" i="21"/>
  <c r="AL80" i="21"/>
  <c r="AL72" i="21"/>
  <c r="AL56" i="21"/>
  <c r="AL24" i="21"/>
  <c r="AL16" i="21"/>
  <c r="AL97" i="21"/>
  <c r="AL89" i="21"/>
  <c r="AL81" i="21"/>
  <c r="AL73" i="21"/>
  <c r="AL33" i="21"/>
  <c r="AL25" i="21"/>
  <c r="AL17" i="21"/>
  <c r="B80" i="23"/>
  <c r="AL104" i="21"/>
  <c r="AL11" i="21"/>
  <c r="V43" i="23"/>
  <c r="V75" i="23"/>
  <c r="V105" i="23"/>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N9" i="21" s="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O36" i="8"/>
  <c r="C75" i="1" s="1"/>
  <c r="D75" i="1" s="1"/>
  <c r="N36" i="8"/>
  <c r="I4" i="8"/>
  <c r="D191" i="2"/>
  <c r="K3" i="17"/>
  <c r="E563" i="17" s="1"/>
  <c r="B9" i="8"/>
  <c r="B8" i="8" s="1"/>
  <c r="B7" i="8" s="1"/>
  <c r="B6" i="8" s="1"/>
  <c r="B4" i="8" s="1"/>
  <c r="D111" i="2"/>
  <c r="D114" i="2" s="1"/>
  <c r="J39" i="1" s="1"/>
  <c r="J34" i="1"/>
  <c r="D125" i="2"/>
  <c r="J36" i="1"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18" i="2"/>
  <c r="B177" i="2"/>
  <c r="B362" i="2" s="1"/>
  <c r="B319" i="2"/>
  <c r="B214" i="2"/>
  <c r="B192" i="2"/>
  <c r="C3" i="17"/>
  <c r="B25" i="2"/>
  <c r="B23" i="2"/>
  <c r="B24"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B380" i="2"/>
  <c r="O11" i="8"/>
  <c r="B240" i="2" s="1"/>
  <c r="C66" i="16"/>
  <c r="D66" i="16" s="1"/>
  <c r="B50" i="2"/>
  <c r="E62" i="1"/>
  <c r="O14" i="23" l="1"/>
  <c r="O87" i="23"/>
  <c r="P87" i="23"/>
  <c r="Q87" i="23" s="1"/>
  <c r="AE87" i="23" s="1"/>
  <c r="AF16" i="23"/>
  <c r="AJ16" i="23"/>
  <c r="AJ87" i="23"/>
  <c r="B113" i="2"/>
  <c r="V87" i="23"/>
  <c r="W87" i="23" s="1"/>
  <c r="X87" i="23" s="1"/>
  <c r="AJ60" i="23"/>
  <c r="AF60" i="23"/>
  <c r="AF47" i="23"/>
  <c r="AJ89" i="23"/>
  <c r="AJ47" i="23"/>
  <c r="AF86" i="23"/>
  <c r="AJ58" i="23"/>
  <c r="AF58" i="23"/>
  <c r="P80" i="23"/>
  <c r="Q80" i="23" s="1"/>
  <c r="AE80" i="23" s="1"/>
  <c r="O86" i="23"/>
  <c r="O47" i="23"/>
  <c r="P19" i="23"/>
  <c r="Q19" i="23" s="1"/>
  <c r="AE19" i="23" s="1"/>
  <c r="P16" i="23"/>
  <c r="Q16" i="23" s="1"/>
  <c r="AE16" i="23" s="1"/>
  <c r="P60" i="23"/>
  <c r="Q60" i="23" s="1"/>
  <c r="AE60" i="23" s="1"/>
  <c r="AJ86" i="23"/>
  <c r="V89" i="23"/>
  <c r="W89" i="23" s="1"/>
  <c r="X89" i="23" s="1"/>
  <c r="AF89" i="23"/>
  <c r="P97" i="23"/>
  <c r="Q97" i="23" s="1"/>
  <c r="AE97" i="23" s="1"/>
  <c r="P58" i="23"/>
  <c r="Q58" i="23" s="1"/>
  <c r="AE58" i="23" s="1"/>
  <c r="AF97" i="23"/>
  <c r="AJ97" i="23"/>
  <c r="O109" i="23"/>
  <c r="AJ109" i="23"/>
  <c r="AF109" i="23"/>
  <c r="AJ93" i="23"/>
  <c r="V24" i="23"/>
  <c r="W24" i="23" s="1"/>
  <c r="X24" i="23" s="1"/>
  <c r="AF24" i="23"/>
  <c r="O89" i="23"/>
  <c r="O76" i="23"/>
  <c r="AJ24" i="23"/>
  <c r="AF93" i="23"/>
  <c r="AJ30" i="23"/>
  <c r="P93" i="23"/>
  <c r="Q93" i="23" s="1"/>
  <c r="AE93" i="23" s="1"/>
  <c r="P24" i="23"/>
  <c r="Q24" i="23" s="1"/>
  <c r="AE24" i="23" s="1"/>
  <c r="AF30" i="23"/>
  <c r="P30" i="23"/>
  <c r="Q30" i="23" s="1"/>
  <c r="AE30" i="23" s="1"/>
  <c r="O93" i="23"/>
  <c r="AJ76" i="23"/>
  <c r="P76" i="23"/>
  <c r="Q76" i="23" s="1"/>
  <c r="AE76" i="23" s="1"/>
  <c r="B131" i="2"/>
  <c r="B211" i="2"/>
  <c r="B207" i="2"/>
  <c r="F3" i="17" s="1"/>
  <c r="B186" i="2"/>
  <c r="B191" i="2"/>
  <c r="B225" i="2"/>
  <c r="D97" i="2"/>
  <c r="D101" i="2" s="1"/>
  <c r="D105" i="2" s="1"/>
  <c r="J21" i="1" s="1"/>
  <c r="D65" i="2"/>
  <c r="D60" i="2"/>
  <c r="D67" i="2"/>
  <c r="D79" i="2"/>
  <c r="D88" i="2" s="1"/>
  <c r="J18" i="1" s="1"/>
  <c r="P9" i="23"/>
  <c r="Q9" i="23" s="1"/>
  <c r="AE9" i="23" s="1"/>
  <c r="O9" i="23"/>
  <c r="AB9" i="23"/>
  <c r="AC9" i="23" s="1"/>
  <c r="B153" i="2"/>
  <c r="B69" i="2"/>
  <c r="B148" i="2"/>
  <c r="B147"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382" i="2"/>
  <c r="B381" i="2"/>
  <c r="B97" i="2"/>
  <c r="B101" i="2" s="1"/>
  <c r="B60" i="2"/>
  <c r="B67" i="2"/>
  <c r="B79" i="2"/>
  <c r="E623" i="25"/>
  <c r="F623" i="25"/>
  <c r="S9" i="21"/>
  <c r="B111" i="2"/>
  <c r="E110" i="17"/>
  <c r="F329" i="17"/>
  <c r="E203" i="17"/>
  <c r="Y9" i="23"/>
  <c r="Z9" i="23" s="1"/>
  <c r="AA9" i="23" s="1"/>
  <c r="AF72" i="21"/>
  <c r="AF62" i="21"/>
  <c r="AF107" i="21"/>
  <c r="AF100" i="21"/>
  <c r="AH9" i="23"/>
  <c r="AI9" i="23" s="1"/>
  <c r="AF41" i="21"/>
  <c r="AF69" i="21"/>
  <c r="AF101" i="21"/>
  <c r="AF12" i="21"/>
  <c r="AF68" i="21"/>
  <c r="AF86" i="21"/>
  <c r="AF25" i="21"/>
  <c r="AF40" i="21"/>
  <c r="AF104" i="21"/>
  <c r="AF36" i="21"/>
  <c r="AF24" i="21"/>
  <c r="AF94" i="21"/>
  <c r="AF106" i="21"/>
  <c r="AJ9" i="23"/>
  <c r="AF9" i="23"/>
  <c r="V9" i="23"/>
  <c r="W9" i="23" s="1"/>
  <c r="X9" i="23" s="1"/>
  <c r="R9" i="23"/>
  <c r="W82" i="23"/>
  <c r="X82" i="23" s="1"/>
  <c r="W75" i="23"/>
  <c r="X75" i="23" s="1"/>
  <c r="W107" i="23"/>
  <c r="X107" i="23" s="1"/>
  <c r="W59" i="23"/>
  <c r="X59" i="23" s="1"/>
  <c r="W43" i="23"/>
  <c r="X43" i="23" s="1"/>
  <c r="W100" i="23"/>
  <c r="X100" i="23" s="1"/>
  <c r="W10" i="23"/>
  <c r="X10" i="23" s="1"/>
  <c r="W102" i="23"/>
  <c r="X102" i="23" s="1"/>
  <c r="W83" i="23"/>
  <c r="X83" i="23" s="1"/>
  <c r="W36" i="23"/>
  <c r="X36" i="23" s="1"/>
  <c r="W105" i="23"/>
  <c r="X105" i="23" s="1"/>
  <c r="W88" i="23"/>
  <c r="X88" i="23" s="1"/>
  <c r="W34" i="23"/>
  <c r="X34" i="23" s="1"/>
  <c r="W17" i="23"/>
  <c r="X17" i="23" s="1"/>
  <c r="W101" i="23"/>
  <c r="X101" i="23" s="1"/>
  <c r="W91" i="23"/>
  <c r="X91" i="23" s="1"/>
  <c r="W64" i="23"/>
  <c r="X64" i="23" s="1"/>
  <c r="W72" i="23"/>
  <c r="X72" i="23" s="1"/>
  <c r="W80" i="23"/>
  <c r="X80" i="23" s="1"/>
  <c r="W93" i="23"/>
  <c r="X93" i="23" s="1"/>
  <c r="W29" i="23"/>
  <c r="X29" i="23" s="1"/>
  <c r="W18" i="23"/>
  <c r="X18" i="23" s="1"/>
  <c r="V71" i="23"/>
  <c r="V77" i="23"/>
  <c r="V60" i="23"/>
  <c r="V28" i="23"/>
  <c r="V20" i="23"/>
  <c r="V61" i="23"/>
  <c r="R61" i="23"/>
  <c r="V70" i="23"/>
  <c r="V79" i="23"/>
  <c r="V47" i="23"/>
  <c r="V57" i="23"/>
  <c r="V62" i="23"/>
  <c r="R62" i="23"/>
  <c r="V26" i="23"/>
  <c r="V84" i="23"/>
  <c r="V97" i="23"/>
  <c r="R24" i="23"/>
  <c r="AH52" i="23"/>
  <c r="AI52" i="23" s="1"/>
  <c r="AK52" i="23" s="1"/>
  <c r="AH11" i="23"/>
  <c r="AI11" i="23" s="1"/>
  <c r="AK11" i="23" s="1"/>
  <c r="AH99" i="23"/>
  <c r="AI99" i="23" s="1"/>
  <c r="AK99" i="23" s="1"/>
  <c r="AF13" i="21"/>
  <c r="AF71" i="21"/>
  <c r="AH90" i="23"/>
  <c r="AI90" i="23" s="1"/>
  <c r="AK90" i="23" s="1"/>
  <c r="AH39" i="23"/>
  <c r="AI39" i="23" s="1"/>
  <c r="AK39" i="23" s="1"/>
  <c r="AB39" i="23"/>
  <c r="AC39" i="23" s="1"/>
  <c r="Y103" i="23"/>
  <c r="Z103" i="23" s="1"/>
  <c r="AA103" i="23" s="1"/>
  <c r="Y63" i="23"/>
  <c r="Z63" i="23" s="1"/>
  <c r="AA63" i="23" s="1"/>
  <c r="AH105" i="23"/>
  <c r="AI105" i="23" s="1"/>
  <c r="Y105" i="23"/>
  <c r="Z105" i="23" s="1"/>
  <c r="AA105" i="23" s="1"/>
  <c r="AB105" i="23"/>
  <c r="AC105" i="23" s="1"/>
  <c r="R105" i="23"/>
  <c r="R89" i="23"/>
  <c r="AH75" i="23"/>
  <c r="AI75" i="23" s="1"/>
  <c r="AK75" i="23" s="1"/>
  <c r="Y75" i="23"/>
  <c r="Z75" i="23" s="1"/>
  <c r="AA75" i="23" s="1"/>
  <c r="AB75" i="23"/>
  <c r="AC75" i="23" s="1"/>
  <c r="R75" i="23"/>
  <c r="AB86" i="23"/>
  <c r="AC86" i="23" s="1"/>
  <c r="AB68" i="23"/>
  <c r="AC68" i="23" s="1"/>
  <c r="AH68" i="23"/>
  <c r="AI68" i="23" s="1"/>
  <c r="AK68" i="23" s="1"/>
  <c r="AH43" i="23"/>
  <c r="AI43" i="23" s="1"/>
  <c r="AK43" i="23" s="1"/>
  <c r="Y43" i="23"/>
  <c r="Z43" i="23" s="1"/>
  <c r="AA43" i="23" s="1"/>
  <c r="AB43" i="23"/>
  <c r="AC43" i="23" s="1"/>
  <c r="R43" i="23"/>
  <c r="AH41" i="23"/>
  <c r="AI41" i="23" s="1"/>
  <c r="AK41" i="23" s="1"/>
  <c r="AB71" i="23"/>
  <c r="AC71" i="23" s="1"/>
  <c r="AH71" i="23"/>
  <c r="AI71" i="23" s="1"/>
  <c r="AK71" i="23" s="1"/>
  <c r="Y71" i="23"/>
  <c r="Z71" i="23" s="1"/>
  <c r="AA71" i="23" s="1"/>
  <c r="R101" i="23"/>
  <c r="AB54" i="23"/>
  <c r="AC54" i="23" s="1"/>
  <c r="AH22" i="23"/>
  <c r="AI22" i="23" s="1"/>
  <c r="AK22" i="23" s="1"/>
  <c r="R10" i="23"/>
  <c r="Y106" i="23"/>
  <c r="Z106" i="23" s="1"/>
  <c r="AA106" i="23" s="1"/>
  <c r="AB107" i="23"/>
  <c r="AC107" i="23" s="1"/>
  <c r="AH107" i="23"/>
  <c r="AI107" i="23" s="1"/>
  <c r="AK107" i="23" s="1"/>
  <c r="Y107" i="23"/>
  <c r="Z107" i="23" s="1"/>
  <c r="AA107" i="23" s="1"/>
  <c r="AB78" i="23"/>
  <c r="AC78" i="23" s="1"/>
  <c r="AH55" i="23"/>
  <c r="AI55" i="23" s="1"/>
  <c r="AK55" i="23" s="1"/>
  <c r="AH64" i="23"/>
  <c r="AI64" i="23" s="1"/>
  <c r="AK64" i="23" s="1"/>
  <c r="Y64" i="23"/>
  <c r="Z64" i="23" s="1"/>
  <c r="AA64" i="23" s="1"/>
  <c r="AB64" i="23"/>
  <c r="AC64" i="23" s="1"/>
  <c r="R64" i="23"/>
  <c r="AH23" i="23"/>
  <c r="AI23" i="23" s="1"/>
  <c r="AK23" i="23" s="1"/>
  <c r="AB12" i="23"/>
  <c r="AC12" i="23" s="1"/>
  <c r="AH13" i="23"/>
  <c r="AI13" i="23" s="1"/>
  <c r="AK13" i="23" s="1"/>
  <c r="R29" i="23"/>
  <c r="AH102" i="23"/>
  <c r="AI102" i="23" s="1"/>
  <c r="AK102" i="23" s="1"/>
  <c r="Y102" i="23"/>
  <c r="Z102" i="23" s="1"/>
  <c r="AA102" i="23" s="1"/>
  <c r="AB102" i="23"/>
  <c r="AC102" i="23" s="1"/>
  <c r="R102" i="23"/>
  <c r="AH88" i="23"/>
  <c r="AI88" i="23" s="1"/>
  <c r="AK88" i="23" s="1"/>
  <c r="Y88" i="23"/>
  <c r="Z88" i="23" s="1"/>
  <c r="AA88" i="23" s="1"/>
  <c r="AB88" i="23"/>
  <c r="AC88" i="23" s="1"/>
  <c r="R88" i="23"/>
  <c r="R83" i="23"/>
  <c r="AF45" i="21"/>
  <c r="AH63" i="23"/>
  <c r="AI63" i="23" s="1"/>
  <c r="AK63" i="23" s="1"/>
  <c r="Y73" i="23"/>
  <c r="Z73" i="23" s="1"/>
  <c r="AA73" i="23" s="1"/>
  <c r="AH21" i="23"/>
  <c r="AI21" i="23" s="1"/>
  <c r="AK21" i="23" s="1"/>
  <c r="AB98" i="23"/>
  <c r="AC98" i="23" s="1"/>
  <c r="Y86" i="23"/>
  <c r="Z86" i="23" s="1"/>
  <c r="AA86" i="23" s="1"/>
  <c r="Y56" i="23"/>
  <c r="Z56" i="23" s="1"/>
  <c r="AA56" i="23" s="1"/>
  <c r="AH48" i="23"/>
  <c r="AI48" i="23" s="1"/>
  <c r="AK48" i="23" s="1"/>
  <c r="AH58" i="23"/>
  <c r="AI58" i="23" s="1"/>
  <c r="AH16" i="23"/>
  <c r="AI16" i="23" s="1"/>
  <c r="AK16" i="23" s="1"/>
  <c r="R26" i="23"/>
  <c r="R71" i="23"/>
  <c r="AF81" i="21"/>
  <c r="AF32" i="21"/>
  <c r="AF11" i="21"/>
  <c r="AB82" i="23"/>
  <c r="AC82" i="23" s="1"/>
  <c r="Y82" i="23"/>
  <c r="Z82" i="23" s="1"/>
  <c r="AA82" i="23" s="1"/>
  <c r="AH82" i="23"/>
  <c r="AI82" i="23" s="1"/>
  <c r="AK82" i="23" s="1"/>
  <c r="AH47" i="23"/>
  <c r="AI47" i="23" s="1"/>
  <c r="Y47" i="23"/>
  <c r="Z47" i="23" s="1"/>
  <c r="AA47" i="23" s="1"/>
  <c r="AB47" i="23"/>
  <c r="AC47" i="23" s="1"/>
  <c r="R47" i="23"/>
  <c r="AH10" i="23"/>
  <c r="AI10" i="23" s="1"/>
  <c r="AK10" i="23" s="1"/>
  <c r="Y10" i="23"/>
  <c r="Z10" i="23" s="1"/>
  <c r="AA10" i="23" s="1"/>
  <c r="AB10" i="23"/>
  <c r="AC10" i="23" s="1"/>
  <c r="AF29" i="21"/>
  <c r="AF78" i="21"/>
  <c r="Y65" i="23"/>
  <c r="Z65" i="23" s="1"/>
  <c r="AA65" i="23" s="1"/>
  <c r="AH57" i="23"/>
  <c r="AI57" i="23" s="1"/>
  <c r="AK57" i="23" s="1"/>
  <c r="Y57" i="23"/>
  <c r="Z57" i="23" s="1"/>
  <c r="AA57" i="23" s="1"/>
  <c r="AB57" i="23"/>
  <c r="AC57" i="23" s="1"/>
  <c r="R57" i="23"/>
  <c r="AH66" i="23"/>
  <c r="AI66" i="23" s="1"/>
  <c r="AK66" i="23" s="1"/>
  <c r="AB66" i="23"/>
  <c r="AC66" i="23" s="1"/>
  <c r="Y66" i="23"/>
  <c r="Z66" i="23" s="1"/>
  <c r="AA66" i="23" s="1"/>
  <c r="AB29" i="23"/>
  <c r="AC29" i="23" s="1"/>
  <c r="Y29" i="23"/>
  <c r="Z29" i="23" s="1"/>
  <c r="AA29" i="23" s="1"/>
  <c r="AH29" i="23"/>
  <c r="AI29" i="23" s="1"/>
  <c r="AK29" i="23" s="1"/>
  <c r="AH83" i="23"/>
  <c r="AI83" i="23" s="1"/>
  <c r="AK83" i="23" s="1"/>
  <c r="Y83" i="23"/>
  <c r="Z83" i="23" s="1"/>
  <c r="AA83" i="23" s="1"/>
  <c r="AB83" i="23"/>
  <c r="AC83" i="23" s="1"/>
  <c r="AB72" i="23"/>
  <c r="AC72" i="23" s="1"/>
  <c r="AH72" i="23"/>
  <c r="AI72" i="23" s="1"/>
  <c r="AK72" i="23" s="1"/>
  <c r="Y72" i="23"/>
  <c r="Z72" i="23" s="1"/>
  <c r="AA72" i="23" s="1"/>
  <c r="R72" i="23"/>
  <c r="AH34" i="23"/>
  <c r="AI34" i="23" s="1"/>
  <c r="AK34" i="23" s="1"/>
  <c r="AB34" i="23"/>
  <c r="AC34" i="23" s="1"/>
  <c r="Y34" i="23"/>
  <c r="Z34" i="23" s="1"/>
  <c r="AA34" i="23" s="1"/>
  <c r="Y32" i="23"/>
  <c r="Z32" i="23" s="1"/>
  <c r="AA32" i="23" s="1"/>
  <c r="R36" i="23"/>
  <c r="AH94" i="23"/>
  <c r="AI94" i="23" s="1"/>
  <c r="AK94" i="23" s="1"/>
  <c r="AB94" i="23"/>
  <c r="AC94" i="23" s="1"/>
  <c r="AH84" i="23"/>
  <c r="AI84" i="23" s="1"/>
  <c r="AK84" i="23" s="1"/>
  <c r="Y84" i="23"/>
  <c r="Z84" i="23" s="1"/>
  <c r="AA84" i="23" s="1"/>
  <c r="AB84" i="23"/>
  <c r="AC84" i="23" s="1"/>
  <c r="R84" i="23"/>
  <c r="AB80" i="23"/>
  <c r="AC80" i="23" s="1"/>
  <c r="Y80" i="23"/>
  <c r="Z80" i="23" s="1"/>
  <c r="AA80" i="23" s="1"/>
  <c r="AH80" i="23"/>
  <c r="AI80" i="23" s="1"/>
  <c r="AK80" i="23" s="1"/>
  <c r="R80" i="23"/>
  <c r="AH87" i="23"/>
  <c r="Y87" i="23"/>
  <c r="Z87" i="23" s="1"/>
  <c r="AA87" i="23" s="1"/>
  <c r="AB87" i="23"/>
  <c r="AC87" i="23" s="1"/>
  <c r="AB59" i="23"/>
  <c r="AC59" i="23" s="1"/>
  <c r="Y59" i="23"/>
  <c r="Z59" i="23" s="1"/>
  <c r="AA59" i="23" s="1"/>
  <c r="AH59" i="23"/>
  <c r="AI59" i="23" s="1"/>
  <c r="AK59" i="23" s="1"/>
  <c r="R59" i="23"/>
  <c r="AB67" i="23"/>
  <c r="AC67" i="23" s="1"/>
  <c r="AH25" i="23"/>
  <c r="AI25" i="23" s="1"/>
  <c r="AK25" i="23" s="1"/>
  <c r="Y27" i="23"/>
  <c r="Z27" i="23" s="1"/>
  <c r="AA27" i="23" s="1"/>
  <c r="AH17" i="23"/>
  <c r="Y17" i="23"/>
  <c r="Z17" i="23" s="1"/>
  <c r="AA17" i="23" s="1"/>
  <c r="AB17" i="23"/>
  <c r="AC17" i="23" s="1"/>
  <c r="R17" i="23"/>
  <c r="AF79" i="21"/>
  <c r="AF10" i="21"/>
  <c r="AF70" i="21"/>
  <c r="F64" i="17"/>
  <c r="AH93" i="23"/>
  <c r="Y93" i="23"/>
  <c r="Z93" i="23" s="1"/>
  <c r="AA93" i="23" s="1"/>
  <c r="AB93" i="23"/>
  <c r="AC93" i="23" s="1"/>
  <c r="R93" i="23"/>
  <c r="AB89" i="23"/>
  <c r="AC89" i="23" s="1"/>
  <c r="AH89" i="23"/>
  <c r="AI89" i="23" s="1"/>
  <c r="Y89" i="23"/>
  <c r="Z89" i="23" s="1"/>
  <c r="AA89" i="23" s="1"/>
  <c r="AH95" i="23"/>
  <c r="AI95" i="23" s="1"/>
  <c r="AK95" i="23" s="1"/>
  <c r="AB96" i="23"/>
  <c r="AC96" i="23" s="1"/>
  <c r="AH79" i="23"/>
  <c r="AI79" i="23" s="1"/>
  <c r="AK79" i="23" s="1"/>
  <c r="Y79" i="23"/>
  <c r="Z79" i="23" s="1"/>
  <c r="AA79" i="23" s="1"/>
  <c r="AB79" i="23"/>
  <c r="R79" i="23"/>
  <c r="AH62" i="23"/>
  <c r="AI62" i="23" s="1"/>
  <c r="AK62" i="23" s="1"/>
  <c r="Y62" i="23"/>
  <c r="Z62" i="23" s="1"/>
  <c r="AA62" i="23" s="1"/>
  <c r="AB62" i="23"/>
  <c r="AC62" i="23" s="1"/>
  <c r="Y24" i="23"/>
  <c r="Z24" i="23" s="1"/>
  <c r="AA24" i="23" s="1"/>
  <c r="AB24" i="23"/>
  <c r="AC24" i="23" s="1"/>
  <c r="AH24" i="23"/>
  <c r="AI24" i="23" s="1"/>
  <c r="AH20" i="23"/>
  <c r="Y20" i="23"/>
  <c r="Z20" i="23" s="1"/>
  <c r="AA20" i="23" s="1"/>
  <c r="AB20" i="23"/>
  <c r="AC20" i="23" s="1"/>
  <c r="R20" i="23"/>
  <c r="AH26" i="23"/>
  <c r="AI26" i="23" s="1"/>
  <c r="AK26" i="23" s="1"/>
  <c r="AB26" i="23"/>
  <c r="AC26" i="23" s="1"/>
  <c r="Y26" i="23"/>
  <c r="Z26" i="23" s="1"/>
  <c r="AA26" i="23" s="1"/>
  <c r="AB99" i="23"/>
  <c r="AC99" i="23" s="1"/>
  <c r="AB100" i="23"/>
  <c r="AC100" i="23" s="1"/>
  <c r="AH100" i="23"/>
  <c r="AI100" i="23" s="1"/>
  <c r="AK100" i="23" s="1"/>
  <c r="Y100" i="23"/>
  <c r="Z100" i="23" s="1"/>
  <c r="AA100" i="23" s="1"/>
  <c r="R100" i="23"/>
  <c r="R82" i="23"/>
  <c r="AH101" i="23"/>
  <c r="AI101" i="23" s="1"/>
  <c r="AK101" i="23" s="1"/>
  <c r="Y101" i="23"/>
  <c r="Z101" i="23" s="1"/>
  <c r="AA101" i="23" s="1"/>
  <c r="AB101" i="23"/>
  <c r="AC101" i="23" s="1"/>
  <c r="AB50" i="23"/>
  <c r="AC50" i="23" s="1"/>
  <c r="AH50" i="23"/>
  <c r="AI50" i="23" s="1"/>
  <c r="AK50" i="23" s="1"/>
  <c r="AH104" i="23"/>
  <c r="AI104" i="23" s="1"/>
  <c r="AK104" i="23" s="1"/>
  <c r="AB61" i="23"/>
  <c r="AC61" i="23" s="1"/>
  <c r="AH61" i="23"/>
  <c r="Y61" i="23"/>
  <c r="Z61" i="23" s="1"/>
  <c r="AA61" i="23" s="1"/>
  <c r="AB46" i="23"/>
  <c r="AC46" i="23" s="1"/>
  <c r="AH44" i="23"/>
  <c r="AI44" i="23" s="1"/>
  <c r="AK44" i="23" s="1"/>
  <c r="R107" i="23"/>
  <c r="Y92" i="23"/>
  <c r="Z92" i="23" s="1"/>
  <c r="AA92" i="23" s="1"/>
  <c r="Y85" i="23"/>
  <c r="Z85" i="23" s="1"/>
  <c r="AA85" i="23" s="1"/>
  <c r="AH91" i="23"/>
  <c r="Y91" i="23"/>
  <c r="Z91" i="23" s="1"/>
  <c r="AA91" i="23" s="1"/>
  <c r="AB91" i="23"/>
  <c r="AC91" i="23" s="1"/>
  <c r="R91" i="23"/>
  <c r="AB74" i="23"/>
  <c r="AC74" i="23" s="1"/>
  <c r="Y51" i="23"/>
  <c r="Z51" i="23" s="1"/>
  <c r="AA51" i="23" s="1"/>
  <c r="AB33" i="23"/>
  <c r="AC33" i="23" s="1"/>
  <c r="AB70" i="23"/>
  <c r="AC70" i="23" s="1"/>
  <c r="AH70" i="23"/>
  <c r="AI70" i="23" s="1"/>
  <c r="AK70" i="23" s="1"/>
  <c r="Y70" i="23"/>
  <c r="Z70" i="23" s="1"/>
  <c r="AA70" i="23" s="1"/>
  <c r="R70" i="23"/>
  <c r="AB14" i="23"/>
  <c r="AC14" i="23" s="1"/>
  <c r="AB31" i="23"/>
  <c r="AC31" i="23" s="1"/>
  <c r="AF35" i="21"/>
  <c r="AF51" i="21"/>
  <c r="AF83" i="21"/>
  <c r="AF34" i="21"/>
  <c r="AF50" i="21"/>
  <c r="AF66" i="21"/>
  <c r="AF98" i="21"/>
  <c r="AH77" i="23"/>
  <c r="AI77" i="23" s="1"/>
  <c r="AK77" i="23" s="1"/>
  <c r="Y77" i="23"/>
  <c r="Z77" i="23" s="1"/>
  <c r="AA77" i="23" s="1"/>
  <c r="AB77" i="23"/>
  <c r="AC77" i="23" s="1"/>
  <c r="R77" i="23"/>
  <c r="Y60" i="23"/>
  <c r="Z60" i="23" s="1"/>
  <c r="AA60" i="23" s="1"/>
  <c r="AH60" i="23"/>
  <c r="AI60" i="23" s="1"/>
  <c r="AK60" i="23" s="1"/>
  <c r="AB60" i="23"/>
  <c r="AC60" i="23" s="1"/>
  <c r="R60" i="23"/>
  <c r="R34" i="23"/>
  <c r="AH18" i="23"/>
  <c r="AI18" i="23" s="1"/>
  <c r="AK18" i="23" s="1"/>
  <c r="Y18" i="23"/>
  <c r="Z18" i="23" s="1"/>
  <c r="AA18" i="23" s="1"/>
  <c r="AB18" i="23"/>
  <c r="R18" i="23"/>
  <c r="AB37" i="23"/>
  <c r="AC37" i="23" s="1"/>
  <c r="AB36" i="23"/>
  <c r="AC36" i="23" s="1"/>
  <c r="AH36" i="23"/>
  <c r="AI36" i="23" s="1"/>
  <c r="AK36" i="23" s="1"/>
  <c r="Y36" i="23"/>
  <c r="Z36" i="23" s="1"/>
  <c r="AA36" i="23" s="1"/>
  <c r="AB30" i="23"/>
  <c r="AC30" i="23" s="1"/>
  <c r="AF84" i="21"/>
  <c r="Y109" i="23"/>
  <c r="Z109" i="23" s="1"/>
  <c r="AA109" i="23" s="1"/>
  <c r="Y108" i="23"/>
  <c r="Z108" i="23" s="1"/>
  <c r="AA108" i="23" s="1"/>
  <c r="AH97" i="23"/>
  <c r="AI97" i="23" s="1"/>
  <c r="Y97" i="23"/>
  <c r="Z97" i="23" s="1"/>
  <c r="AA97" i="23" s="1"/>
  <c r="AB97" i="23"/>
  <c r="AC97" i="23" s="1"/>
  <c r="R97" i="23"/>
  <c r="AB76" i="23"/>
  <c r="AC76" i="23" s="1"/>
  <c r="R87" i="23"/>
  <c r="AH45" i="23"/>
  <c r="AI45" i="23" s="1"/>
  <c r="AK45" i="23" s="1"/>
  <c r="Y15" i="23"/>
  <c r="Z15" i="23" s="1"/>
  <c r="AA15" i="23" s="1"/>
  <c r="Y40" i="23"/>
  <c r="Z40" i="23" s="1"/>
  <c r="AA40" i="23" s="1"/>
  <c r="AH28" i="23"/>
  <c r="AI28" i="23" s="1"/>
  <c r="AK28" i="23" s="1"/>
  <c r="AB28" i="23"/>
  <c r="Y28" i="23"/>
  <c r="Z28" i="23" s="1"/>
  <c r="AA28" i="23" s="1"/>
  <c r="R28" i="23"/>
  <c r="AH38" i="23"/>
  <c r="AI38" i="23" s="1"/>
  <c r="AK38" i="23" s="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AN96" i="21" s="1"/>
  <c r="V52" i="21"/>
  <c r="AJ52" i="21"/>
  <c r="V20" i="21"/>
  <c r="AJ20" i="21"/>
  <c r="V56" i="21"/>
  <c r="AJ56" i="21"/>
  <c r="V88" i="21"/>
  <c r="R88" i="21"/>
  <c r="AN88" i="21" s="1"/>
  <c r="AJ88" i="21"/>
  <c r="V61" i="21"/>
  <c r="R61" i="21"/>
  <c r="AN61" i="21" s="1"/>
  <c r="V64" i="21"/>
  <c r="R64" i="21"/>
  <c r="AN64" i="21" s="1"/>
  <c r="V89" i="21"/>
  <c r="R89" i="21"/>
  <c r="AN89" i="21" s="1"/>
  <c r="V67" i="21"/>
  <c r="R67" i="21"/>
  <c r="AN67" i="21" s="1"/>
  <c r="AJ67" i="21"/>
  <c r="V99" i="21"/>
  <c r="R99" i="21"/>
  <c r="AN99" i="21" s="1"/>
  <c r="V30" i="21"/>
  <c r="AJ30" i="21"/>
  <c r="R30" i="21"/>
  <c r="AN30" i="21" s="1"/>
  <c r="AJ35" i="21"/>
  <c r="R35" i="21"/>
  <c r="AN35" i="21" s="1"/>
  <c r="AJ84" i="21"/>
  <c r="AJ25" i="21"/>
  <c r="AJ24" i="21"/>
  <c r="R32" i="21"/>
  <c r="AN32" i="21" s="1"/>
  <c r="R29" i="21"/>
  <c r="AN29" i="21" s="1"/>
  <c r="V19" i="21"/>
  <c r="AJ19" i="21"/>
  <c r="V91" i="21"/>
  <c r="R91" i="21"/>
  <c r="AN91" i="21" s="1"/>
  <c r="AJ91" i="21"/>
  <c r="V21" i="21"/>
  <c r="AJ21" i="21"/>
  <c r="R21" i="21"/>
  <c r="AN21" i="21" s="1"/>
  <c r="V44" i="21"/>
  <c r="R44" i="21"/>
  <c r="AN44" i="21" s="1"/>
  <c r="AJ44" i="21"/>
  <c r="V23" i="21"/>
  <c r="AJ23" i="21"/>
  <c r="R23" i="21"/>
  <c r="AN23" i="21" s="1"/>
  <c r="V97" i="21"/>
  <c r="AJ97" i="21"/>
  <c r="R97" i="21"/>
  <c r="AN97" i="21" s="1"/>
  <c r="V51" i="21"/>
  <c r="AJ51" i="21"/>
  <c r="V42" i="21"/>
  <c r="AJ42" i="21"/>
  <c r="R42" i="21"/>
  <c r="AN42" i="21" s="1"/>
  <c r="V92" i="21"/>
  <c r="R92" i="21"/>
  <c r="AN92" i="21" s="1"/>
  <c r="AJ92" i="21"/>
  <c r="V95" i="21"/>
  <c r="AJ95" i="21"/>
  <c r="R95" i="21"/>
  <c r="AN95" i="21" s="1"/>
  <c r="V33" i="21"/>
  <c r="R33" i="21"/>
  <c r="AN33" i="21" s="1"/>
  <c r="AJ33" i="21"/>
  <c r="V48" i="21"/>
  <c r="R48" i="21"/>
  <c r="AN48" i="21" s="1"/>
  <c r="AJ48" i="21"/>
  <c r="V27" i="21"/>
  <c r="R27" i="21"/>
  <c r="AN27" i="21" s="1"/>
  <c r="AJ27" i="21"/>
  <c r="N43" i="21"/>
  <c r="V83" i="21"/>
  <c r="AJ83" i="21"/>
  <c r="V58" i="21"/>
  <c r="R58" i="21"/>
  <c r="AN58" i="21" s="1"/>
  <c r="AJ58" i="21"/>
  <c r="V54" i="21"/>
  <c r="AJ54" i="21"/>
  <c r="R54" i="21"/>
  <c r="AN54" i="21" s="1"/>
  <c r="V85" i="21"/>
  <c r="AJ85" i="21"/>
  <c r="R85" i="21"/>
  <c r="AN85" i="21" s="1"/>
  <c r="V60" i="21"/>
  <c r="R60" i="21"/>
  <c r="AN60" i="21" s="1"/>
  <c r="AJ60" i="21"/>
  <c r="V73" i="21"/>
  <c r="AJ73" i="21"/>
  <c r="R73" i="21"/>
  <c r="AN73" i="21" s="1"/>
  <c r="V15" i="21"/>
  <c r="AJ15" i="21"/>
  <c r="R15" i="21"/>
  <c r="AN15" i="21" s="1"/>
  <c r="V93" i="21"/>
  <c r="AJ93" i="21"/>
  <c r="R93" i="21"/>
  <c r="AN93" i="21" s="1"/>
  <c r="V55" i="21"/>
  <c r="AJ55" i="21"/>
  <c r="R55" i="21"/>
  <c r="AN55" i="21" s="1"/>
  <c r="V65" i="21"/>
  <c r="AJ65" i="21"/>
  <c r="R65" i="21"/>
  <c r="AN65" i="21" s="1"/>
  <c r="R19" i="21"/>
  <c r="AN19" i="21" s="1"/>
  <c r="V59" i="21"/>
  <c r="R59" i="21"/>
  <c r="AN59" i="21" s="1"/>
  <c r="AJ59" i="21"/>
  <c r="N75" i="21"/>
  <c r="V74" i="21"/>
  <c r="AJ74" i="21"/>
  <c r="R74" i="21"/>
  <c r="AN74" i="21" s="1"/>
  <c r="V90" i="21"/>
  <c r="AJ90" i="21"/>
  <c r="R90" i="21"/>
  <c r="AN90" i="21" s="1"/>
  <c r="V63" i="21"/>
  <c r="AJ63" i="21"/>
  <c r="R63" i="21"/>
  <c r="AN63" i="21" s="1"/>
  <c r="V53" i="21"/>
  <c r="AJ53" i="21"/>
  <c r="R53" i="21"/>
  <c r="AN53" i="21" s="1"/>
  <c r="V28" i="21"/>
  <c r="AJ28" i="21"/>
  <c r="R28" i="21"/>
  <c r="AN28" i="21" s="1"/>
  <c r="V87" i="21"/>
  <c r="R87" i="21"/>
  <c r="AN87" i="21" s="1"/>
  <c r="AJ87" i="21"/>
  <c r="AB35" i="21"/>
  <c r="AH35" i="21"/>
  <c r="Y35" i="21"/>
  <c r="AH67" i="21"/>
  <c r="AB67" i="21"/>
  <c r="Y67" i="21"/>
  <c r="AH99" i="21"/>
  <c r="AB99" i="21"/>
  <c r="Y99" i="21"/>
  <c r="R107" i="21"/>
  <c r="AN107" i="21" s="1"/>
  <c r="R34" i="21"/>
  <c r="AN34" i="21" s="1"/>
  <c r="AH50" i="21"/>
  <c r="AB50" i="21"/>
  <c r="Y50" i="21"/>
  <c r="AJ50" i="21"/>
  <c r="R66" i="21"/>
  <c r="AN66" i="21" s="1"/>
  <c r="R98" i="21"/>
  <c r="AN98" i="21" s="1"/>
  <c r="R106" i="21"/>
  <c r="AN106" i="21" s="1"/>
  <c r="R78" i="21"/>
  <c r="AN78" i="21" s="1"/>
  <c r="AJ13" i="21"/>
  <c r="AH29" i="21"/>
  <c r="Y29" i="21"/>
  <c r="AB29" i="21"/>
  <c r="N37" i="21"/>
  <c r="AJ45" i="21"/>
  <c r="AH61" i="21"/>
  <c r="Y61" i="21"/>
  <c r="AB61" i="21"/>
  <c r="AH69" i="21"/>
  <c r="Y69" i="21"/>
  <c r="AB69" i="21"/>
  <c r="AH101" i="21"/>
  <c r="Y101" i="21"/>
  <c r="AB101" i="21"/>
  <c r="AJ101" i="21"/>
  <c r="R20" i="21"/>
  <c r="AN20" i="21" s="1"/>
  <c r="AH36" i="21"/>
  <c r="AB36" i="21"/>
  <c r="Y36" i="21"/>
  <c r="R52" i="21"/>
  <c r="AN52" i="21" s="1"/>
  <c r="AH68" i="21"/>
  <c r="Y68" i="21"/>
  <c r="AB68" i="21"/>
  <c r="R84" i="21"/>
  <c r="AN84" i="21" s="1"/>
  <c r="AH100" i="21"/>
  <c r="Y100" i="21"/>
  <c r="AB100" i="21"/>
  <c r="AJ79" i="21"/>
  <c r="R10" i="21"/>
  <c r="AN10" i="21" s="1"/>
  <c r="AH86" i="21"/>
  <c r="AB86" i="21"/>
  <c r="Y86" i="21"/>
  <c r="AH12" i="21"/>
  <c r="Y12" i="21"/>
  <c r="AB12" i="21"/>
  <c r="R25" i="21"/>
  <c r="AN25" i="21" s="1"/>
  <c r="AH41" i="21"/>
  <c r="AB41" i="21"/>
  <c r="Y41" i="21"/>
  <c r="R57" i="21"/>
  <c r="AN57" i="21" s="1"/>
  <c r="N105" i="21"/>
  <c r="R24" i="21"/>
  <c r="AN24" i="21" s="1"/>
  <c r="AH40" i="21"/>
  <c r="AB40" i="21"/>
  <c r="Y40" i="21"/>
  <c r="R56" i="21"/>
  <c r="AN56" i="21" s="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N50" i="21" s="1"/>
  <c r="AH66" i="21"/>
  <c r="AB66" i="21"/>
  <c r="Y66" i="21"/>
  <c r="AJ66" i="21"/>
  <c r="N82" i="21"/>
  <c r="AH98" i="21"/>
  <c r="AB98" i="21"/>
  <c r="Y98" i="21"/>
  <c r="AJ98" i="21"/>
  <c r="AH30" i="21"/>
  <c r="AB30" i="21"/>
  <c r="Y30" i="21"/>
  <c r="N102" i="21"/>
  <c r="AH13" i="21"/>
  <c r="Y13" i="21"/>
  <c r="AB13" i="21"/>
  <c r="AJ29" i="21"/>
  <c r="AH45" i="21"/>
  <c r="Y45" i="21"/>
  <c r="AB45" i="21"/>
  <c r="AJ61" i="21"/>
  <c r="R69" i="21"/>
  <c r="AN69" i="21" s="1"/>
  <c r="N77" i="21"/>
  <c r="R101" i="21"/>
  <c r="AN101" i="21" s="1"/>
  <c r="N109" i="21"/>
  <c r="AH20" i="21"/>
  <c r="AB20" i="21"/>
  <c r="Y20" i="21"/>
  <c r="R36" i="21"/>
  <c r="AN36" i="21" s="1"/>
  <c r="AH52" i="21"/>
  <c r="Y52" i="21"/>
  <c r="AB52" i="21"/>
  <c r="R68" i="21"/>
  <c r="AN68" i="21" s="1"/>
  <c r="N76" i="21"/>
  <c r="AH84" i="21"/>
  <c r="Y84" i="21"/>
  <c r="AB84" i="21"/>
  <c r="R100" i="21"/>
  <c r="AN100" i="21" s="1"/>
  <c r="N108" i="21"/>
  <c r="AH79" i="21"/>
  <c r="AB79" i="21"/>
  <c r="Y79" i="21"/>
  <c r="N22" i="21"/>
  <c r="AH70" i="21"/>
  <c r="AB70" i="21"/>
  <c r="Y70" i="21"/>
  <c r="AJ70" i="21"/>
  <c r="R12" i="21"/>
  <c r="AN12" i="21" s="1"/>
  <c r="N17" i="21"/>
  <c r="AH25" i="21"/>
  <c r="AB25" i="21"/>
  <c r="Y25" i="21"/>
  <c r="R41" i="21"/>
  <c r="AN41" i="21" s="1"/>
  <c r="N49" i="21"/>
  <c r="AH57" i="21"/>
  <c r="Y57" i="21"/>
  <c r="AB57" i="21"/>
  <c r="AH81" i="21"/>
  <c r="Y81" i="21"/>
  <c r="AB81" i="21"/>
  <c r="AH89" i="21"/>
  <c r="Y89" i="21"/>
  <c r="AB89" i="21"/>
  <c r="AJ89" i="21"/>
  <c r="N16" i="21"/>
  <c r="AH24" i="21"/>
  <c r="AB24" i="21"/>
  <c r="Y24" i="21"/>
  <c r="AJ32" i="21"/>
  <c r="R40" i="21"/>
  <c r="AN40" i="21" s="1"/>
  <c r="AH56" i="21"/>
  <c r="Y56" i="21"/>
  <c r="AB56" i="21"/>
  <c r="AJ64" i="21"/>
  <c r="R72" i="21"/>
  <c r="AN72" i="21" s="1"/>
  <c r="N80" i="21"/>
  <c r="AH88" i="21"/>
  <c r="Y88" i="21"/>
  <c r="AB88" i="21"/>
  <c r="AJ96" i="21"/>
  <c r="R104" i="21"/>
  <c r="AN104" i="21" s="1"/>
  <c r="R11" i="21"/>
  <c r="AN11" i="21" s="1"/>
  <c r="AH71" i="21"/>
  <c r="AB71" i="21"/>
  <c r="Y71" i="21"/>
  <c r="N14" i="21"/>
  <c r="R62" i="21"/>
  <c r="AN62" i="21" s="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N13" i="21" s="1"/>
  <c r="AH21" i="21"/>
  <c r="Y21" i="21"/>
  <c r="AB21" i="21"/>
  <c r="R45" i="21"/>
  <c r="AN45" i="21" s="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N79" i="21" s="1"/>
  <c r="AH95" i="21"/>
  <c r="AB95" i="21"/>
  <c r="Y95" i="21"/>
  <c r="AH10" i="21"/>
  <c r="AB10" i="21"/>
  <c r="Y10" i="21"/>
  <c r="AJ10" i="21"/>
  <c r="N46" i="21"/>
  <c r="R70" i="21"/>
  <c r="AN70" i="21" s="1"/>
  <c r="R86" i="21"/>
  <c r="AN86" i="21" s="1"/>
  <c r="AJ86" i="21"/>
  <c r="AJ12" i="21"/>
  <c r="AH33" i="21"/>
  <c r="Y33" i="21"/>
  <c r="AB33" i="21"/>
  <c r="AJ41" i="21"/>
  <c r="AH65" i="21"/>
  <c r="Y65" i="21"/>
  <c r="AB65" i="21"/>
  <c r="R81" i="21"/>
  <c r="AN81" i="21" s="1"/>
  <c r="AH32" i="21"/>
  <c r="AB32" i="21"/>
  <c r="Y32" i="21"/>
  <c r="AJ40" i="21"/>
  <c r="AH64" i="21"/>
  <c r="AB64" i="21"/>
  <c r="Y64" i="21"/>
  <c r="AJ72" i="21"/>
  <c r="AH96" i="21"/>
  <c r="AB96" i="21"/>
  <c r="Y96" i="21"/>
  <c r="AJ104" i="21"/>
  <c r="AB11" i="21"/>
  <c r="AH11" i="21"/>
  <c r="Y11" i="21"/>
  <c r="AH15" i="21"/>
  <c r="AB15" i="21"/>
  <c r="Y15" i="21"/>
  <c r="N31" i="21"/>
  <c r="R71" i="21"/>
  <c r="AN71" i="21" s="1"/>
  <c r="AH87" i="21"/>
  <c r="AB87" i="21"/>
  <c r="Y87" i="21"/>
  <c r="N103" i="21"/>
  <c r="N38" i="21"/>
  <c r="AH62" i="21"/>
  <c r="AB62" i="21"/>
  <c r="Y62" i="21"/>
  <c r="R94" i="21"/>
  <c r="AN94" i="21" s="1"/>
  <c r="AJ94" i="21"/>
  <c r="D232" i="2"/>
  <c r="O35" i="8"/>
  <c r="C74" i="1" s="1"/>
  <c r="D74" i="1" s="1"/>
  <c r="N35" i="8"/>
  <c r="D195" i="2"/>
  <c r="D198" i="2"/>
  <c r="F7" i="25" s="1"/>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23" i="17" s="1"/>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364" i="2"/>
  <c r="B163"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B371" i="2"/>
  <c r="A362" i="2"/>
  <c r="C51" i="16"/>
  <c r="D51" i="16" s="1"/>
  <c r="B157" i="2"/>
  <c r="A371" i="2"/>
  <c r="B246" i="2"/>
  <c r="B245" i="2"/>
  <c r="B247" i="2"/>
  <c r="B15" i="6"/>
  <c r="B3" i="6"/>
  <c r="B16" i="6"/>
  <c r="E66" i="1"/>
  <c r="AK89" i="23" l="1"/>
  <c r="AK47" i="23"/>
  <c r="AK58" i="23"/>
  <c r="AK97" i="23"/>
  <c r="BD97" i="23" s="1"/>
  <c r="AX97" i="23" s="1"/>
  <c r="AK24" i="23"/>
  <c r="BD24" i="23" s="1"/>
  <c r="AX24" i="23" s="1"/>
  <c r="J22" i="1"/>
  <c r="F230" i="2"/>
  <c r="B227" i="2"/>
  <c r="B226" i="2"/>
  <c r="B194" i="2"/>
  <c r="B197" i="2"/>
  <c r="F6" i="17" s="1"/>
  <c r="S70" i="23"/>
  <c r="U70" i="23" s="1"/>
  <c r="AN70" i="23"/>
  <c r="BE70" i="23" s="1"/>
  <c r="S88" i="23"/>
  <c r="U88" i="23" s="1"/>
  <c r="AN88" i="23"/>
  <c r="BE88" i="23" s="1"/>
  <c r="S29" i="23"/>
  <c r="U29" i="23" s="1"/>
  <c r="AN29" i="23"/>
  <c r="BE29" i="23" s="1"/>
  <c r="S24" i="23"/>
  <c r="AN24" i="23"/>
  <c r="BE24" i="23" s="1"/>
  <c r="S83" i="23"/>
  <c r="U83" i="23" s="1"/>
  <c r="AN83" i="23"/>
  <c r="BE83" i="23" s="1"/>
  <c r="S82" i="23"/>
  <c r="U82" i="23" s="1"/>
  <c r="AN82" i="23"/>
  <c r="BE82" i="23" s="1"/>
  <c r="S47" i="23"/>
  <c r="U47" i="23" s="1"/>
  <c r="AN47" i="23"/>
  <c r="BE47" i="23" s="1"/>
  <c r="S101" i="23"/>
  <c r="U101" i="23" s="1"/>
  <c r="AN101" i="23"/>
  <c r="BE101" i="23" s="1"/>
  <c r="S89" i="23"/>
  <c r="U89" i="23" s="1"/>
  <c r="AN89" i="23"/>
  <c r="BE89" i="23" s="1"/>
  <c r="S18" i="23"/>
  <c r="U18" i="23" s="1"/>
  <c r="AN18" i="23"/>
  <c r="BE18" i="23" s="1"/>
  <c r="S100" i="23"/>
  <c r="U100" i="23" s="1"/>
  <c r="AN100" i="23"/>
  <c r="BE100" i="23" s="1"/>
  <c r="S20" i="23"/>
  <c r="U20" i="23" s="1"/>
  <c r="AN20" i="23"/>
  <c r="BE20" i="23" s="1"/>
  <c r="S72" i="23"/>
  <c r="U72" i="23" s="1"/>
  <c r="AN72" i="23"/>
  <c r="BE72" i="23" s="1"/>
  <c r="S105" i="23"/>
  <c r="U105" i="23" s="1"/>
  <c r="AN105" i="23"/>
  <c r="S61" i="23"/>
  <c r="AN61" i="23"/>
  <c r="BE61" i="23" s="1"/>
  <c r="S9" i="23"/>
  <c r="AN9" i="23"/>
  <c r="BE9" i="23" s="1"/>
  <c r="S77" i="23"/>
  <c r="U77" i="23" s="1"/>
  <c r="AN77" i="23"/>
  <c r="BE77" i="23" s="1"/>
  <c r="S80" i="23"/>
  <c r="U80" i="23" s="1"/>
  <c r="AN80" i="23"/>
  <c r="BE80" i="23" s="1"/>
  <c r="S71" i="23"/>
  <c r="U71" i="23" s="1"/>
  <c r="AN71" i="23"/>
  <c r="BE71" i="23" s="1"/>
  <c r="S91" i="23"/>
  <c r="U91" i="23" s="1"/>
  <c r="AN91" i="23"/>
  <c r="BE91" i="23" s="1"/>
  <c r="S87" i="23"/>
  <c r="U87" i="23" s="1"/>
  <c r="AN87" i="23"/>
  <c r="BE87" i="23" s="1"/>
  <c r="S79" i="23"/>
  <c r="U79" i="23" s="1"/>
  <c r="AN79" i="23"/>
  <c r="BE79" i="23" s="1"/>
  <c r="S59" i="23"/>
  <c r="U59" i="23" s="1"/>
  <c r="AN59" i="23"/>
  <c r="BE59" i="23" s="1"/>
  <c r="S26" i="23"/>
  <c r="U26" i="23" s="1"/>
  <c r="AN26" i="23"/>
  <c r="BE26" i="23" s="1"/>
  <c r="S102" i="23"/>
  <c r="U102" i="23" s="1"/>
  <c r="AN102" i="23"/>
  <c r="BE102" i="23" s="1"/>
  <c r="S64" i="23"/>
  <c r="U64" i="23" s="1"/>
  <c r="AN64" i="23"/>
  <c r="BE64" i="23" s="1"/>
  <c r="S62" i="23"/>
  <c r="AN62" i="23"/>
  <c r="BE62" i="23" s="1"/>
  <c r="S60" i="23"/>
  <c r="U60" i="23" s="1"/>
  <c r="AN60" i="23"/>
  <c r="BE60" i="23" s="1"/>
  <c r="S57" i="23"/>
  <c r="U57" i="23" s="1"/>
  <c r="AN57" i="23"/>
  <c r="BE57" i="23" s="1"/>
  <c r="S28" i="23"/>
  <c r="U28" i="23" s="1"/>
  <c r="AN28" i="23"/>
  <c r="BE28" i="23" s="1"/>
  <c r="S107" i="23"/>
  <c r="U107" i="23" s="1"/>
  <c r="AN107" i="23"/>
  <c r="BE107" i="23" s="1"/>
  <c r="S93" i="23"/>
  <c r="U93" i="23" s="1"/>
  <c r="AN93" i="23"/>
  <c r="BE93" i="23" s="1"/>
  <c r="S17" i="23"/>
  <c r="U17" i="23" s="1"/>
  <c r="AN17" i="23"/>
  <c r="BE17" i="23" s="1"/>
  <c r="S36" i="23"/>
  <c r="U36" i="23" s="1"/>
  <c r="AN36" i="23"/>
  <c r="BE36" i="23" s="1"/>
  <c r="S75" i="23"/>
  <c r="U75" i="23" s="1"/>
  <c r="AN75" i="23"/>
  <c r="BE75" i="23" s="1"/>
  <c r="S84" i="23"/>
  <c r="U84" i="23" s="1"/>
  <c r="AN84" i="23"/>
  <c r="BE84" i="23" s="1"/>
  <c r="S97" i="23"/>
  <c r="U97" i="23" s="1"/>
  <c r="AN97" i="23"/>
  <c r="BE97" i="23" s="1"/>
  <c r="S34" i="23"/>
  <c r="U34" i="23" s="1"/>
  <c r="AN34" i="23"/>
  <c r="BE34" i="23" s="1"/>
  <c r="S10" i="23"/>
  <c r="U10" i="23" s="1"/>
  <c r="AN10" i="23"/>
  <c r="BE10" i="23" s="1"/>
  <c r="S43" i="23"/>
  <c r="U43" i="23" s="1"/>
  <c r="AN43" i="23"/>
  <c r="BE43" i="23" s="1"/>
  <c r="AN51" i="21"/>
  <c r="BE51" i="21" s="1"/>
  <c r="AN83" i="21"/>
  <c r="BE83" i="21" s="1"/>
  <c r="E355" i="2"/>
  <c r="C49" i="16" s="1"/>
  <c r="D355" i="2"/>
  <c r="E52" i="1"/>
  <c r="C54" i="16" s="1"/>
  <c r="D54" i="16" s="1"/>
  <c r="B134" i="2"/>
  <c r="B138" i="2" s="1"/>
  <c r="E48" i="1" s="1"/>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D209" i="2"/>
  <c r="D208" i="2"/>
  <c r="D199" i="2"/>
  <c r="BE86" i="21"/>
  <c r="S86" i="21"/>
  <c r="BE101" i="21"/>
  <c r="S101" i="21"/>
  <c r="BE50" i="21"/>
  <c r="S50" i="21"/>
  <c r="BE57" i="21"/>
  <c r="S57" i="21"/>
  <c r="BE52" i="21"/>
  <c r="S52" i="21"/>
  <c r="BE66" i="21"/>
  <c r="S66" i="21"/>
  <c r="BE59" i="21"/>
  <c r="S59" i="21"/>
  <c r="BE54" i="21"/>
  <c r="S54" i="21"/>
  <c r="BE58" i="21"/>
  <c r="S58" i="21"/>
  <c r="BE42" i="21"/>
  <c r="S42" i="21"/>
  <c r="BE23" i="21"/>
  <c r="S23" i="21"/>
  <c r="BE44" i="21"/>
  <c r="S44" i="21"/>
  <c r="BE99" i="21"/>
  <c r="S99" i="21"/>
  <c r="BE96" i="21"/>
  <c r="S96" i="21"/>
  <c r="BE94" i="21"/>
  <c r="S94" i="21"/>
  <c r="BE62" i="21"/>
  <c r="S62" i="21"/>
  <c r="BE72" i="21"/>
  <c r="S72" i="21"/>
  <c r="BE87" i="21"/>
  <c r="S87" i="21"/>
  <c r="BE93" i="21"/>
  <c r="S93" i="21"/>
  <c r="BE48" i="21"/>
  <c r="S48" i="21"/>
  <c r="BE97" i="21"/>
  <c r="S97" i="21"/>
  <c r="BE30" i="21"/>
  <c r="S30" i="21"/>
  <c r="BE61" i="21"/>
  <c r="S61" i="21"/>
  <c r="BE71" i="21"/>
  <c r="S71" i="21"/>
  <c r="BE81" i="21"/>
  <c r="S81" i="21"/>
  <c r="BE79" i="21"/>
  <c r="S79" i="21"/>
  <c r="BE11" i="21"/>
  <c r="S11" i="21"/>
  <c r="BE40" i="21"/>
  <c r="S40" i="21"/>
  <c r="BE100" i="21"/>
  <c r="S100" i="21"/>
  <c r="BE69" i="21"/>
  <c r="S69" i="21"/>
  <c r="BE56" i="21"/>
  <c r="S56" i="21"/>
  <c r="BE24" i="21"/>
  <c r="S24" i="21"/>
  <c r="BE106" i="21"/>
  <c r="S106" i="21"/>
  <c r="BE107" i="21"/>
  <c r="S107" i="21"/>
  <c r="BE53" i="21"/>
  <c r="S53" i="21"/>
  <c r="BE19" i="21"/>
  <c r="S19" i="21"/>
  <c r="BE55" i="21"/>
  <c r="S55" i="21"/>
  <c r="BE27" i="21"/>
  <c r="S27" i="21"/>
  <c r="BE95" i="21"/>
  <c r="S95" i="21"/>
  <c r="BE92" i="21"/>
  <c r="S92" i="21"/>
  <c r="BE21" i="21"/>
  <c r="S21" i="21"/>
  <c r="BE91" i="21"/>
  <c r="S91" i="21"/>
  <c r="BE29" i="21"/>
  <c r="S29" i="21"/>
  <c r="BE12" i="21"/>
  <c r="S12" i="21"/>
  <c r="BE25" i="21"/>
  <c r="S25" i="21"/>
  <c r="BE84" i="21"/>
  <c r="S84" i="21"/>
  <c r="BE20" i="21"/>
  <c r="S20" i="21"/>
  <c r="BE90" i="21"/>
  <c r="S90" i="21"/>
  <c r="BE15" i="21"/>
  <c r="S15" i="21"/>
  <c r="BE33" i="21"/>
  <c r="S33" i="21"/>
  <c r="BE88" i="21"/>
  <c r="S88" i="21"/>
  <c r="BE70" i="21"/>
  <c r="S70" i="21"/>
  <c r="BE45" i="21"/>
  <c r="S45" i="21"/>
  <c r="BE13" i="21"/>
  <c r="S13" i="21"/>
  <c r="BE78" i="21"/>
  <c r="S78" i="21"/>
  <c r="BE34" i="21"/>
  <c r="S34" i="21"/>
  <c r="BE63" i="21"/>
  <c r="S63" i="21"/>
  <c r="BE85" i="21"/>
  <c r="S85" i="21"/>
  <c r="BE89" i="21"/>
  <c r="S89" i="21"/>
  <c r="BE104" i="21"/>
  <c r="S104" i="21"/>
  <c r="BE41" i="21"/>
  <c r="S41" i="21"/>
  <c r="BE68" i="21"/>
  <c r="S68" i="21"/>
  <c r="BE36" i="21"/>
  <c r="S36" i="21"/>
  <c r="BE10" i="21"/>
  <c r="S10" i="21"/>
  <c r="BE98" i="21"/>
  <c r="S98" i="21"/>
  <c r="BE28" i="21"/>
  <c r="S28" i="21"/>
  <c r="BE74" i="21"/>
  <c r="S74" i="21"/>
  <c r="BE65" i="21"/>
  <c r="S65" i="21"/>
  <c r="BE73" i="21"/>
  <c r="S73" i="21"/>
  <c r="BE60" i="21"/>
  <c r="S60" i="21"/>
  <c r="BE32" i="21"/>
  <c r="S32" i="21"/>
  <c r="BE35" i="21"/>
  <c r="S35" i="21"/>
  <c r="BE67" i="21"/>
  <c r="S67" i="21"/>
  <c r="BE64" i="21"/>
  <c r="S64" i="21"/>
  <c r="AK9" i="23"/>
  <c r="BD9" i="23" s="1"/>
  <c r="AX9" i="23" s="1"/>
  <c r="BD72" i="23"/>
  <c r="AX72" i="23" s="1"/>
  <c r="AK105" i="23"/>
  <c r="BD105" i="23" s="1"/>
  <c r="AX105" i="23" s="1"/>
  <c r="D220" i="2"/>
  <c r="AI61" i="23"/>
  <c r="AI93" i="23"/>
  <c r="AI17" i="23"/>
  <c r="BE105" i="23"/>
  <c r="W79" i="23"/>
  <c r="X79" i="23" s="1"/>
  <c r="W20" i="23"/>
  <c r="X20" i="23" s="1"/>
  <c r="W71" i="23"/>
  <c r="X71" i="23" s="1"/>
  <c r="AC18" i="23"/>
  <c r="AI91" i="23"/>
  <c r="AI20" i="23"/>
  <c r="AC79" i="23"/>
  <c r="W97" i="23"/>
  <c r="X97" i="23" s="1"/>
  <c r="W62" i="23"/>
  <c r="X62" i="23" s="1"/>
  <c r="W70" i="23"/>
  <c r="X70" i="23" s="1"/>
  <c r="W28" i="23"/>
  <c r="X28" i="23" s="1"/>
  <c r="AI87" i="23"/>
  <c r="W84" i="23"/>
  <c r="X84" i="23" s="1"/>
  <c r="W57" i="23"/>
  <c r="X57" i="23" s="1"/>
  <c r="W60" i="23"/>
  <c r="X60" i="23" s="1"/>
  <c r="AC28" i="23"/>
  <c r="W26" i="23"/>
  <c r="X26" i="23" s="1"/>
  <c r="W47" i="23"/>
  <c r="X47" i="23" s="1"/>
  <c r="W61" i="23"/>
  <c r="X61" i="23" s="1"/>
  <c r="W77" i="23"/>
  <c r="X77" i="23" s="1"/>
  <c r="B73" i="23"/>
  <c r="B45" i="23"/>
  <c r="B72" i="23"/>
  <c r="BD71" i="23"/>
  <c r="AX71" i="23" s="1"/>
  <c r="BD101" i="23"/>
  <c r="AX101" i="23" s="1"/>
  <c r="BD62" i="23"/>
  <c r="AX62" i="23" s="1"/>
  <c r="BD28" i="23"/>
  <c r="AX28" i="23" s="1"/>
  <c r="AH27" i="23"/>
  <c r="AI27" i="23" s="1"/>
  <c r="AK27" i="23" s="1"/>
  <c r="Y50" i="23"/>
  <c r="Z50" i="23" s="1"/>
  <c r="AA50" i="23" s="1"/>
  <c r="Y96" i="23"/>
  <c r="Z96" i="23" s="1"/>
  <c r="AA96" i="23" s="1"/>
  <c r="Y44" i="23"/>
  <c r="Z44" i="23" s="1"/>
  <c r="AA44" i="23" s="1"/>
  <c r="Y48" i="23"/>
  <c r="Z48" i="23" s="1"/>
  <c r="AA48" i="23" s="1"/>
  <c r="Y39" i="23"/>
  <c r="Z39" i="23" s="1"/>
  <c r="AA39" i="23" s="1"/>
  <c r="AB16" i="23"/>
  <c r="AC16" i="23" s="1"/>
  <c r="AH56" i="23"/>
  <c r="AI56" i="23" s="1"/>
  <c r="AH67" i="23"/>
  <c r="AI67" i="23" s="1"/>
  <c r="AK67" i="23" s="1"/>
  <c r="Y95" i="23"/>
  <c r="Z95" i="23" s="1"/>
  <c r="AA95" i="23" s="1"/>
  <c r="BD84" i="23"/>
  <c r="AX84" i="23" s="1"/>
  <c r="BD82" i="23"/>
  <c r="AX82" i="23" s="1"/>
  <c r="BD26" i="23"/>
  <c r="AX26" i="23" s="1"/>
  <c r="Y45" i="23"/>
  <c r="Z45" i="23" s="1"/>
  <c r="AA45" i="23" s="1"/>
  <c r="AH32" i="23"/>
  <c r="AI32" i="23" s="1"/>
  <c r="AK32" i="23" s="1"/>
  <c r="AB95" i="23"/>
  <c r="AC95" i="23" s="1"/>
  <c r="AH31" i="23"/>
  <c r="AI31" i="23" s="1"/>
  <c r="AH85" i="23"/>
  <c r="AI85" i="23" s="1"/>
  <c r="AK85" i="23" s="1"/>
  <c r="Y12" i="23"/>
  <c r="Z12" i="23" s="1"/>
  <c r="AA12" i="23" s="1"/>
  <c r="Y37" i="23"/>
  <c r="Z37" i="23" s="1"/>
  <c r="AA37" i="23" s="1"/>
  <c r="Y25" i="23"/>
  <c r="Z25" i="23" s="1"/>
  <c r="AA25" i="23" s="1"/>
  <c r="Y52" i="23"/>
  <c r="Z52" i="23" s="1"/>
  <c r="AA52" i="23" s="1"/>
  <c r="AH30" i="23"/>
  <c r="AI30" i="23" s="1"/>
  <c r="BD18" i="23"/>
  <c r="AX18" i="23" s="1"/>
  <c r="BD64" i="23"/>
  <c r="AX64" i="23" s="1"/>
  <c r="BD107" i="23"/>
  <c r="AX107" i="23" s="1"/>
  <c r="AB25" i="23"/>
  <c r="AC25" i="23" s="1"/>
  <c r="Y94" i="23"/>
  <c r="Z94" i="23" s="1"/>
  <c r="AA94" i="23" s="1"/>
  <c r="AH108" i="23"/>
  <c r="AI108" i="23" s="1"/>
  <c r="AH98" i="23"/>
  <c r="AI98" i="23" s="1"/>
  <c r="AK98" i="23" s="1"/>
  <c r="AB38" i="23"/>
  <c r="AC38" i="23" s="1"/>
  <c r="AH33" i="23"/>
  <c r="AI33" i="23" s="1"/>
  <c r="Y41" i="23"/>
  <c r="Z41" i="23" s="1"/>
  <c r="AA41" i="23" s="1"/>
  <c r="AB21" i="23"/>
  <c r="AC21" i="23" s="1"/>
  <c r="Y67" i="23"/>
  <c r="Z67" i="23" s="1"/>
  <c r="AA67" i="23" s="1"/>
  <c r="AB103" i="23"/>
  <c r="AC103" i="23" s="1"/>
  <c r="AB22" i="23"/>
  <c r="AC22" i="23" s="1"/>
  <c r="Y11" i="23"/>
  <c r="Z11" i="23" s="1"/>
  <c r="AA11" i="23" s="1"/>
  <c r="Y58" i="23"/>
  <c r="Z58" i="23" s="1"/>
  <c r="AA58" i="23" s="1"/>
  <c r="BD47" i="23"/>
  <c r="AX47" i="23" s="1"/>
  <c r="AB27" i="23"/>
  <c r="AC27" i="23" s="1"/>
  <c r="AH12" i="23"/>
  <c r="AI12" i="23" s="1"/>
  <c r="AK12" i="23" s="1"/>
  <c r="BD70" i="23"/>
  <c r="AX70" i="23" s="1"/>
  <c r="Y31" i="23"/>
  <c r="Z31" i="23" s="1"/>
  <c r="AA31" i="23" s="1"/>
  <c r="AB44" i="23"/>
  <c r="AC44" i="23" s="1"/>
  <c r="Y21" i="23"/>
  <c r="Z21" i="23" s="1"/>
  <c r="AA21" i="23" s="1"/>
  <c r="AB63" i="23"/>
  <c r="AC63" i="23" s="1"/>
  <c r="Y13" i="23"/>
  <c r="Z13" i="23" s="1"/>
  <c r="AA13" i="23" s="1"/>
  <c r="AH65" i="23"/>
  <c r="AI65" i="23" s="1"/>
  <c r="AH106" i="23"/>
  <c r="AI106" i="23" s="1"/>
  <c r="AK106" i="23" s="1"/>
  <c r="Y22" i="23"/>
  <c r="Z22" i="23" s="1"/>
  <c r="AA22" i="23" s="1"/>
  <c r="BD10" i="23"/>
  <c r="AX10" i="23" s="1"/>
  <c r="AH76" i="21"/>
  <c r="AF76" i="21"/>
  <c r="AB18" i="21"/>
  <c r="AF18" i="21"/>
  <c r="AB75" i="21"/>
  <c r="AF75" i="21"/>
  <c r="V53" i="23"/>
  <c r="R53" i="23"/>
  <c r="V35" i="23"/>
  <c r="R35" i="23"/>
  <c r="Y35" i="23"/>
  <c r="Z35" i="23" s="1"/>
  <c r="AA35" i="23" s="1"/>
  <c r="V81" i="23"/>
  <c r="R81" i="23"/>
  <c r="V49" i="23"/>
  <c r="R49" i="23"/>
  <c r="V19" i="23"/>
  <c r="R19" i="23"/>
  <c r="V69" i="23"/>
  <c r="R69" i="23"/>
  <c r="AH81" i="23"/>
  <c r="AI81" i="23" s="1"/>
  <c r="AK81" i="23" s="1"/>
  <c r="Y69" i="23"/>
  <c r="Z69" i="23" s="1"/>
  <c r="AA69" i="23" s="1"/>
  <c r="Y39" i="21"/>
  <c r="AF39" i="21"/>
  <c r="Y105" i="21"/>
  <c r="AF105" i="21"/>
  <c r="V15" i="23"/>
  <c r="R15" i="23"/>
  <c r="AB109" i="23"/>
  <c r="AC109" i="23" s="1"/>
  <c r="BD83" i="23"/>
  <c r="AX83" i="23" s="1"/>
  <c r="V14" i="23"/>
  <c r="R14" i="23"/>
  <c r="AB51" i="23"/>
  <c r="AC51" i="23" s="1"/>
  <c r="AH35" i="23"/>
  <c r="AI35" i="23" s="1"/>
  <c r="AK35" i="23" s="1"/>
  <c r="Y14" i="23"/>
  <c r="Z14" i="23" s="1"/>
  <c r="AA14" i="23" s="1"/>
  <c r="V23" i="23"/>
  <c r="BD23" i="23"/>
  <c r="AX23" i="23" s="1"/>
  <c r="R23" i="23"/>
  <c r="V55" i="23"/>
  <c r="R55" i="23"/>
  <c r="BD55" i="23"/>
  <c r="AX55" i="23" s="1"/>
  <c r="Y90" i="23"/>
  <c r="Z90" i="23" s="1"/>
  <c r="AA90" i="23" s="1"/>
  <c r="AB69" i="23"/>
  <c r="AC69" i="23" s="1"/>
  <c r="AB37" i="21"/>
  <c r="AF37" i="21"/>
  <c r="AB43" i="21"/>
  <c r="AF43" i="21"/>
  <c r="V38" i="23"/>
  <c r="BD38" i="23"/>
  <c r="AX38" i="23" s="1"/>
  <c r="R38" i="23"/>
  <c r="V40" i="23"/>
  <c r="R40" i="23"/>
  <c r="V108" i="23"/>
  <c r="R108" i="23"/>
  <c r="V30" i="23"/>
  <c r="R30" i="23"/>
  <c r="V37" i="23"/>
  <c r="R37" i="23"/>
  <c r="BD29" i="23"/>
  <c r="AX29" i="23" s="1"/>
  <c r="V46" i="23"/>
  <c r="R46" i="23"/>
  <c r="V104" i="23"/>
  <c r="BD104" i="23"/>
  <c r="AX104" i="23" s="1"/>
  <c r="R104" i="23"/>
  <c r="V99" i="23"/>
  <c r="BD99" i="23"/>
  <c r="AX99" i="23" s="1"/>
  <c r="R99" i="23"/>
  <c r="Y53" i="23"/>
  <c r="Z53" i="23" s="1"/>
  <c r="AA53" i="23" s="1"/>
  <c r="V32" i="23"/>
  <c r="R32" i="23"/>
  <c r="BD88" i="23"/>
  <c r="AX88" i="23" s="1"/>
  <c r="V58" i="23"/>
  <c r="R58" i="23"/>
  <c r="BD58" i="23"/>
  <c r="AX58" i="23" s="1"/>
  <c r="V56" i="23"/>
  <c r="R56" i="23"/>
  <c r="BD79" i="23"/>
  <c r="AX79" i="23" s="1"/>
  <c r="V73" i="23"/>
  <c r="R73" i="23"/>
  <c r="AH14" i="23"/>
  <c r="AI14" i="23" s="1"/>
  <c r="AK14" i="23" s="1"/>
  <c r="Y19" i="23"/>
  <c r="Z19" i="23" s="1"/>
  <c r="AA19" i="23" s="1"/>
  <c r="AB55" i="23"/>
  <c r="AC55" i="23" s="1"/>
  <c r="V78" i="23"/>
  <c r="R78" i="23"/>
  <c r="Y46" i="23"/>
  <c r="Z46" i="23" s="1"/>
  <c r="AA46" i="23" s="1"/>
  <c r="AB104" i="23"/>
  <c r="AC104" i="23" s="1"/>
  <c r="V54" i="23"/>
  <c r="R54" i="23"/>
  <c r="BD100" i="23"/>
  <c r="AX100" i="23" s="1"/>
  <c r="V41" i="23"/>
  <c r="BD41" i="23"/>
  <c r="AX41" i="23" s="1"/>
  <c r="R41" i="23"/>
  <c r="Y81" i="23"/>
  <c r="Z81" i="23" s="1"/>
  <c r="AA81" i="23" s="1"/>
  <c r="AH40" i="23"/>
  <c r="AI40" i="23" s="1"/>
  <c r="AK40" i="23" s="1"/>
  <c r="AH73" i="23"/>
  <c r="AI73" i="23" s="1"/>
  <c r="AK73" i="23" s="1"/>
  <c r="AH49" i="23"/>
  <c r="AI49" i="23" s="1"/>
  <c r="AK49" i="23" s="1"/>
  <c r="BD102" i="23"/>
  <c r="AX102" i="23" s="1"/>
  <c r="Y23" i="23"/>
  <c r="Z23" i="23" s="1"/>
  <c r="AA23" i="23" s="1"/>
  <c r="Y78" i="23"/>
  <c r="Z78" i="23" s="1"/>
  <c r="AA78" i="23" s="1"/>
  <c r="Y54" i="23"/>
  <c r="Z54" i="23" s="1"/>
  <c r="AA54" i="23" s="1"/>
  <c r="V11" i="23"/>
  <c r="BD11" i="23"/>
  <c r="AX11" i="23" s="1"/>
  <c r="R11" i="23"/>
  <c r="V52" i="23"/>
  <c r="BD52" i="23"/>
  <c r="AX52" i="23" s="1"/>
  <c r="R52" i="23"/>
  <c r="BD75" i="23"/>
  <c r="AX75" i="23" s="1"/>
  <c r="Y14" i="21"/>
  <c r="AF14" i="21"/>
  <c r="AH49" i="21"/>
  <c r="AF49" i="21"/>
  <c r="AH47" i="21"/>
  <c r="AF47" i="21"/>
  <c r="V42" i="23"/>
  <c r="R42" i="23"/>
  <c r="V76" i="23"/>
  <c r="R76" i="23"/>
  <c r="V109" i="23"/>
  <c r="R109" i="23"/>
  <c r="V51" i="23"/>
  <c r="R51" i="23"/>
  <c r="V92" i="23"/>
  <c r="R92" i="23"/>
  <c r="BD77" i="23"/>
  <c r="AX77" i="23" s="1"/>
  <c r="Y42" i="23"/>
  <c r="Z42" i="23" s="1"/>
  <c r="AA42" i="23" s="1"/>
  <c r="AB49" i="23"/>
  <c r="AC49" i="23" s="1"/>
  <c r="AH76" i="23"/>
  <c r="AI76" i="23" s="1"/>
  <c r="AK76" i="23" s="1"/>
  <c r="V90" i="23"/>
  <c r="BD90" i="23"/>
  <c r="AX90" i="23" s="1"/>
  <c r="R90" i="23"/>
  <c r="AH31" i="21"/>
  <c r="AF31" i="21"/>
  <c r="V33" i="23"/>
  <c r="R33" i="23"/>
  <c r="V74" i="23"/>
  <c r="R74" i="23"/>
  <c r="AB92" i="23"/>
  <c r="AC92" i="23" s="1"/>
  <c r="BD43" i="23"/>
  <c r="AX43" i="23" s="1"/>
  <c r="V96" i="23"/>
  <c r="R96" i="23"/>
  <c r="AH15" i="23"/>
  <c r="AI15" i="23" s="1"/>
  <c r="AK15" i="23" s="1"/>
  <c r="AB53" i="23"/>
  <c r="AC53" i="23" s="1"/>
  <c r="V65" i="23"/>
  <c r="R65" i="23"/>
  <c r="V98" i="23"/>
  <c r="R98" i="23"/>
  <c r="AH42" i="23"/>
  <c r="AI42" i="23" s="1"/>
  <c r="AK42" i="23" s="1"/>
  <c r="AB19" i="23"/>
  <c r="AC19" i="23" s="1"/>
  <c r="AH74" i="23"/>
  <c r="AI74" i="23" s="1"/>
  <c r="AK74" i="23" s="1"/>
  <c r="V68" i="23"/>
  <c r="R68" i="23"/>
  <c r="BD68" i="23"/>
  <c r="AX68" i="23" s="1"/>
  <c r="Y49" i="23"/>
  <c r="Z49" i="23" s="1"/>
  <c r="AA49" i="23" s="1"/>
  <c r="Y76" i="23"/>
  <c r="Z76" i="23" s="1"/>
  <c r="AA76" i="23" s="1"/>
  <c r="V103" i="23"/>
  <c r="R103" i="23"/>
  <c r="AB23" i="23"/>
  <c r="AC23" i="23" s="1"/>
  <c r="AH38" i="21"/>
  <c r="AF38" i="21"/>
  <c r="AH22" i="21"/>
  <c r="AF22" i="21"/>
  <c r="AH108" i="21"/>
  <c r="AF108" i="21"/>
  <c r="AH77" i="21"/>
  <c r="AF77" i="21"/>
  <c r="AB26" i="21"/>
  <c r="AF26" i="21"/>
  <c r="V45" i="23"/>
  <c r="BD45" i="23"/>
  <c r="AX45" i="23" s="1"/>
  <c r="R45" i="23"/>
  <c r="AH109" i="23"/>
  <c r="AI109" i="23" s="1"/>
  <c r="AK109" i="23" s="1"/>
  <c r="Y30" i="23"/>
  <c r="Z30" i="23" s="1"/>
  <c r="AA30" i="23" s="1"/>
  <c r="AH37" i="23"/>
  <c r="AI37" i="23" s="1"/>
  <c r="AK37" i="23" s="1"/>
  <c r="V31" i="23"/>
  <c r="R31" i="23"/>
  <c r="AH51" i="23"/>
  <c r="AI51" i="23" s="1"/>
  <c r="AK51" i="23" s="1"/>
  <c r="V85" i="23"/>
  <c r="R85" i="23"/>
  <c r="AH92" i="23"/>
  <c r="AI92" i="23" s="1"/>
  <c r="AK92" i="23" s="1"/>
  <c r="V44" i="23"/>
  <c r="BD44" i="23"/>
  <c r="AX44" i="23" s="1"/>
  <c r="R44" i="23"/>
  <c r="V50" i="23"/>
  <c r="BD50" i="23"/>
  <c r="AX50" i="23" s="1"/>
  <c r="R50" i="23"/>
  <c r="V95" i="23"/>
  <c r="BD95" i="23"/>
  <c r="AX95" i="23" s="1"/>
  <c r="R95" i="23"/>
  <c r="V27" i="23"/>
  <c r="R27" i="23"/>
  <c r="AB15" i="23"/>
  <c r="AC15" i="23" s="1"/>
  <c r="V25" i="23"/>
  <c r="BD25" i="23"/>
  <c r="AX25" i="23" s="1"/>
  <c r="R25" i="23"/>
  <c r="AB45" i="23"/>
  <c r="AC45" i="23" s="1"/>
  <c r="V67" i="23"/>
  <c r="R67" i="23"/>
  <c r="AH53" i="23"/>
  <c r="AI53" i="23" s="1"/>
  <c r="AK53" i="23" s="1"/>
  <c r="V94" i="23"/>
  <c r="BD94" i="23"/>
  <c r="AX94" i="23" s="1"/>
  <c r="R94" i="23"/>
  <c r="AB108" i="23"/>
  <c r="AC108" i="23" s="1"/>
  <c r="BD34" i="23"/>
  <c r="AX34" i="23" s="1"/>
  <c r="BD60" i="23"/>
  <c r="AX60" i="23" s="1"/>
  <c r="V66" i="23"/>
  <c r="R66" i="23"/>
  <c r="BD66" i="23"/>
  <c r="AX66" i="23" s="1"/>
  <c r="AB35" i="23"/>
  <c r="AC35" i="23" s="1"/>
  <c r="V16" i="23"/>
  <c r="R16" i="23"/>
  <c r="BD16" i="23"/>
  <c r="AX16" i="23" s="1"/>
  <c r="V48" i="23"/>
  <c r="R48" i="23"/>
  <c r="BD48" i="23"/>
  <c r="AX48" i="23" s="1"/>
  <c r="V86" i="23"/>
  <c r="R86" i="23"/>
  <c r="AH96" i="23"/>
  <c r="AI96" i="23" s="1"/>
  <c r="AK96" i="23" s="1"/>
  <c r="Y98" i="23"/>
  <c r="Z98" i="23" s="1"/>
  <c r="AA98" i="23" s="1"/>
  <c r="Y38" i="23"/>
  <c r="Z38" i="23" s="1"/>
  <c r="AA38" i="23" s="1"/>
  <c r="AB42" i="23"/>
  <c r="AC42" i="23" s="1"/>
  <c r="V21" i="23"/>
  <c r="BD21" i="23"/>
  <c r="AX21" i="23" s="1"/>
  <c r="R21" i="23"/>
  <c r="BD59" i="23"/>
  <c r="AX59" i="23" s="1"/>
  <c r="V63" i="23"/>
  <c r="BD63" i="23"/>
  <c r="AX63" i="23" s="1"/>
  <c r="R63" i="23"/>
  <c r="BD80" i="23"/>
  <c r="AX80" i="23" s="1"/>
  <c r="AB32" i="23"/>
  <c r="AC32" i="23" s="1"/>
  <c r="V13" i="23"/>
  <c r="R13" i="23"/>
  <c r="BD13" i="23"/>
  <c r="AX13" i="23" s="1"/>
  <c r="V12" i="23"/>
  <c r="R12" i="23"/>
  <c r="AH19" i="23"/>
  <c r="AI19" i="23" s="1"/>
  <c r="AK19" i="23" s="1"/>
  <c r="Y33" i="23"/>
  <c r="Z33" i="23" s="1"/>
  <c r="AA33" i="23" s="1"/>
  <c r="BD57" i="23"/>
  <c r="AX57" i="23" s="1"/>
  <c r="Y55" i="23"/>
  <c r="Z55" i="23" s="1"/>
  <c r="AA55" i="23" s="1"/>
  <c r="Y74" i="23"/>
  <c r="Z74" i="23" s="1"/>
  <c r="AA74" i="23" s="1"/>
  <c r="AB85" i="23"/>
  <c r="AC85" i="23" s="1"/>
  <c r="V106" i="23"/>
  <c r="R106" i="23"/>
  <c r="AH46" i="23"/>
  <c r="AI46" i="23" s="1"/>
  <c r="AK46" i="23" s="1"/>
  <c r="V22" i="23"/>
  <c r="BD22" i="23"/>
  <c r="AX22" i="23" s="1"/>
  <c r="R22" i="23"/>
  <c r="Y104" i="23"/>
  <c r="Z104" i="23" s="1"/>
  <c r="AA104" i="23" s="1"/>
  <c r="AB41" i="23"/>
  <c r="AC41" i="23" s="1"/>
  <c r="Y68" i="23"/>
  <c r="Z68" i="23" s="1"/>
  <c r="AA68" i="23" s="1"/>
  <c r="AB48" i="23"/>
  <c r="AC48" i="23" s="1"/>
  <c r="AB56" i="23"/>
  <c r="AC56" i="23" s="1"/>
  <c r="AH86" i="23"/>
  <c r="AI86" i="23" s="1"/>
  <c r="AK86" i="23" s="1"/>
  <c r="AB81" i="23"/>
  <c r="AC81" i="23" s="1"/>
  <c r="AB40" i="23"/>
  <c r="AC40" i="23" s="1"/>
  <c r="AB73" i="23"/>
  <c r="AC73" i="23" s="1"/>
  <c r="AH103" i="23"/>
  <c r="AI103" i="23" s="1"/>
  <c r="AK103" i="23" s="1"/>
  <c r="BD36" i="23"/>
  <c r="AX36" i="23" s="1"/>
  <c r="AB13" i="23"/>
  <c r="AC13" i="23" s="1"/>
  <c r="V39" i="23"/>
  <c r="BD39" i="23"/>
  <c r="AX39" i="23" s="1"/>
  <c r="R39" i="23"/>
  <c r="AB65" i="23"/>
  <c r="AC65" i="23" s="1"/>
  <c r="AH78" i="23"/>
  <c r="AI78" i="23" s="1"/>
  <c r="AK78" i="23" s="1"/>
  <c r="AB90" i="23"/>
  <c r="AC90" i="23" s="1"/>
  <c r="AB106" i="23"/>
  <c r="AC106" i="23" s="1"/>
  <c r="AH54" i="23"/>
  <c r="AI54" i="23" s="1"/>
  <c r="AK54" i="23" s="1"/>
  <c r="Y99" i="23"/>
  <c r="Z99" i="23" s="1"/>
  <c r="AA99" i="23" s="1"/>
  <c r="AH69" i="23"/>
  <c r="AI69" i="23" s="1"/>
  <c r="AK69" i="23" s="1"/>
  <c r="Y16" i="23"/>
  <c r="Z16" i="23" s="1"/>
  <c r="AA16" i="23" s="1"/>
  <c r="AB11" i="23"/>
  <c r="AC11" i="23" s="1"/>
  <c r="AB58" i="23"/>
  <c r="AC58" i="23" s="1"/>
  <c r="AB52" i="23"/>
  <c r="AC52" i="23" s="1"/>
  <c r="BD89" i="23"/>
  <c r="AX89" i="23" s="1"/>
  <c r="D319" i="2"/>
  <c r="D318" i="2"/>
  <c r="AH75" i="21"/>
  <c r="Y75" i="21"/>
  <c r="V103" i="21"/>
  <c r="AJ103" i="21"/>
  <c r="R103" i="21"/>
  <c r="AN103" i="21" s="1"/>
  <c r="V46" i="21"/>
  <c r="AJ46" i="21"/>
  <c r="R46" i="21"/>
  <c r="AN46" i="21" s="1"/>
  <c r="V16" i="21"/>
  <c r="R16" i="21"/>
  <c r="AN16" i="21" s="1"/>
  <c r="AJ16" i="21"/>
  <c r="V17" i="21"/>
  <c r="R17" i="21"/>
  <c r="AN17" i="21" s="1"/>
  <c r="AJ17" i="21"/>
  <c r="V109" i="21"/>
  <c r="AJ109" i="21"/>
  <c r="R109" i="21"/>
  <c r="AN109" i="21" s="1"/>
  <c r="V102" i="21"/>
  <c r="R102" i="21"/>
  <c r="AN102" i="21" s="1"/>
  <c r="AJ102" i="21"/>
  <c r="V82" i="21"/>
  <c r="R82" i="21"/>
  <c r="AN82" i="21" s="1"/>
  <c r="AJ82" i="21"/>
  <c r="Y16" i="21"/>
  <c r="Y49" i="21"/>
  <c r="AH17" i="21"/>
  <c r="AB76" i="21"/>
  <c r="Y109" i="21"/>
  <c r="Y26" i="21"/>
  <c r="AH14" i="21"/>
  <c r="AB102" i="21"/>
  <c r="AH18" i="21"/>
  <c r="Y38" i="21"/>
  <c r="AB105" i="21"/>
  <c r="Y22" i="21"/>
  <c r="Y43" i="21"/>
  <c r="V31" i="21"/>
  <c r="R31" i="21"/>
  <c r="AN31" i="21" s="1"/>
  <c r="AJ31" i="21"/>
  <c r="V39" i="21"/>
  <c r="R39" i="21"/>
  <c r="AN39" i="21" s="1"/>
  <c r="AJ39" i="21"/>
  <c r="Y46" i="21"/>
  <c r="V80" i="21"/>
  <c r="R80" i="21"/>
  <c r="AN80" i="21" s="1"/>
  <c r="AJ80" i="21"/>
  <c r="Y103" i="21"/>
  <c r="AB16" i="21"/>
  <c r="Y76" i="21"/>
  <c r="AH109" i="21"/>
  <c r="AB31" i="21"/>
  <c r="AH39" i="21"/>
  <c r="AH102" i="21"/>
  <c r="Y82" i="21"/>
  <c r="Y80" i="21"/>
  <c r="AH43" i="21"/>
  <c r="AB46" i="21"/>
  <c r="V22" i="21"/>
  <c r="AJ22" i="21"/>
  <c r="R22" i="21"/>
  <c r="AN22" i="21" s="1"/>
  <c r="V108" i="21"/>
  <c r="R108" i="21"/>
  <c r="AN108" i="21" s="1"/>
  <c r="AJ108" i="21"/>
  <c r="V77" i="21"/>
  <c r="R77" i="21"/>
  <c r="AN77" i="21" s="1"/>
  <c r="AJ77" i="21"/>
  <c r="V26" i="21"/>
  <c r="R26" i="21"/>
  <c r="AN26" i="21" s="1"/>
  <c r="AJ26" i="21"/>
  <c r="AB103" i="21"/>
  <c r="AH16" i="21"/>
  <c r="AB17" i="21"/>
  <c r="AB77" i="21"/>
  <c r="AH26" i="21"/>
  <c r="V47" i="21"/>
  <c r="AJ47" i="21"/>
  <c r="R47" i="21"/>
  <c r="AN47" i="21" s="1"/>
  <c r="V105" i="21"/>
  <c r="R105" i="21"/>
  <c r="AN105" i="21" s="1"/>
  <c r="AJ105" i="21"/>
  <c r="AB39" i="21"/>
  <c r="V37" i="21"/>
  <c r="AJ37" i="21"/>
  <c r="R37" i="21"/>
  <c r="AN37" i="21" s="1"/>
  <c r="AB82" i="21"/>
  <c r="Y47" i="21"/>
  <c r="AB80" i="21"/>
  <c r="AH105" i="21"/>
  <c r="AB108" i="21"/>
  <c r="Y37" i="21"/>
  <c r="V75" i="21"/>
  <c r="AJ75" i="21"/>
  <c r="R75" i="21"/>
  <c r="AN75" i="21" s="1"/>
  <c r="V38" i="21"/>
  <c r="AJ38" i="21"/>
  <c r="R38" i="21"/>
  <c r="AN38" i="21" s="1"/>
  <c r="AH46" i="21"/>
  <c r="V14" i="21"/>
  <c r="R14" i="21"/>
  <c r="AN14" i="21" s="1"/>
  <c r="AJ14" i="21"/>
  <c r="V49" i="21"/>
  <c r="R49" i="21"/>
  <c r="AN49" i="21" s="1"/>
  <c r="AJ49" i="21"/>
  <c r="V76" i="21"/>
  <c r="R76" i="21"/>
  <c r="AN76" i="21" s="1"/>
  <c r="AJ76" i="21"/>
  <c r="V18" i="21"/>
  <c r="AJ18" i="21"/>
  <c r="R18" i="21"/>
  <c r="AN18" i="21" s="1"/>
  <c r="AH103" i="21"/>
  <c r="AB49" i="21"/>
  <c r="Y17" i="21"/>
  <c r="AB109" i="21"/>
  <c r="Y77" i="21"/>
  <c r="AB14" i="21"/>
  <c r="Y31" i="21"/>
  <c r="Y102" i="21"/>
  <c r="AH82" i="21"/>
  <c r="Y18" i="21"/>
  <c r="AB38" i="21"/>
  <c r="AB47" i="21"/>
  <c r="AH80" i="21"/>
  <c r="AB22" i="21"/>
  <c r="Y108" i="21"/>
  <c r="AH37" i="21"/>
  <c r="V43" i="21"/>
  <c r="AJ43" i="21"/>
  <c r="R43" i="21"/>
  <c r="AN43" i="21" s="1"/>
  <c r="D216" i="2"/>
  <c r="D217" i="2" s="1"/>
  <c r="F623" i="17"/>
  <c r="B90" i="2"/>
  <c r="B107" i="2"/>
  <c r="B105" i="2"/>
  <c r="E21" i="1" s="1"/>
  <c r="A364" i="2"/>
  <c r="C68" i="16"/>
  <c r="D68" i="16" s="1"/>
  <c r="B328" i="2"/>
  <c r="B329" i="2" s="1"/>
  <c r="B198" i="2" l="1"/>
  <c r="B195" i="2"/>
  <c r="S48" i="23"/>
  <c r="AN48" i="23"/>
  <c r="BE48" i="23" s="1"/>
  <c r="S96" i="23"/>
  <c r="U96" i="23" s="1"/>
  <c r="AN96" i="23"/>
  <c r="BE96" i="23" s="1"/>
  <c r="S78" i="23"/>
  <c r="U78" i="23" s="1"/>
  <c r="AN78" i="23"/>
  <c r="BE78" i="23" s="1"/>
  <c r="S56" i="23"/>
  <c r="U56" i="23" s="1"/>
  <c r="AN56" i="23"/>
  <c r="BE56" i="23" s="1"/>
  <c r="S40" i="23"/>
  <c r="U40" i="23" s="1"/>
  <c r="AN40" i="23"/>
  <c r="BE40" i="23" s="1"/>
  <c r="S15" i="23"/>
  <c r="U15" i="23" s="1"/>
  <c r="AN15" i="23"/>
  <c r="BE15" i="23" s="1"/>
  <c r="S69" i="23"/>
  <c r="U69" i="23" s="1"/>
  <c r="AN69" i="23"/>
  <c r="BE69" i="23" s="1"/>
  <c r="S39" i="23"/>
  <c r="AN39" i="23"/>
  <c r="BE39" i="23" s="1"/>
  <c r="S67" i="23"/>
  <c r="U67" i="23" s="1"/>
  <c r="AN67" i="23"/>
  <c r="BE67" i="23" s="1"/>
  <c r="S103" i="23"/>
  <c r="U103" i="23" s="1"/>
  <c r="AN103" i="23"/>
  <c r="BE103" i="23" s="1"/>
  <c r="S63" i="23"/>
  <c r="U63" i="23" s="1"/>
  <c r="AN63" i="23"/>
  <c r="BE63" i="23" s="1"/>
  <c r="S92" i="23"/>
  <c r="U92" i="23" s="1"/>
  <c r="AN92" i="23"/>
  <c r="BE92" i="23" s="1"/>
  <c r="S42" i="23"/>
  <c r="U42" i="23" s="1"/>
  <c r="AN42" i="23"/>
  <c r="BE42" i="23" s="1"/>
  <c r="S99" i="23"/>
  <c r="U99" i="23" s="1"/>
  <c r="AN99" i="23"/>
  <c r="BE99" i="23" s="1"/>
  <c r="S35" i="23"/>
  <c r="U35" i="23" s="1"/>
  <c r="AN35" i="23"/>
  <c r="BE35" i="23" s="1"/>
  <c r="S95" i="23"/>
  <c r="U95" i="23" s="1"/>
  <c r="AN95" i="23"/>
  <c r="BE95" i="23" s="1"/>
  <c r="S41" i="23"/>
  <c r="U41" i="23" s="1"/>
  <c r="AN41" i="23"/>
  <c r="S106" i="23"/>
  <c r="U106" i="23" s="1"/>
  <c r="AN106" i="23"/>
  <c r="BE106" i="23" s="1"/>
  <c r="S12" i="23"/>
  <c r="U12" i="23" s="1"/>
  <c r="AN12" i="23"/>
  <c r="BE12" i="23" s="1"/>
  <c r="S16" i="23"/>
  <c r="U16" i="23" s="1"/>
  <c r="AN16" i="23"/>
  <c r="BE16" i="23" s="1"/>
  <c r="S25" i="23"/>
  <c r="U25" i="23" s="1"/>
  <c r="AN25" i="23"/>
  <c r="BE25" i="23" s="1"/>
  <c r="S85" i="23"/>
  <c r="U85" i="23" s="1"/>
  <c r="AN85" i="23"/>
  <c r="BE85" i="23" s="1"/>
  <c r="S45" i="23"/>
  <c r="U45" i="23" s="1"/>
  <c r="AN45" i="23"/>
  <c r="BE45" i="23" s="1"/>
  <c r="S98" i="23"/>
  <c r="AN98" i="23"/>
  <c r="BE98" i="23" s="1"/>
  <c r="S90" i="23"/>
  <c r="AN90" i="23"/>
  <c r="S52" i="23"/>
  <c r="U52" i="23" s="1"/>
  <c r="AN52" i="23"/>
  <c r="BE52" i="23" s="1"/>
  <c r="S37" i="23"/>
  <c r="U37" i="23" s="1"/>
  <c r="AN37" i="23"/>
  <c r="BE37" i="23" s="1"/>
  <c r="S38" i="23"/>
  <c r="U38" i="23" s="1"/>
  <c r="AN38" i="23"/>
  <c r="BE38" i="23" s="1"/>
  <c r="S19" i="23"/>
  <c r="U19" i="23" s="1"/>
  <c r="AN19" i="23"/>
  <c r="BE19" i="23" s="1"/>
  <c r="S76" i="23"/>
  <c r="U76" i="23" s="1"/>
  <c r="AN76" i="23"/>
  <c r="BE76" i="23" s="1"/>
  <c r="S46" i="23"/>
  <c r="U46" i="23" s="1"/>
  <c r="AN46" i="23"/>
  <c r="BE46" i="23" s="1"/>
  <c r="S94" i="23"/>
  <c r="U94" i="23" s="1"/>
  <c r="AN94" i="23"/>
  <c r="BE94" i="23" s="1"/>
  <c r="S50" i="23"/>
  <c r="U50" i="23" s="1"/>
  <c r="AN50" i="23"/>
  <c r="BE50" i="23" s="1"/>
  <c r="S51" i="23"/>
  <c r="U51" i="23" s="1"/>
  <c r="AN51" i="23"/>
  <c r="BE51" i="23" s="1"/>
  <c r="S58" i="23"/>
  <c r="U58" i="23" s="1"/>
  <c r="AN58" i="23"/>
  <c r="BE58" i="23" s="1"/>
  <c r="S53" i="23"/>
  <c r="U53" i="23" s="1"/>
  <c r="AN53" i="23"/>
  <c r="BE53" i="23" s="1"/>
  <c r="S86" i="23"/>
  <c r="U86" i="23" s="1"/>
  <c r="AN86" i="23"/>
  <c r="BE86" i="23" s="1"/>
  <c r="S65" i="23"/>
  <c r="U65" i="23" s="1"/>
  <c r="AN65" i="23"/>
  <c r="BE65" i="23" s="1"/>
  <c r="S74" i="23"/>
  <c r="U74" i="23" s="1"/>
  <c r="AN74" i="23"/>
  <c r="BE74" i="23" s="1"/>
  <c r="S54" i="23"/>
  <c r="U54" i="23" s="1"/>
  <c r="AN54" i="23"/>
  <c r="BE54" i="23" s="1"/>
  <c r="S104" i="23"/>
  <c r="AN104" i="23"/>
  <c r="BE104" i="23" s="1"/>
  <c r="S30" i="23"/>
  <c r="U30" i="23" s="1"/>
  <c r="AN30" i="23"/>
  <c r="BE30" i="23" s="1"/>
  <c r="S55" i="23"/>
  <c r="U55" i="23" s="1"/>
  <c r="AN55" i="23"/>
  <c r="BE55" i="23" s="1"/>
  <c r="S14" i="23"/>
  <c r="U14" i="23" s="1"/>
  <c r="AN14" i="23"/>
  <c r="BE14" i="23" s="1"/>
  <c r="S49" i="23"/>
  <c r="U49" i="23" s="1"/>
  <c r="AN49" i="23"/>
  <c r="BE49" i="23" s="1"/>
  <c r="S13" i="23"/>
  <c r="U13" i="23" s="1"/>
  <c r="AN13" i="23"/>
  <c r="BE13" i="23" s="1"/>
  <c r="S21" i="23"/>
  <c r="U21" i="23" s="1"/>
  <c r="AN21" i="23"/>
  <c r="BE21" i="23" s="1"/>
  <c r="S31" i="23"/>
  <c r="U31" i="23" s="1"/>
  <c r="AN31" i="23"/>
  <c r="BE31" i="23" s="1"/>
  <c r="S68" i="23"/>
  <c r="U68" i="23" s="1"/>
  <c r="AN68" i="23"/>
  <c r="S109" i="23"/>
  <c r="U109" i="23" s="1"/>
  <c r="AN109" i="23"/>
  <c r="BE109" i="23" s="1"/>
  <c r="S11" i="23"/>
  <c r="U11" i="23" s="1"/>
  <c r="AN11" i="23"/>
  <c r="BE11" i="23" s="1"/>
  <c r="S73" i="23"/>
  <c r="U73" i="23" s="1"/>
  <c r="AN73" i="23"/>
  <c r="BE73" i="23" s="1"/>
  <c r="S22" i="23"/>
  <c r="U22" i="23" s="1"/>
  <c r="AN22" i="23"/>
  <c r="BE22" i="23" s="1"/>
  <c r="S66" i="23"/>
  <c r="U66" i="23" s="1"/>
  <c r="AN66" i="23"/>
  <c r="BE66" i="23" s="1"/>
  <c r="S27" i="23"/>
  <c r="U27" i="23" s="1"/>
  <c r="AN27" i="23"/>
  <c r="BE27" i="23" s="1"/>
  <c r="S44" i="23"/>
  <c r="U44" i="23" s="1"/>
  <c r="AN44" i="23"/>
  <c r="BE44" i="23" s="1"/>
  <c r="S33" i="23"/>
  <c r="U33" i="23" s="1"/>
  <c r="AN33" i="23"/>
  <c r="BE33" i="23" s="1"/>
  <c r="S32" i="23"/>
  <c r="U32" i="23" s="1"/>
  <c r="AN32" i="23"/>
  <c r="BE32" i="23" s="1"/>
  <c r="S108" i="23"/>
  <c r="U108" i="23" s="1"/>
  <c r="AN108" i="23"/>
  <c r="BE108" i="23" s="1"/>
  <c r="S23" i="23"/>
  <c r="U23" i="23" s="1"/>
  <c r="AN23" i="23"/>
  <c r="BE23" i="23" s="1"/>
  <c r="S81" i="23"/>
  <c r="U81" i="23" s="1"/>
  <c r="AN81" i="23"/>
  <c r="BE81" i="23" s="1"/>
  <c r="N4" i="25"/>
  <c r="P628" i="25"/>
  <c r="F5" i="25"/>
  <c r="O628" i="25"/>
  <c r="P626" i="25"/>
  <c r="O626" i="25"/>
  <c r="P623" i="25"/>
  <c r="O623" i="25"/>
  <c r="Q3" i="25"/>
  <c r="F4" i="25"/>
  <c r="J61" i="1"/>
  <c r="K4" i="25"/>
  <c r="F75" i="1"/>
  <c r="C7" i="25"/>
  <c r="BE49" i="21"/>
  <c r="S49" i="21"/>
  <c r="BE18" i="21"/>
  <c r="S18" i="21"/>
  <c r="BE80" i="21"/>
  <c r="S80" i="21"/>
  <c r="BE17" i="21"/>
  <c r="S17" i="21"/>
  <c r="BE43" i="21"/>
  <c r="S43" i="21"/>
  <c r="BE38" i="21"/>
  <c r="S38" i="21"/>
  <c r="BE37" i="21"/>
  <c r="S37" i="21"/>
  <c r="BE26" i="21"/>
  <c r="S26" i="21"/>
  <c r="BE22" i="21"/>
  <c r="S22" i="21"/>
  <c r="BE46" i="21"/>
  <c r="S46" i="21"/>
  <c r="BE108" i="21"/>
  <c r="S108" i="21"/>
  <c r="BE31" i="21"/>
  <c r="S31" i="21"/>
  <c r="BE82" i="21"/>
  <c r="S82" i="21"/>
  <c r="BE16" i="21"/>
  <c r="S16" i="21"/>
  <c r="BE76" i="21"/>
  <c r="S76" i="21"/>
  <c r="BE75" i="21"/>
  <c r="S75" i="21"/>
  <c r="BE47" i="21"/>
  <c r="S47" i="21"/>
  <c r="U47" i="21" s="1"/>
  <c r="BE77" i="21"/>
  <c r="S77" i="21"/>
  <c r="BE39" i="21"/>
  <c r="S39" i="21"/>
  <c r="BE109" i="21"/>
  <c r="S109" i="21"/>
  <c r="U109" i="21" s="1"/>
  <c r="BE103" i="21"/>
  <c r="S103" i="21"/>
  <c r="BE14" i="21"/>
  <c r="S14" i="21"/>
  <c r="BE105" i="21"/>
  <c r="S105" i="21"/>
  <c r="U105" i="21" s="1"/>
  <c r="BE102" i="21"/>
  <c r="S102" i="21"/>
  <c r="U62" i="23"/>
  <c r="BA62" i="23" s="1"/>
  <c r="AK30" i="23"/>
  <c r="BD30" i="23" s="1"/>
  <c r="AX30" i="23" s="1"/>
  <c r="AK91" i="23"/>
  <c r="BD91" i="23" s="1"/>
  <c r="AX91" i="23" s="1"/>
  <c r="AK56" i="23"/>
  <c r="BD56" i="23" s="1"/>
  <c r="AX56" i="23" s="1"/>
  <c r="AK65" i="23"/>
  <c r="BD65" i="23" s="1"/>
  <c r="AX65" i="23" s="1"/>
  <c r="AK108" i="23"/>
  <c r="BD108" i="23" s="1"/>
  <c r="AX108" i="23" s="1"/>
  <c r="U61" i="23"/>
  <c r="BA61" i="23" s="1"/>
  <c r="AK87" i="23"/>
  <c r="BD87" i="23" s="1"/>
  <c r="AX87" i="23" s="1"/>
  <c r="AK20" i="23"/>
  <c r="BD20" i="23" s="1"/>
  <c r="AX20" i="23" s="1"/>
  <c r="U24" i="23"/>
  <c r="BA24" i="23" s="1"/>
  <c r="AK17" i="23"/>
  <c r="BD17" i="23" s="1"/>
  <c r="AX17" i="23" s="1"/>
  <c r="AK61" i="23"/>
  <c r="BD61" i="23" s="1"/>
  <c r="AX61" i="23" s="1"/>
  <c r="U9" i="23"/>
  <c r="BA9" i="23" s="1"/>
  <c r="AK33" i="23"/>
  <c r="BD33" i="23" s="1"/>
  <c r="AX33" i="23" s="1"/>
  <c r="AK31" i="23"/>
  <c r="BD31" i="23" s="1"/>
  <c r="AX31" i="23" s="1"/>
  <c r="AK93" i="23"/>
  <c r="BD93" i="23" s="1"/>
  <c r="AX93" i="23" s="1"/>
  <c r="D231" i="2"/>
  <c r="AD9" i="23"/>
  <c r="AG9" i="23" s="1"/>
  <c r="AD49" i="23"/>
  <c r="AG49" i="23" s="1"/>
  <c r="AD108" i="23"/>
  <c r="AG108" i="23" s="1"/>
  <c r="AD76" i="23"/>
  <c r="AG76" i="23" s="1"/>
  <c r="AD91" i="23"/>
  <c r="AG91" i="23" s="1"/>
  <c r="AD93" i="23"/>
  <c r="AG93" i="23" s="1"/>
  <c r="AD34" i="23"/>
  <c r="AG34" i="23" s="1"/>
  <c r="AD66" i="23"/>
  <c r="AG66" i="23" s="1"/>
  <c r="AD89" i="23"/>
  <c r="AG89" i="23" s="1"/>
  <c r="AD100" i="23"/>
  <c r="AG100" i="23" s="1"/>
  <c r="AD29" i="23"/>
  <c r="AG29" i="23" s="1"/>
  <c r="AD83" i="23"/>
  <c r="AG83" i="23" s="1"/>
  <c r="AD30" i="23"/>
  <c r="AG30" i="23" s="1"/>
  <c r="AD90" i="23"/>
  <c r="AG90" i="23" s="1"/>
  <c r="AD65" i="23"/>
  <c r="AG65" i="23" s="1"/>
  <c r="AD45" i="23"/>
  <c r="AG45" i="23" s="1"/>
  <c r="AD92" i="23"/>
  <c r="AG92" i="23" s="1"/>
  <c r="AD50" i="23"/>
  <c r="AG50" i="23" s="1"/>
  <c r="AD41" i="23"/>
  <c r="AG41" i="23" s="1"/>
  <c r="AD109" i="23"/>
  <c r="AG109" i="23" s="1"/>
  <c r="AD98" i="23"/>
  <c r="AG98" i="23" s="1"/>
  <c r="AD87" i="23"/>
  <c r="AG87" i="23" s="1"/>
  <c r="AD14" i="23"/>
  <c r="AG14" i="23" s="1"/>
  <c r="AD105" i="23"/>
  <c r="AG105" i="23" s="1"/>
  <c r="AD38" i="23"/>
  <c r="AG38" i="23" s="1"/>
  <c r="AD54" i="23"/>
  <c r="AG54" i="23" s="1"/>
  <c r="AD53" i="23"/>
  <c r="AG53" i="23" s="1"/>
  <c r="AD11" i="23"/>
  <c r="AG11" i="23" s="1"/>
  <c r="AD47" i="23"/>
  <c r="AG47" i="23" s="1"/>
  <c r="AD26" i="23"/>
  <c r="AG26" i="23" s="1"/>
  <c r="AD25" i="23"/>
  <c r="AG25" i="23" s="1"/>
  <c r="AD44" i="23"/>
  <c r="AG44" i="23" s="1"/>
  <c r="AD52" i="23"/>
  <c r="AG52" i="23" s="1"/>
  <c r="AD51" i="23"/>
  <c r="AG51" i="23" s="1"/>
  <c r="AD16" i="23"/>
  <c r="AG16" i="23" s="1"/>
  <c r="AD73" i="23"/>
  <c r="AG73" i="23" s="1"/>
  <c r="AD85" i="23"/>
  <c r="AG85" i="23" s="1"/>
  <c r="AD64" i="23"/>
  <c r="AG64" i="23" s="1"/>
  <c r="AD12" i="23"/>
  <c r="AG12" i="23" s="1"/>
  <c r="AD81" i="23"/>
  <c r="AG81" i="23" s="1"/>
  <c r="AD86" i="23"/>
  <c r="AG86" i="23" s="1"/>
  <c r="AD19" i="23"/>
  <c r="AG19" i="23" s="1"/>
  <c r="AD78" i="23"/>
  <c r="AG78" i="23" s="1"/>
  <c r="AD70" i="23"/>
  <c r="AG70" i="23" s="1"/>
  <c r="AD97" i="23"/>
  <c r="AG97" i="23" s="1"/>
  <c r="AD21" i="23"/>
  <c r="AG21" i="23" s="1"/>
  <c r="AD56" i="23"/>
  <c r="AG56" i="23" s="1"/>
  <c r="AD39" i="23"/>
  <c r="AG39" i="23" s="1"/>
  <c r="AD84" i="23"/>
  <c r="AG84" i="23" s="1"/>
  <c r="AD106" i="23"/>
  <c r="AG106" i="23" s="1"/>
  <c r="AD33" i="23"/>
  <c r="AG33" i="23" s="1"/>
  <c r="AD96" i="23"/>
  <c r="AG96" i="23" s="1"/>
  <c r="AD63" i="23"/>
  <c r="AD42" i="23"/>
  <c r="AG42" i="23" s="1"/>
  <c r="AD75" i="23"/>
  <c r="AG75" i="23" s="1"/>
  <c r="AD40" i="23"/>
  <c r="AG40" i="23" s="1"/>
  <c r="AD77" i="23"/>
  <c r="AG77" i="23" s="1"/>
  <c r="AD43" i="23"/>
  <c r="AG43" i="23" s="1"/>
  <c r="AD88" i="23"/>
  <c r="AG88" i="23" s="1"/>
  <c r="AD35" i="23"/>
  <c r="AG35" i="23" s="1"/>
  <c r="AD57" i="23"/>
  <c r="AG57" i="23" s="1"/>
  <c r="AD17" i="23"/>
  <c r="AG17" i="23" s="1"/>
  <c r="AD68" i="23"/>
  <c r="AG68" i="23" s="1"/>
  <c r="AD67" i="23"/>
  <c r="AG67" i="23" s="1"/>
  <c r="AD48" i="23"/>
  <c r="AG48" i="23" s="1"/>
  <c r="AD27" i="23"/>
  <c r="AG27" i="23" s="1"/>
  <c r="AD60" i="23"/>
  <c r="AG60" i="23" s="1"/>
  <c r="AD104" i="23"/>
  <c r="AG104" i="23" s="1"/>
  <c r="AD72" i="23"/>
  <c r="AD55" i="23"/>
  <c r="AG55" i="23" s="1"/>
  <c r="AD36" i="23"/>
  <c r="AG36" i="23" s="1"/>
  <c r="AD82" i="23"/>
  <c r="AG82" i="23" s="1"/>
  <c r="AD31" i="23"/>
  <c r="AG31" i="23" s="1"/>
  <c r="AD102" i="23"/>
  <c r="AG102" i="23" s="1"/>
  <c r="AD99" i="23"/>
  <c r="AG99" i="23" s="1"/>
  <c r="AD101" i="23"/>
  <c r="AG101" i="23" s="1"/>
  <c r="AD80" i="23"/>
  <c r="AG80" i="23" s="1"/>
  <c r="AD94" i="23"/>
  <c r="AG94" i="23" s="1"/>
  <c r="AD95" i="23"/>
  <c r="AG95" i="23" s="1"/>
  <c r="AD28" i="23"/>
  <c r="AG28" i="23" s="1"/>
  <c r="AD10" i="23"/>
  <c r="AG10" i="23" s="1"/>
  <c r="AD107" i="23"/>
  <c r="AG107" i="23" s="1"/>
  <c r="AD59" i="23"/>
  <c r="AG59" i="23" s="1"/>
  <c r="AD24" i="23"/>
  <c r="AG24" i="23" s="1"/>
  <c r="AD37" i="23"/>
  <c r="AG37" i="23" s="1"/>
  <c r="AD74" i="23"/>
  <c r="AG74" i="23" s="1"/>
  <c r="AD103" i="23"/>
  <c r="AG103" i="23" s="1"/>
  <c r="AD20" i="23"/>
  <c r="AG20" i="23" s="1"/>
  <c r="AD32" i="23"/>
  <c r="AG32" i="23" s="1"/>
  <c r="AD15" i="23"/>
  <c r="AG15" i="23" s="1"/>
  <c r="AD13" i="23"/>
  <c r="AG13" i="23" s="1"/>
  <c r="AD58" i="23"/>
  <c r="AG58" i="23" s="1"/>
  <c r="AD79" i="23"/>
  <c r="AG79" i="23" s="1"/>
  <c r="AD23" i="23"/>
  <c r="AG23" i="23" s="1"/>
  <c r="AD22" i="23"/>
  <c r="AG22" i="23" s="1"/>
  <c r="AD71" i="23"/>
  <c r="AG71" i="23" s="1"/>
  <c r="AD61" i="23"/>
  <c r="AG61" i="23" s="1"/>
  <c r="AD69" i="23"/>
  <c r="AG69" i="23" s="1"/>
  <c r="AD62" i="23"/>
  <c r="AG62" i="23" s="1"/>
  <c r="AD18" i="23"/>
  <c r="AG18" i="23" s="1"/>
  <c r="AD46" i="23"/>
  <c r="AG46" i="23" s="1"/>
  <c r="W106" i="23"/>
  <c r="X106" i="23" s="1"/>
  <c r="W13" i="23"/>
  <c r="X13" i="23" s="1"/>
  <c r="W86" i="23"/>
  <c r="X86" i="23" s="1"/>
  <c r="W94" i="23"/>
  <c r="X94" i="23" s="1"/>
  <c r="W45" i="23"/>
  <c r="X45" i="23" s="1"/>
  <c r="W68" i="23"/>
  <c r="X68" i="23" s="1"/>
  <c r="W98" i="23"/>
  <c r="X98" i="23" s="1"/>
  <c r="W74" i="23"/>
  <c r="X74" i="23" s="1"/>
  <c r="W33" i="23"/>
  <c r="X33" i="23" s="1"/>
  <c r="W76" i="23"/>
  <c r="X76" i="23" s="1"/>
  <c r="W52" i="23"/>
  <c r="X52" i="23" s="1"/>
  <c r="BE41" i="23"/>
  <c r="W99" i="23"/>
  <c r="X99" i="23" s="1"/>
  <c r="W46" i="23"/>
  <c r="X46" i="23" s="1"/>
  <c r="W37" i="23"/>
  <c r="X37" i="23" s="1"/>
  <c r="W108" i="23"/>
  <c r="X108" i="23" s="1"/>
  <c r="W40" i="23"/>
  <c r="X40" i="23" s="1"/>
  <c r="W38" i="23"/>
  <c r="X38" i="23" s="1"/>
  <c r="W55" i="23"/>
  <c r="X55" i="23" s="1"/>
  <c r="W15" i="23"/>
  <c r="X15" i="23" s="1"/>
  <c r="W81" i="23"/>
  <c r="X81" i="23" s="1"/>
  <c r="W39" i="23"/>
  <c r="X39" i="23" s="1"/>
  <c r="W22" i="23"/>
  <c r="X22" i="23" s="1"/>
  <c r="W12" i="23"/>
  <c r="X12" i="23" s="1"/>
  <c r="W63" i="23"/>
  <c r="X63" i="23" s="1"/>
  <c r="W21" i="23"/>
  <c r="X21" i="23" s="1"/>
  <c r="W66" i="23"/>
  <c r="X66" i="23" s="1"/>
  <c r="W27" i="23"/>
  <c r="X27" i="23" s="1"/>
  <c r="W95" i="23"/>
  <c r="X95" i="23" s="1"/>
  <c r="W85" i="23"/>
  <c r="X85" i="23" s="1"/>
  <c r="W31" i="23"/>
  <c r="X31" i="23" s="1"/>
  <c r="W65" i="23"/>
  <c r="X65" i="23" s="1"/>
  <c r="W96" i="23"/>
  <c r="X96" i="23" s="1"/>
  <c r="W90" i="23"/>
  <c r="X90" i="23" s="1"/>
  <c r="W51" i="23"/>
  <c r="X51" i="23" s="1"/>
  <c r="W109" i="23"/>
  <c r="X109" i="23" s="1"/>
  <c r="W104" i="23"/>
  <c r="X104" i="23" s="1"/>
  <c r="W30" i="23"/>
  <c r="X30" i="23" s="1"/>
  <c r="W35" i="23"/>
  <c r="X35" i="23" s="1"/>
  <c r="U48" i="23"/>
  <c r="W16" i="23"/>
  <c r="X16" i="23" s="1"/>
  <c r="W67" i="23"/>
  <c r="X67" i="23" s="1"/>
  <c r="W25" i="23"/>
  <c r="X25" i="23" s="1"/>
  <c r="W50" i="23"/>
  <c r="X50" i="23" s="1"/>
  <c r="W44" i="23"/>
  <c r="X44" i="23" s="1"/>
  <c r="BE68" i="23"/>
  <c r="W42" i="23"/>
  <c r="X42" i="23" s="1"/>
  <c r="W41" i="23"/>
  <c r="X41" i="23" s="1"/>
  <c r="W54" i="23"/>
  <c r="X54" i="23" s="1"/>
  <c r="W58" i="23"/>
  <c r="X58" i="23" s="1"/>
  <c r="W14" i="23"/>
  <c r="X14" i="23" s="1"/>
  <c r="W69" i="23"/>
  <c r="X69" i="23" s="1"/>
  <c r="W19" i="23"/>
  <c r="X19" i="23" s="1"/>
  <c r="W49" i="23"/>
  <c r="X49" i="23" s="1"/>
  <c r="U39" i="23"/>
  <c r="W48" i="23"/>
  <c r="X48" i="23" s="1"/>
  <c r="W103" i="23"/>
  <c r="X103" i="23" s="1"/>
  <c r="U98" i="23"/>
  <c r="BE90" i="23"/>
  <c r="U90" i="23"/>
  <c r="W92" i="23"/>
  <c r="X92" i="23" s="1"/>
  <c r="W11" i="23"/>
  <c r="X11" i="23" s="1"/>
  <c r="W78" i="23"/>
  <c r="X78" i="23" s="1"/>
  <c r="W73" i="23"/>
  <c r="X73" i="23" s="1"/>
  <c r="W56" i="23"/>
  <c r="X56" i="23" s="1"/>
  <c r="W32" i="23"/>
  <c r="X32" i="23" s="1"/>
  <c r="U104" i="23"/>
  <c r="W23" i="23"/>
  <c r="X23" i="23" s="1"/>
  <c r="W53" i="23"/>
  <c r="X53" i="23" s="1"/>
  <c r="BD67" i="23"/>
  <c r="AX67" i="23" s="1"/>
  <c r="BD27" i="23"/>
  <c r="AX27" i="23" s="1"/>
  <c r="BD98" i="23"/>
  <c r="AX98" i="23" s="1"/>
  <c r="BD32" i="23"/>
  <c r="AX32" i="23" s="1"/>
  <c r="BD85" i="23"/>
  <c r="AX85" i="23" s="1"/>
  <c r="BD103" i="23"/>
  <c r="AX103" i="23" s="1"/>
  <c r="BD78" i="23"/>
  <c r="AX78" i="23" s="1"/>
  <c r="BD86" i="23"/>
  <c r="AX86" i="23" s="1"/>
  <c r="BD12" i="23"/>
  <c r="AX12" i="23" s="1"/>
  <c r="BD106" i="23"/>
  <c r="AX106" i="23" s="1"/>
  <c r="BD51" i="23"/>
  <c r="AX51" i="23" s="1"/>
  <c r="BD54" i="23"/>
  <c r="AX54" i="23" s="1"/>
  <c r="BA89" i="23"/>
  <c r="BA97" i="23"/>
  <c r="BA75" i="23"/>
  <c r="BA80" i="23"/>
  <c r="BA36" i="23"/>
  <c r="BD92" i="23"/>
  <c r="AX92" i="23" s="1"/>
  <c r="BD76" i="23"/>
  <c r="AX76" i="23" s="1"/>
  <c r="BA72" i="23"/>
  <c r="BD53" i="23"/>
  <c r="AX53" i="23" s="1"/>
  <c r="BA105" i="23"/>
  <c r="BA91" i="23"/>
  <c r="BA60" i="23"/>
  <c r="BD96" i="23"/>
  <c r="AX96" i="23" s="1"/>
  <c r="BA20" i="23"/>
  <c r="BD74" i="23"/>
  <c r="AX74" i="23" s="1"/>
  <c r="BA70" i="23"/>
  <c r="BD109" i="23"/>
  <c r="AX109" i="23" s="1"/>
  <c r="BA34" i="23"/>
  <c r="BA102" i="23"/>
  <c r="BA79" i="23"/>
  <c r="BA107" i="23"/>
  <c r="BA77" i="23"/>
  <c r="BD15" i="23"/>
  <c r="AX15" i="23" s="1"/>
  <c r="BA10" i="23"/>
  <c r="BA71" i="23"/>
  <c r="BD42" i="23"/>
  <c r="AX42" i="23" s="1"/>
  <c r="BA29" i="23"/>
  <c r="BA47" i="23"/>
  <c r="BA17" i="23"/>
  <c r="BA18" i="23"/>
  <c r="BD37" i="23"/>
  <c r="AX37" i="23" s="1"/>
  <c r="BA43" i="23"/>
  <c r="BA88" i="23"/>
  <c r="BA82" i="23"/>
  <c r="BA83" i="23"/>
  <c r="BA28" i="23"/>
  <c r="BA26" i="23"/>
  <c r="BA101" i="23"/>
  <c r="BD69" i="23"/>
  <c r="AX69" i="23" s="1"/>
  <c r="BD35" i="23"/>
  <c r="AX35" i="23" s="1"/>
  <c r="BA84" i="23"/>
  <c r="BA59" i="23"/>
  <c r="BA93" i="23"/>
  <c r="BA64" i="23"/>
  <c r="BD73" i="23"/>
  <c r="AX73" i="23" s="1"/>
  <c r="BA57" i="23"/>
  <c r="BA100" i="23"/>
  <c r="BD46" i="23"/>
  <c r="AX46" i="23" s="1"/>
  <c r="BA87" i="23"/>
  <c r="BD40" i="23"/>
  <c r="AX40" i="23" s="1"/>
  <c r="BD14" i="23"/>
  <c r="AX14" i="23" s="1"/>
  <c r="BD19" i="23"/>
  <c r="AX19" i="23" s="1"/>
  <c r="BD49" i="23"/>
  <c r="AX49" i="23" s="1"/>
  <c r="BD81" i="23"/>
  <c r="AX81" i="23" s="1"/>
  <c r="B89" i="2"/>
  <c r="B92" i="2" s="1"/>
  <c r="B106" i="2"/>
  <c r="B88" i="2"/>
  <c r="B63" i="2"/>
  <c r="E30" i="1"/>
  <c r="AC77" i="21"/>
  <c r="AG77" i="21" s="1"/>
  <c r="AC11" i="21"/>
  <c r="AG11" i="21" s="1"/>
  <c r="AC86" i="21"/>
  <c r="AG86" i="21" s="1"/>
  <c r="AI56" i="21"/>
  <c r="Z81" i="21"/>
  <c r="AA81" i="21" s="1"/>
  <c r="U90" i="21"/>
  <c r="AC21" i="21"/>
  <c r="AG21" i="21" s="1"/>
  <c r="Z85" i="21"/>
  <c r="AA85" i="21" s="1"/>
  <c r="B155" i="2"/>
  <c r="E47" i="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49" i="2"/>
  <c r="B150" i="2" s="1"/>
  <c r="B144" i="2"/>
  <c r="B145" i="2" s="1"/>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4"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09" i="2" l="1"/>
  <c r="Q3" i="17" s="1"/>
  <c r="B216" i="2"/>
  <c r="B208" i="2"/>
  <c r="D354" i="2"/>
  <c r="E354" i="2"/>
  <c r="C48" i="16" s="1"/>
  <c r="AG72" i="23"/>
  <c r="BB72" i="23" s="1"/>
  <c r="AG63" i="23"/>
  <c r="BC63" i="23" s="1"/>
  <c r="AW63" i="23" s="1"/>
  <c r="E43" i="1"/>
  <c r="D235" i="2"/>
  <c r="BC74" i="23"/>
  <c r="AW74" i="23" s="1"/>
  <c r="AT107" i="23"/>
  <c r="AV107" i="23" s="1"/>
  <c r="AZ107" i="23" s="1"/>
  <c r="BC94" i="23"/>
  <c r="AW94" i="23" s="1"/>
  <c r="BC102" i="23"/>
  <c r="AW102" i="23" s="1"/>
  <c r="AT17" i="23"/>
  <c r="AV17" i="23" s="1"/>
  <c r="AZ17" i="23" s="1"/>
  <c r="BC43" i="23"/>
  <c r="AW43" i="23" s="1"/>
  <c r="BC21" i="23"/>
  <c r="AW21" i="23" s="1"/>
  <c r="BC19" i="23"/>
  <c r="AW19" i="23" s="1"/>
  <c r="BC64" i="23"/>
  <c r="AW64" i="23" s="1"/>
  <c r="BB26" i="23"/>
  <c r="BC54" i="23"/>
  <c r="AW54" i="23" s="1"/>
  <c r="BC50" i="23"/>
  <c r="AW50" i="23" s="1"/>
  <c r="BC90" i="23"/>
  <c r="AW90" i="23" s="1"/>
  <c r="BC100" i="23"/>
  <c r="AW100" i="23" s="1"/>
  <c r="AT93" i="23"/>
  <c r="AV93" i="23" s="1"/>
  <c r="AZ93" i="23" s="1"/>
  <c r="BC46" i="23"/>
  <c r="AW46" i="23" s="1"/>
  <c r="BC61" i="23"/>
  <c r="AW61" i="23" s="1"/>
  <c r="BC79" i="23"/>
  <c r="AW79" i="23" s="1"/>
  <c r="BC32" i="23"/>
  <c r="AW32" i="23" s="1"/>
  <c r="BC37" i="23"/>
  <c r="AW37" i="23" s="1"/>
  <c r="BC10" i="23"/>
  <c r="AW10" i="23" s="1"/>
  <c r="AT80" i="23"/>
  <c r="AV80" i="23" s="1"/>
  <c r="AZ80" i="23" s="1"/>
  <c r="BC31" i="23"/>
  <c r="AW31" i="23" s="1"/>
  <c r="AT57" i="23"/>
  <c r="AV57" i="23" s="1"/>
  <c r="AZ57" i="23" s="1"/>
  <c r="BC77" i="23"/>
  <c r="AW77" i="23" s="1"/>
  <c r="BC84" i="23"/>
  <c r="AW84" i="23" s="1"/>
  <c r="AT97" i="23"/>
  <c r="AV97" i="23" s="1"/>
  <c r="AZ97" i="23" s="1"/>
  <c r="BC86" i="23"/>
  <c r="AW86" i="23" s="1"/>
  <c r="BC47" i="23"/>
  <c r="AW47" i="23" s="1"/>
  <c r="BB38" i="23"/>
  <c r="BC98" i="23"/>
  <c r="AW98" i="23" s="1"/>
  <c r="BC30" i="23"/>
  <c r="AW30" i="23" s="1"/>
  <c r="BC89" i="23"/>
  <c r="AW89" i="23" s="1"/>
  <c r="BC91" i="23"/>
  <c r="AW91" i="23" s="1"/>
  <c r="BC18" i="23"/>
  <c r="AW18" i="23" s="1"/>
  <c r="AT71" i="23"/>
  <c r="AV71" i="23" s="1"/>
  <c r="AZ71" i="23" s="1"/>
  <c r="BB24" i="23"/>
  <c r="AT101" i="23"/>
  <c r="AV101" i="23" s="1"/>
  <c r="AZ101" i="23" s="1"/>
  <c r="BC82" i="23"/>
  <c r="AW82" i="23" s="1"/>
  <c r="BB67" i="23"/>
  <c r="BC35" i="23"/>
  <c r="AW35" i="23" s="1"/>
  <c r="BC96" i="23"/>
  <c r="AW96" i="23" s="1"/>
  <c r="BB39" i="23"/>
  <c r="BC70" i="23"/>
  <c r="AW70" i="23" s="1"/>
  <c r="BC44" i="23"/>
  <c r="AW44" i="23" s="1"/>
  <c r="AT105" i="23"/>
  <c r="AV105" i="23" s="1"/>
  <c r="AZ105" i="23" s="1"/>
  <c r="BC83" i="23"/>
  <c r="AW83" i="23" s="1"/>
  <c r="BB66" i="23"/>
  <c r="BC76" i="23"/>
  <c r="AW76" i="23" s="1"/>
  <c r="BC62" i="23"/>
  <c r="AW62" i="23" s="1"/>
  <c r="BC22" i="23"/>
  <c r="AW22" i="23" s="1"/>
  <c r="BB103" i="23"/>
  <c r="BC59" i="23"/>
  <c r="AW59" i="23" s="1"/>
  <c r="BC95" i="23"/>
  <c r="AW95" i="23" s="1"/>
  <c r="BB99" i="23"/>
  <c r="BB36" i="23"/>
  <c r="BC60" i="23"/>
  <c r="AW60" i="23" s="1"/>
  <c r="BB68" i="23"/>
  <c r="BC88" i="23"/>
  <c r="AW88" i="23" s="1"/>
  <c r="BC75" i="23"/>
  <c r="AW75" i="23" s="1"/>
  <c r="BB33" i="23"/>
  <c r="BC78" i="23"/>
  <c r="AW78" i="23" s="1"/>
  <c r="BC12" i="23"/>
  <c r="AW12" i="23" s="1"/>
  <c r="BB16" i="23"/>
  <c r="BC14" i="23"/>
  <c r="AW14" i="23" s="1"/>
  <c r="AT29" i="23"/>
  <c r="AV29" i="23" s="1"/>
  <c r="AZ29" i="23" s="1"/>
  <c r="BB34" i="23"/>
  <c r="AT108" i="23"/>
  <c r="AV108" i="23" s="1"/>
  <c r="AZ108" i="23" s="1"/>
  <c r="D219" i="2"/>
  <c r="J64" i="1" s="1"/>
  <c r="D236" i="2"/>
  <c r="BB27" i="23"/>
  <c r="BC27" i="23"/>
  <c r="AW27" i="23" s="1"/>
  <c r="BB25" i="23"/>
  <c r="BC25" i="23"/>
  <c r="AW25" i="23" s="1"/>
  <c r="BB65" i="23"/>
  <c r="BC65" i="23"/>
  <c r="AW65" i="23" s="1"/>
  <c r="BC20" i="23"/>
  <c r="AW20" i="23" s="1"/>
  <c r="BB20" i="23"/>
  <c r="BB28" i="23"/>
  <c r="BC28" i="23"/>
  <c r="AW28" i="23" s="1"/>
  <c r="AT28" i="23"/>
  <c r="AV28" i="23" s="1"/>
  <c r="AZ28" i="23" s="1"/>
  <c r="AT20" i="23"/>
  <c r="AV20" i="23" s="1"/>
  <c r="AZ20" i="23" s="1"/>
  <c r="BC87" i="23"/>
  <c r="AW87" i="23" s="1"/>
  <c r="BB87" i="23"/>
  <c r="AT87" i="23"/>
  <c r="AV87" i="23" s="1"/>
  <c r="AZ87" i="23" s="1"/>
  <c r="BB9" i="23"/>
  <c r="AT9" i="23"/>
  <c r="AV9" i="23" s="1"/>
  <c r="AZ9" i="23" s="1"/>
  <c r="BC9" i="23"/>
  <c r="AW9" i="23" s="1"/>
  <c r="BC69" i="23"/>
  <c r="AW69" i="23" s="1"/>
  <c r="BB69" i="23"/>
  <c r="BA30" i="23"/>
  <c r="BB56" i="23"/>
  <c r="BC56" i="23"/>
  <c r="AW56" i="23" s="1"/>
  <c r="BA65" i="23"/>
  <c r="AT65" i="23"/>
  <c r="AV65" i="23" s="1"/>
  <c r="AZ65" i="23" s="1"/>
  <c r="BC49" i="23"/>
  <c r="AW49" i="23" s="1"/>
  <c r="BB49" i="23"/>
  <c r="BA38" i="23"/>
  <c r="BA12" i="23"/>
  <c r="BA74" i="23"/>
  <c r="BC104" i="23"/>
  <c r="AW104" i="23" s="1"/>
  <c r="BB104" i="23"/>
  <c r="BA85" i="23"/>
  <c r="AT85" i="23"/>
  <c r="AV85" i="23" s="1"/>
  <c r="AZ85" i="23" s="1"/>
  <c r="BC23" i="23"/>
  <c r="AW23" i="23" s="1"/>
  <c r="BB23" i="23"/>
  <c r="BB11" i="23"/>
  <c r="BC11" i="23"/>
  <c r="AW11" i="23" s="1"/>
  <c r="BA52" i="23"/>
  <c r="AT52" i="23"/>
  <c r="AV52" i="23" s="1"/>
  <c r="AZ52" i="23" s="1"/>
  <c r="BA109" i="23"/>
  <c r="AT109" i="23"/>
  <c r="AV109" i="23" s="1"/>
  <c r="AT92" i="23"/>
  <c r="AV92" i="23" s="1"/>
  <c r="AZ92" i="23" s="1"/>
  <c r="BA92" i="23"/>
  <c r="BA108" i="23"/>
  <c r="BA99" i="23"/>
  <c r="BB58" i="23"/>
  <c r="BC58" i="23"/>
  <c r="AW58" i="23" s="1"/>
  <c r="BC45" i="23"/>
  <c r="AW45" i="23" s="1"/>
  <c r="BB45" i="23"/>
  <c r="BA21" i="23"/>
  <c r="BA106" i="23"/>
  <c r="AT106" i="23"/>
  <c r="AV106" i="23" s="1"/>
  <c r="AZ106" i="23" s="1"/>
  <c r="BA35" i="23"/>
  <c r="AT69" i="23"/>
  <c r="AV69" i="23" s="1"/>
  <c r="AZ69" i="23" s="1"/>
  <c r="BA69" i="23"/>
  <c r="BB40" i="23"/>
  <c r="BC40" i="23"/>
  <c r="AW40" i="23" s="1"/>
  <c r="BA32" i="23"/>
  <c r="AT42" i="23"/>
  <c r="AV42" i="23" s="1"/>
  <c r="AZ42" i="23" s="1"/>
  <c r="BA42" i="23"/>
  <c r="BA51" i="23"/>
  <c r="AT51" i="23"/>
  <c r="AV51" i="23" s="1"/>
  <c r="AZ51" i="23" s="1"/>
  <c r="BA16" i="23"/>
  <c r="BA86" i="23"/>
  <c r="BA63" i="23"/>
  <c r="AT41" i="23"/>
  <c r="AV41" i="23" s="1"/>
  <c r="AZ41" i="23" s="1"/>
  <c r="BA41" i="23"/>
  <c r="BA39" i="23"/>
  <c r="BC41" i="23"/>
  <c r="AW41" i="23" s="1"/>
  <c r="BB41" i="23"/>
  <c r="BC13" i="23"/>
  <c r="AW13" i="23" s="1"/>
  <c r="BB13" i="23"/>
  <c r="BA46" i="23"/>
  <c r="BA50" i="23"/>
  <c r="BA67" i="23"/>
  <c r="BC109" i="23"/>
  <c r="AW109" i="23" s="1"/>
  <c r="BB109" i="23"/>
  <c r="BC15" i="23"/>
  <c r="AW15" i="23" s="1"/>
  <c r="BB15" i="23"/>
  <c r="BB51" i="23"/>
  <c r="BC51" i="23"/>
  <c r="AW51" i="23" s="1"/>
  <c r="BA14" i="23"/>
  <c r="AT73" i="23"/>
  <c r="AV73" i="23" s="1"/>
  <c r="AZ73" i="23" s="1"/>
  <c r="BA73" i="23"/>
  <c r="BB81" i="23"/>
  <c r="BC81" i="23"/>
  <c r="AW81" i="23" s="1"/>
  <c r="BC73" i="23"/>
  <c r="AW73" i="23" s="1"/>
  <c r="BB73" i="23"/>
  <c r="BA76" i="23"/>
  <c r="BA56" i="23"/>
  <c r="AT56" i="23"/>
  <c r="AV56" i="23" s="1"/>
  <c r="AZ56" i="23" s="1"/>
  <c r="BA90" i="23"/>
  <c r="BA33" i="23"/>
  <c r="AT45" i="23"/>
  <c r="AV45" i="23" s="1"/>
  <c r="AZ45" i="23" s="1"/>
  <c r="BA45" i="23"/>
  <c r="BA53" i="23"/>
  <c r="AT53" i="23"/>
  <c r="AV53" i="23" s="1"/>
  <c r="AZ53" i="23" s="1"/>
  <c r="BA68" i="23"/>
  <c r="BA44" i="23"/>
  <c r="BB55" i="23"/>
  <c r="BC55" i="23"/>
  <c r="AW55" i="23" s="1"/>
  <c r="BA37" i="23"/>
  <c r="BA54" i="23"/>
  <c r="BC42" i="23"/>
  <c r="AW42" i="23" s="1"/>
  <c r="BB42" i="23"/>
  <c r="BC92" i="23"/>
  <c r="AW92" i="23" s="1"/>
  <c r="BB92" i="23"/>
  <c r="BA98" i="23"/>
  <c r="BA95" i="23"/>
  <c r="BA81" i="23"/>
  <c r="AT81" i="23"/>
  <c r="AV81" i="23" s="1"/>
  <c r="AZ81" i="23" s="1"/>
  <c r="BA15" i="23"/>
  <c r="AT15" i="23"/>
  <c r="AV15" i="23" s="1"/>
  <c r="AZ15" i="23" s="1"/>
  <c r="AT40" i="23"/>
  <c r="AV40" i="23" s="1"/>
  <c r="AZ40" i="23" s="1"/>
  <c r="BA40" i="23"/>
  <c r="AT104" i="23"/>
  <c r="AV104" i="23" s="1"/>
  <c r="AZ104" i="23" s="1"/>
  <c r="BA104" i="23"/>
  <c r="BA11" i="23"/>
  <c r="AT11" i="23"/>
  <c r="AV11" i="23" s="1"/>
  <c r="AZ11" i="23" s="1"/>
  <c r="BA31" i="23"/>
  <c r="AT13" i="23"/>
  <c r="AV13" i="23" s="1"/>
  <c r="AZ13" i="23" s="1"/>
  <c r="BA13" i="23"/>
  <c r="BA22" i="23"/>
  <c r="BA27" i="23"/>
  <c r="AT27" i="23"/>
  <c r="AV27" i="23" s="1"/>
  <c r="AZ27" i="23" s="1"/>
  <c r="BC53" i="23"/>
  <c r="AW53" i="23" s="1"/>
  <c r="BB53" i="23"/>
  <c r="BA49" i="23"/>
  <c r="AT49" i="23"/>
  <c r="AV49" i="23" s="1"/>
  <c r="AZ49" i="23" s="1"/>
  <c r="BA55" i="23"/>
  <c r="AT55" i="23"/>
  <c r="AV55" i="23" s="1"/>
  <c r="AZ55" i="23" s="1"/>
  <c r="BA78" i="23"/>
  <c r="BB52" i="23"/>
  <c r="BC52" i="23"/>
  <c r="AW52" i="23" s="1"/>
  <c r="BA103" i="23"/>
  <c r="BB85" i="23"/>
  <c r="BC85" i="23"/>
  <c r="AW85" i="23" s="1"/>
  <c r="BA25" i="23"/>
  <c r="AT25" i="23"/>
  <c r="AV25" i="23" s="1"/>
  <c r="AZ25" i="23" s="1"/>
  <c r="BA94" i="23"/>
  <c r="BB48" i="23"/>
  <c r="BC48" i="23"/>
  <c r="AW48" i="23" s="1"/>
  <c r="BA23" i="23"/>
  <c r="AT23" i="23"/>
  <c r="AV23" i="23" s="1"/>
  <c r="AZ23" i="23" s="1"/>
  <c r="BA58" i="23"/>
  <c r="AT58" i="23"/>
  <c r="AV58" i="23" s="1"/>
  <c r="AZ58" i="23" s="1"/>
  <c r="BA66" i="23"/>
  <c r="BB106" i="23"/>
  <c r="BC106" i="23"/>
  <c r="AW106" i="23" s="1"/>
  <c r="BA19" i="23"/>
  <c r="BA96" i="23"/>
  <c r="BA48" i="23"/>
  <c r="AT48" i="23"/>
  <c r="AV48" i="23" s="1"/>
  <c r="AZ48" i="23" s="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2" i="1"/>
  <c r="E18" i="1"/>
  <c r="F4" i="17"/>
  <c r="E23" i="1"/>
  <c r="B72" i="1"/>
  <c r="E34" i="1"/>
  <c r="B125" i="2"/>
  <c r="L126" i="2" s="1"/>
  <c r="L127" i="2"/>
  <c r="K126" i="2"/>
  <c r="E45" i="1"/>
  <c r="B199" i="2"/>
  <c r="N4" i="17" s="1"/>
  <c r="F7" i="17"/>
  <c r="B217" i="2"/>
  <c r="H120" i="2"/>
  <c r="D48" i="16" l="1"/>
  <c r="BC72" i="23"/>
  <c r="AW72" i="23" s="1"/>
  <c r="AT63" i="23"/>
  <c r="AV63" i="23" s="1"/>
  <c r="AZ63" i="23" s="1"/>
  <c r="AT72" i="23"/>
  <c r="AV72" i="23" s="1"/>
  <c r="AZ72" i="23" s="1"/>
  <c r="BB63" i="23"/>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AT35" i="23"/>
  <c r="AV35" i="23" s="1"/>
  <c r="AZ35" i="23" s="1"/>
  <c r="AT44" i="23"/>
  <c r="AV44" i="23" s="1"/>
  <c r="AZ44" i="23" s="1"/>
  <c r="BB76" i="23"/>
  <c r="F73" i="1"/>
  <c r="C5" i="25"/>
  <c r="F74" i="1"/>
  <c r="C4" i="25"/>
  <c r="F5" i="17"/>
  <c r="C632" i="25"/>
  <c r="D612" i="25"/>
  <c r="D610" i="25"/>
  <c r="A622" i="25"/>
  <c r="C612" i="25"/>
  <c r="C610" i="25"/>
  <c r="C613" i="25"/>
  <c r="C611" i="25"/>
  <c r="C609" i="25"/>
  <c r="C607" i="25"/>
  <c r="D613" i="25"/>
  <c r="C606" i="25"/>
  <c r="C604" i="25"/>
  <c r="C602" i="25"/>
  <c r="C600" i="25"/>
  <c r="C598" i="25"/>
  <c r="D605" i="25"/>
  <c r="D603" i="25"/>
  <c r="D601" i="25"/>
  <c r="D599" i="25"/>
  <c r="D597" i="25"/>
  <c r="D611" i="25"/>
  <c r="D609" i="25"/>
  <c r="C608" i="25"/>
  <c r="D607" i="25"/>
  <c r="D606" i="25"/>
  <c r="D604" i="25"/>
  <c r="D602" i="25"/>
  <c r="D600" i="25"/>
  <c r="D598" i="25"/>
  <c r="D596" i="25"/>
  <c r="D594" i="25"/>
  <c r="C599" i="25"/>
  <c r="C596" i="25"/>
  <c r="C595" i="25"/>
  <c r="D593" i="25"/>
  <c r="D591" i="25"/>
  <c r="D589" i="25"/>
  <c r="D587" i="25"/>
  <c r="D585" i="25"/>
  <c r="C601" i="25"/>
  <c r="C594" i="25"/>
  <c r="C593" i="25"/>
  <c r="C591" i="25"/>
  <c r="C589" i="25"/>
  <c r="C587" i="25"/>
  <c r="C585" i="25"/>
  <c r="D608" i="25"/>
  <c r="C605" i="25"/>
  <c r="C597" i="25"/>
  <c r="D595" i="25"/>
  <c r="C592" i="25"/>
  <c r="C590" i="25"/>
  <c r="C588" i="25"/>
  <c r="C586" i="25"/>
  <c r="C584" i="25"/>
  <c r="C582" i="25"/>
  <c r="C580" i="25"/>
  <c r="C578" i="25"/>
  <c r="D588" i="25"/>
  <c r="D584" i="25"/>
  <c r="D583" i="25"/>
  <c r="C576" i="25"/>
  <c r="C574" i="25"/>
  <c r="C572" i="25"/>
  <c r="C570" i="25"/>
  <c r="C568" i="25"/>
  <c r="C566" i="25"/>
  <c r="C564" i="25"/>
  <c r="C562" i="25"/>
  <c r="C560" i="25"/>
  <c r="C558" i="25"/>
  <c r="D590" i="25"/>
  <c r="C583" i="25"/>
  <c r="D582" i="25"/>
  <c r="D581" i="25"/>
  <c r="D577" i="25"/>
  <c r="D575" i="25"/>
  <c r="D573" i="25"/>
  <c r="D571" i="25"/>
  <c r="D569" i="25"/>
  <c r="D567" i="25"/>
  <c r="D565" i="25"/>
  <c r="C603" i="25"/>
  <c r="D586" i="25"/>
  <c r="C579" i="25"/>
  <c r="D578" i="25"/>
  <c r="D576" i="25"/>
  <c r="D574" i="25"/>
  <c r="D572" i="25"/>
  <c r="D570" i="25"/>
  <c r="D568" i="25"/>
  <c r="D566" i="25"/>
  <c r="D592" i="25"/>
  <c r="C571" i="25"/>
  <c r="C563" i="25"/>
  <c r="D562" i="25"/>
  <c r="D561" i="25"/>
  <c r="C555" i="25"/>
  <c r="C553" i="25"/>
  <c r="C551" i="25"/>
  <c r="C549" i="25"/>
  <c r="C547" i="25"/>
  <c r="C545" i="25"/>
  <c r="C543" i="25"/>
  <c r="C541" i="25"/>
  <c r="C539" i="25"/>
  <c r="C537" i="25"/>
  <c r="C535" i="25"/>
  <c r="C533" i="25"/>
  <c r="C531" i="25"/>
  <c r="C529" i="25"/>
  <c r="C527" i="25"/>
  <c r="C581" i="25"/>
  <c r="D580" i="25"/>
  <c r="C573" i="25"/>
  <c r="C565" i="25"/>
  <c r="C561" i="25"/>
  <c r="D560" i="25"/>
  <c r="D559" i="25"/>
  <c r="D556" i="25"/>
  <c r="D554" i="25"/>
  <c r="D552" i="25"/>
  <c r="D550" i="25"/>
  <c r="D548" i="25"/>
  <c r="D546" i="25"/>
  <c r="D544" i="25"/>
  <c r="D542" i="25"/>
  <c r="D540" i="25"/>
  <c r="C577" i="25"/>
  <c r="C569" i="25"/>
  <c r="D564" i="25"/>
  <c r="D563" i="25"/>
  <c r="C557" i="25"/>
  <c r="D555" i="25"/>
  <c r="D553" i="25"/>
  <c r="D551" i="25"/>
  <c r="D549" i="25"/>
  <c r="D547" i="25"/>
  <c r="D545" i="25"/>
  <c r="D543" i="25"/>
  <c r="D541" i="25"/>
  <c r="C559" i="25"/>
  <c r="D558" i="25"/>
  <c r="C552" i="25"/>
  <c r="C544" i="25"/>
  <c r="D539" i="25"/>
  <c r="C534" i="25"/>
  <c r="D533" i="25"/>
  <c r="D532" i="25"/>
  <c r="C526" i="25"/>
  <c r="D525" i="25"/>
  <c r="D557" i="25"/>
  <c r="C554" i="25"/>
  <c r="C546" i="25"/>
  <c r="D538" i="25"/>
  <c r="C532" i="25"/>
  <c r="D531" i="25"/>
  <c r="D530" i="25"/>
  <c r="C525" i="25"/>
  <c r="D579" i="25"/>
  <c r="C575" i="25"/>
  <c r="C550" i="25"/>
  <c r="C542" i="25"/>
  <c r="C536" i="25"/>
  <c r="D535" i="25"/>
  <c r="D534" i="25"/>
  <c r="C528" i="25"/>
  <c r="D527" i="25"/>
  <c r="D526" i="25"/>
  <c r="C524" i="25"/>
  <c r="C522" i="25"/>
  <c r="C520" i="25"/>
  <c r="C518" i="25"/>
  <c r="C516" i="25"/>
  <c r="C514" i="25"/>
  <c r="C512" i="25"/>
  <c r="C567" i="25"/>
  <c r="C521" i="25"/>
  <c r="D520" i="25"/>
  <c r="D519" i="25"/>
  <c r="C513" i="25"/>
  <c r="D512" i="25"/>
  <c r="C511" i="25"/>
  <c r="C509" i="25"/>
  <c r="C507" i="25"/>
  <c r="C505" i="25"/>
  <c r="C503" i="25"/>
  <c r="C501" i="25"/>
  <c r="C499" i="25"/>
  <c r="C497" i="25"/>
  <c r="C495" i="25"/>
  <c r="C493" i="25"/>
  <c r="C491" i="25"/>
  <c r="C489" i="25"/>
  <c r="C487" i="25"/>
  <c r="C485" i="25"/>
  <c r="C483" i="25"/>
  <c r="C481" i="25"/>
  <c r="C479" i="25"/>
  <c r="C477" i="25"/>
  <c r="C475" i="25"/>
  <c r="C473" i="25"/>
  <c r="C471" i="25"/>
  <c r="C469" i="25"/>
  <c r="C467" i="25"/>
  <c r="C465" i="25"/>
  <c r="C540" i="25"/>
  <c r="C538" i="25"/>
  <c r="D537" i="25"/>
  <c r="C519" i="25"/>
  <c r="D518" i="25"/>
  <c r="D517" i="25"/>
  <c r="D510" i="25"/>
  <c r="D508" i="25"/>
  <c r="D506" i="25"/>
  <c r="D504" i="25"/>
  <c r="D502" i="25"/>
  <c r="D500" i="25"/>
  <c r="D498" i="25"/>
  <c r="D496" i="25"/>
  <c r="D494" i="25"/>
  <c r="D492" i="25"/>
  <c r="D490" i="25"/>
  <c r="D488" i="25"/>
  <c r="D486" i="25"/>
  <c r="D484" i="25"/>
  <c r="C556" i="25"/>
  <c r="D528" i="25"/>
  <c r="C523" i="25"/>
  <c r="D522" i="25"/>
  <c r="D521" i="25"/>
  <c r="C515" i="25"/>
  <c r="D514" i="25"/>
  <c r="D513" i="25"/>
  <c r="D511" i="25"/>
  <c r="D509" i="25"/>
  <c r="D507" i="25"/>
  <c r="D505" i="25"/>
  <c r="D503" i="25"/>
  <c r="D501" i="25"/>
  <c r="D499" i="25"/>
  <c r="D497" i="25"/>
  <c r="D495" i="25"/>
  <c r="D493" i="25"/>
  <c r="D491" i="25"/>
  <c r="D489" i="25"/>
  <c r="D487" i="25"/>
  <c r="D485" i="25"/>
  <c r="C548" i="25"/>
  <c r="C504" i="25"/>
  <c r="C496" i="25"/>
  <c r="C488" i="25"/>
  <c r="D483" i="25"/>
  <c r="C478" i="25"/>
  <c r="D477" i="25"/>
  <c r="D476" i="25"/>
  <c r="C470" i="25"/>
  <c r="D469" i="25"/>
  <c r="D468" i="25"/>
  <c r="D464" i="25"/>
  <c r="D462" i="25"/>
  <c r="D460" i="25"/>
  <c r="D458" i="25"/>
  <c r="D456" i="25"/>
  <c r="D454" i="25"/>
  <c r="D452" i="25"/>
  <c r="D450" i="25"/>
  <c r="D448" i="25"/>
  <c r="D446" i="25"/>
  <c r="D444" i="25"/>
  <c r="D442" i="25"/>
  <c r="D440" i="25"/>
  <c r="D438" i="25"/>
  <c r="D436" i="25"/>
  <c r="D434" i="25"/>
  <c r="D432" i="25"/>
  <c r="D430" i="25"/>
  <c r="D428" i="25"/>
  <c r="D426" i="25"/>
  <c r="D424" i="25"/>
  <c r="D422" i="25"/>
  <c r="D420" i="25"/>
  <c r="D418" i="25"/>
  <c r="D416" i="25"/>
  <c r="D414" i="25"/>
  <c r="D412" i="25"/>
  <c r="D410" i="25"/>
  <c r="D408" i="25"/>
  <c r="D406" i="25"/>
  <c r="D404" i="25"/>
  <c r="D402" i="25"/>
  <c r="D536" i="25"/>
  <c r="C530" i="25"/>
  <c r="D524" i="25"/>
  <c r="D523" i="25"/>
  <c r="C517" i="25"/>
  <c r="D516" i="25"/>
  <c r="C506" i="25"/>
  <c r="C498" i="25"/>
  <c r="C490" i="25"/>
  <c r="D482" i="25"/>
  <c r="C476" i="25"/>
  <c r="D475" i="25"/>
  <c r="D474" i="25"/>
  <c r="C468" i="25"/>
  <c r="D467" i="25"/>
  <c r="D466" i="25"/>
  <c r="C464" i="25"/>
  <c r="C462" i="25"/>
  <c r="C460" i="25"/>
  <c r="C458" i="25"/>
  <c r="C456" i="25"/>
  <c r="C454" i="25"/>
  <c r="C452" i="25"/>
  <c r="C450" i="25"/>
  <c r="C448" i="25"/>
  <c r="C446" i="25"/>
  <c r="C444" i="25"/>
  <c r="C442" i="25"/>
  <c r="C440" i="25"/>
  <c r="C438" i="25"/>
  <c r="C436" i="25"/>
  <c r="C434" i="25"/>
  <c r="C432" i="25"/>
  <c r="C430" i="25"/>
  <c r="C428" i="25"/>
  <c r="D529" i="25"/>
  <c r="C510" i="25"/>
  <c r="C502" i="25"/>
  <c r="C494" i="25"/>
  <c r="C486" i="25"/>
  <c r="C480" i="25"/>
  <c r="D479" i="25"/>
  <c r="D478" i="25"/>
  <c r="C472" i="25"/>
  <c r="D471" i="25"/>
  <c r="D470" i="25"/>
  <c r="C463" i="25"/>
  <c r="C461" i="25"/>
  <c r="C459" i="25"/>
  <c r="C457" i="25"/>
  <c r="C455" i="25"/>
  <c r="C453" i="25"/>
  <c r="C451" i="25"/>
  <c r="C449" i="25"/>
  <c r="C447" i="25"/>
  <c r="C445" i="25"/>
  <c r="C443" i="25"/>
  <c r="C441" i="25"/>
  <c r="C439" i="25"/>
  <c r="C437" i="25"/>
  <c r="C435" i="25"/>
  <c r="C433" i="25"/>
  <c r="C431" i="25"/>
  <c r="C429" i="25"/>
  <c r="C508" i="25"/>
  <c r="D472" i="25"/>
  <c r="C466" i="25"/>
  <c r="D465" i="25"/>
  <c r="D459" i="25"/>
  <c r="D451" i="25"/>
  <c r="D443" i="25"/>
  <c r="D435" i="25"/>
  <c r="C426" i="25"/>
  <c r="C425" i="25"/>
  <c r="D423" i="25"/>
  <c r="C418" i="25"/>
  <c r="C417" i="25"/>
  <c r="D415" i="25"/>
  <c r="C410" i="25"/>
  <c r="C409" i="25"/>
  <c r="D407" i="25"/>
  <c r="C402" i="25"/>
  <c r="C401" i="25"/>
  <c r="D515" i="25"/>
  <c r="D461" i="25"/>
  <c r="D453" i="25"/>
  <c r="D445" i="25"/>
  <c r="D437" i="25"/>
  <c r="D429" i="25"/>
  <c r="C424" i="25"/>
  <c r="C423" i="25"/>
  <c r="D421" i="25"/>
  <c r="C416" i="25"/>
  <c r="C415" i="25"/>
  <c r="D413" i="25"/>
  <c r="C408" i="25"/>
  <c r="C407" i="25"/>
  <c r="D405" i="25"/>
  <c r="C500" i="25"/>
  <c r="D480" i="25"/>
  <c r="C474" i="25"/>
  <c r="D473" i="25"/>
  <c r="D457" i="25"/>
  <c r="D449" i="25"/>
  <c r="D441" i="25"/>
  <c r="D433" i="25"/>
  <c r="C427" i="25"/>
  <c r="D425" i="25"/>
  <c r="C420" i="25"/>
  <c r="C419" i="25"/>
  <c r="D417" i="25"/>
  <c r="C412" i="25"/>
  <c r="C411" i="25"/>
  <c r="D409" i="25"/>
  <c r="C404" i="25"/>
  <c r="C403" i="25"/>
  <c r="D401" i="25"/>
  <c r="D399" i="25"/>
  <c r="D397" i="25"/>
  <c r="D395" i="25"/>
  <c r="D393" i="25"/>
  <c r="D391" i="25"/>
  <c r="D389" i="25"/>
  <c r="D387" i="25"/>
  <c r="D385" i="25"/>
  <c r="D383" i="25"/>
  <c r="D381" i="25"/>
  <c r="D379" i="25"/>
  <c r="D377" i="25"/>
  <c r="C484" i="25"/>
  <c r="D455" i="25"/>
  <c r="D419" i="25"/>
  <c r="C406" i="25"/>
  <c r="C405" i="25"/>
  <c r="C399" i="25"/>
  <c r="C398" i="25"/>
  <c r="D396" i="25"/>
  <c r="C391" i="25"/>
  <c r="C390" i="25"/>
  <c r="D388" i="25"/>
  <c r="C383" i="25"/>
  <c r="C382" i="25"/>
  <c r="D380" i="25"/>
  <c r="D375" i="25"/>
  <c r="D373" i="25"/>
  <c r="D371" i="25"/>
  <c r="D369" i="25"/>
  <c r="D367" i="25"/>
  <c r="D365" i="25"/>
  <c r="D363" i="25"/>
  <c r="D361" i="25"/>
  <c r="D359" i="25"/>
  <c r="D357" i="25"/>
  <c r="D355" i="25"/>
  <c r="D353" i="25"/>
  <c r="D351" i="25"/>
  <c r="D349" i="25"/>
  <c r="D347" i="25"/>
  <c r="D345" i="25"/>
  <c r="D343" i="25"/>
  <c r="D341" i="25"/>
  <c r="D339" i="25"/>
  <c r="D337" i="25"/>
  <c r="D335" i="25"/>
  <c r="D333" i="25"/>
  <c r="D331" i="25"/>
  <c r="D329" i="25"/>
  <c r="D327" i="25"/>
  <c r="D325" i="25"/>
  <c r="D323" i="25"/>
  <c r="D321" i="25"/>
  <c r="D319" i="25"/>
  <c r="D317" i="25"/>
  <c r="D315" i="25"/>
  <c r="D313" i="25"/>
  <c r="D311" i="25"/>
  <c r="D309" i="25"/>
  <c r="D307" i="25"/>
  <c r="D305" i="25"/>
  <c r="D303" i="25"/>
  <c r="D301" i="25"/>
  <c r="D299" i="25"/>
  <c r="D297" i="25"/>
  <c r="D295" i="25"/>
  <c r="D293" i="25"/>
  <c r="D291" i="25"/>
  <c r="D289" i="25"/>
  <c r="D287" i="25"/>
  <c r="D285" i="25"/>
  <c r="D283" i="25"/>
  <c r="D281" i="25"/>
  <c r="D279" i="25"/>
  <c r="C482" i="25"/>
  <c r="D463" i="25"/>
  <c r="D431" i="25"/>
  <c r="D411" i="25"/>
  <c r="C397" i="25"/>
  <c r="C396" i="25"/>
  <c r="D394" i="25"/>
  <c r="C389" i="25"/>
  <c r="C388" i="25"/>
  <c r="D386" i="25"/>
  <c r="C381" i="25"/>
  <c r="C380" i="25"/>
  <c r="D378" i="25"/>
  <c r="C375" i="25"/>
  <c r="C373" i="25"/>
  <c r="C371" i="25"/>
  <c r="C369" i="25"/>
  <c r="C367" i="25"/>
  <c r="C365" i="25"/>
  <c r="D481" i="25"/>
  <c r="D447" i="25"/>
  <c r="D427" i="25"/>
  <c r="C414" i="25"/>
  <c r="C413" i="25"/>
  <c r="C400" i="25"/>
  <c r="D398" i="25"/>
  <c r="C393" i="25"/>
  <c r="C392" i="25"/>
  <c r="D390" i="25"/>
  <c r="C385" i="25"/>
  <c r="C384" i="25"/>
  <c r="D382" i="25"/>
  <c r="C377" i="25"/>
  <c r="C376" i="25"/>
  <c r="C374" i="25"/>
  <c r="C372" i="25"/>
  <c r="C370" i="25"/>
  <c r="C368" i="25"/>
  <c r="C366" i="25"/>
  <c r="C364" i="25"/>
  <c r="C362" i="25"/>
  <c r="C360" i="25"/>
  <c r="C358" i="25"/>
  <c r="C356" i="25"/>
  <c r="C354" i="25"/>
  <c r="C352" i="25"/>
  <c r="C350" i="25"/>
  <c r="C348" i="25"/>
  <c r="C346" i="25"/>
  <c r="D392" i="25"/>
  <c r="C379" i="25"/>
  <c r="C378" i="25"/>
  <c r="D368" i="25"/>
  <c r="C341" i="25"/>
  <c r="C340" i="25"/>
  <c r="D338" i="25"/>
  <c r="C333" i="25"/>
  <c r="C332" i="25"/>
  <c r="D330" i="25"/>
  <c r="C325" i="25"/>
  <c r="C324" i="25"/>
  <c r="D322" i="25"/>
  <c r="C317" i="25"/>
  <c r="C316" i="25"/>
  <c r="D314" i="25"/>
  <c r="C309" i="25"/>
  <c r="C308" i="25"/>
  <c r="D306" i="25"/>
  <c r="C301" i="25"/>
  <c r="C300" i="25"/>
  <c r="D298" i="25"/>
  <c r="C293" i="25"/>
  <c r="C292" i="25"/>
  <c r="D290" i="25"/>
  <c r="C285" i="25"/>
  <c r="C284" i="25"/>
  <c r="D282" i="25"/>
  <c r="D278" i="25"/>
  <c r="D276" i="25"/>
  <c r="D274" i="25"/>
  <c r="D272" i="25"/>
  <c r="D270" i="25"/>
  <c r="D268" i="25"/>
  <c r="D266" i="25"/>
  <c r="C421" i="25"/>
  <c r="D384" i="25"/>
  <c r="D370" i="25"/>
  <c r="D364" i="25"/>
  <c r="C363" i="25"/>
  <c r="D360" i="25"/>
  <c r="C359" i="25"/>
  <c r="D356" i="25"/>
  <c r="C355" i="25"/>
  <c r="D352" i="25"/>
  <c r="C351" i="25"/>
  <c r="D348" i="25"/>
  <c r="C347" i="25"/>
  <c r="D344" i="25"/>
  <c r="C339" i="25"/>
  <c r="C338" i="25"/>
  <c r="D336" i="25"/>
  <c r="C331" i="25"/>
  <c r="C330" i="25"/>
  <c r="D328" i="25"/>
  <c r="C323" i="25"/>
  <c r="C322" i="25"/>
  <c r="D320" i="25"/>
  <c r="C315" i="25"/>
  <c r="C314" i="25"/>
  <c r="D312" i="25"/>
  <c r="C307" i="25"/>
  <c r="C306" i="25"/>
  <c r="D304" i="25"/>
  <c r="C299" i="25"/>
  <c r="C298" i="25"/>
  <c r="D296" i="25"/>
  <c r="C291" i="25"/>
  <c r="C290" i="25"/>
  <c r="D288" i="25"/>
  <c r="C283" i="25"/>
  <c r="C282" i="25"/>
  <c r="D280" i="25"/>
  <c r="C278" i="25"/>
  <c r="C276" i="25"/>
  <c r="C274" i="25"/>
  <c r="C272" i="25"/>
  <c r="C270" i="25"/>
  <c r="C268" i="25"/>
  <c r="C266" i="25"/>
  <c r="C492" i="25"/>
  <c r="D439" i="25"/>
  <c r="C422" i="25"/>
  <c r="D403" i="25"/>
  <c r="D400" i="25"/>
  <c r="C387" i="25"/>
  <c r="C386" i="25"/>
  <c r="D374" i="25"/>
  <c r="D366" i="25"/>
  <c r="D362" i="25"/>
  <c r="C361" i="25"/>
  <c r="D358" i="25"/>
  <c r="C357" i="25"/>
  <c r="D354" i="25"/>
  <c r="C353" i="25"/>
  <c r="D350" i="25"/>
  <c r="C349" i="25"/>
  <c r="D346" i="25"/>
  <c r="C345" i="25"/>
  <c r="C343" i="25"/>
  <c r="C342" i="25"/>
  <c r="D340" i="25"/>
  <c r="C335" i="25"/>
  <c r="C334" i="25"/>
  <c r="D332" i="25"/>
  <c r="C327" i="25"/>
  <c r="C326" i="25"/>
  <c r="D324" i="25"/>
  <c r="C319" i="25"/>
  <c r="C318" i="25"/>
  <c r="D316" i="25"/>
  <c r="C311" i="25"/>
  <c r="C310" i="25"/>
  <c r="D308" i="25"/>
  <c r="C303" i="25"/>
  <c r="C302" i="25"/>
  <c r="D300" i="25"/>
  <c r="C295" i="25"/>
  <c r="C294" i="25"/>
  <c r="D292" i="25"/>
  <c r="C287" i="25"/>
  <c r="C286" i="25"/>
  <c r="D284" i="25"/>
  <c r="C279" i="25"/>
  <c r="C277" i="25"/>
  <c r="C275" i="25"/>
  <c r="C273" i="25"/>
  <c r="C271" i="25"/>
  <c r="C269" i="25"/>
  <c r="C267" i="25"/>
  <c r="C265" i="25"/>
  <c r="C263" i="25"/>
  <c r="C261" i="25"/>
  <c r="C259" i="25"/>
  <c r="C257" i="25"/>
  <c r="C255" i="25"/>
  <c r="C253" i="25"/>
  <c r="C251" i="25"/>
  <c r="C249" i="25"/>
  <c r="C247" i="25"/>
  <c r="C245" i="25"/>
  <c r="C243" i="25"/>
  <c r="C241" i="25"/>
  <c r="C239" i="25"/>
  <c r="C237" i="25"/>
  <c r="C235" i="25"/>
  <c r="C233" i="25"/>
  <c r="C231" i="25"/>
  <c r="C229" i="25"/>
  <c r="C227" i="25"/>
  <c r="C394" i="25"/>
  <c r="C337" i="25"/>
  <c r="C336" i="25"/>
  <c r="D318" i="25"/>
  <c r="C305" i="25"/>
  <c r="C304" i="25"/>
  <c r="D286" i="25"/>
  <c r="D271" i="25"/>
  <c r="C260" i="25"/>
  <c r="D259" i="25"/>
  <c r="D258" i="25"/>
  <c r="C252" i="25"/>
  <c r="D251" i="25"/>
  <c r="D250" i="25"/>
  <c r="C244" i="25"/>
  <c r="D243" i="25"/>
  <c r="D242" i="25"/>
  <c r="C236" i="25"/>
  <c r="D235" i="25"/>
  <c r="D234" i="25"/>
  <c r="C228" i="25"/>
  <c r="D227" i="25"/>
  <c r="D226" i="25"/>
  <c r="C225" i="25"/>
  <c r="C223" i="25"/>
  <c r="C221" i="25"/>
  <c r="C219" i="25"/>
  <c r="C217" i="25"/>
  <c r="C215" i="25"/>
  <c r="C213" i="25"/>
  <c r="C211" i="25"/>
  <c r="C209" i="25"/>
  <c r="C207" i="25"/>
  <c r="C205" i="25"/>
  <c r="C203" i="25"/>
  <c r="C201" i="25"/>
  <c r="C199" i="25"/>
  <c r="C197" i="25"/>
  <c r="C195" i="25"/>
  <c r="C193" i="25"/>
  <c r="C191" i="25"/>
  <c r="C189" i="25"/>
  <c r="C187" i="25"/>
  <c r="C185" i="25"/>
  <c r="C183" i="25"/>
  <c r="C181" i="25"/>
  <c r="C179" i="25"/>
  <c r="C177" i="25"/>
  <c r="C175" i="25"/>
  <c r="C173" i="25"/>
  <c r="C171" i="25"/>
  <c r="C169" i="25"/>
  <c r="C167" i="25"/>
  <c r="C165" i="25"/>
  <c r="C163" i="25"/>
  <c r="C161" i="25"/>
  <c r="C159" i="25"/>
  <c r="C157" i="25"/>
  <c r="C155" i="25"/>
  <c r="C153" i="25"/>
  <c r="C151" i="25"/>
  <c r="C149" i="25"/>
  <c r="C147" i="25"/>
  <c r="C145" i="25"/>
  <c r="C143" i="25"/>
  <c r="C141" i="25"/>
  <c r="C139" i="25"/>
  <c r="C137" i="25"/>
  <c r="C135" i="25"/>
  <c r="C133" i="25"/>
  <c r="C131" i="25"/>
  <c r="C129" i="25"/>
  <c r="C127" i="25"/>
  <c r="C125" i="25"/>
  <c r="C123" i="25"/>
  <c r="C121" i="25"/>
  <c r="D372" i="25"/>
  <c r="D342" i="25"/>
  <c r="C329" i="25"/>
  <c r="C328" i="25"/>
  <c r="D310" i="25"/>
  <c r="C297" i="25"/>
  <c r="C296" i="25"/>
  <c r="D273" i="25"/>
  <c r="D265" i="25"/>
  <c r="D264" i="25"/>
  <c r="C258" i="25"/>
  <c r="D257" i="25"/>
  <c r="D256" i="25"/>
  <c r="C250" i="25"/>
  <c r="D249" i="25"/>
  <c r="D248" i="25"/>
  <c r="C242" i="25"/>
  <c r="D241" i="25"/>
  <c r="D240" i="25"/>
  <c r="C234" i="25"/>
  <c r="D233" i="25"/>
  <c r="D232" i="25"/>
  <c r="C226" i="25"/>
  <c r="D224" i="25"/>
  <c r="D222" i="25"/>
  <c r="D220" i="25"/>
  <c r="C344" i="25"/>
  <c r="D326" i="25"/>
  <c r="C313" i="25"/>
  <c r="C312" i="25"/>
  <c r="D294" i="25"/>
  <c r="C281" i="25"/>
  <c r="C280" i="25"/>
  <c r="D277" i="25"/>
  <c r="D269" i="25"/>
  <c r="C262" i="25"/>
  <c r="D261" i="25"/>
  <c r="D260" i="25"/>
  <c r="C254" i="25"/>
  <c r="D253" i="25"/>
  <c r="D252" i="25"/>
  <c r="C246" i="25"/>
  <c r="D245" i="25"/>
  <c r="D244" i="25"/>
  <c r="C238" i="25"/>
  <c r="D237" i="25"/>
  <c r="D236" i="25"/>
  <c r="C230" i="25"/>
  <c r="D229" i="25"/>
  <c r="D228" i="25"/>
  <c r="D225" i="25"/>
  <c r="D223" i="25"/>
  <c r="D221" i="25"/>
  <c r="D219" i="25"/>
  <c r="D217" i="25"/>
  <c r="D215" i="25"/>
  <c r="D213" i="25"/>
  <c r="D211" i="25"/>
  <c r="D209" i="25"/>
  <c r="D207" i="25"/>
  <c r="D205" i="25"/>
  <c r="D203" i="25"/>
  <c r="D201" i="25"/>
  <c r="D199" i="25"/>
  <c r="D197" i="25"/>
  <c r="D195" i="25"/>
  <c r="D193" i="25"/>
  <c r="D191" i="25"/>
  <c r="D189" i="25"/>
  <c r="D187" i="25"/>
  <c r="D185" i="25"/>
  <c r="D183" i="25"/>
  <c r="D181" i="25"/>
  <c r="D179" i="25"/>
  <c r="D177" i="25"/>
  <c r="D175" i="25"/>
  <c r="D173" i="25"/>
  <c r="D171" i="25"/>
  <c r="D169" i="25"/>
  <c r="D167" i="25"/>
  <c r="D165" i="25"/>
  <c r="D163" i="25"/>
  <c r="D161" i="25"/>
  <c r="D159" i="25"/>
  <c r="D157" i="25"/>
  <c r="D155" i="25"/>
  <c r="D153" i="25"/>
  <c r="D151" i="25"/>
  <c r="D149" i="25"/>
  <c r="D147" i="25"/>
  <c r="D145" i="25"/>
  <c r="D143" i="25"/>
  <c r="D141" i="25"/>
  <c r="D139" i="25"/>
  <c r="D137" i="25"/>
  <c r="D135" i="25"/>
  <c r="D133" i="25"/>
  <c r="D131" i="25"/>
  <c r="D129" i="25"/>
  <c r="D127" i="25"/>
  <c r="D125" i="25"/>
  <c r="D123" i="25"/>
  <c r="D121" i="25"/>
  <c r="D119" i="25"/>
  <c r="D117" i="25"/>
  <c r="D115" i="25"/>
  <c r="D113" i="25"/>
  <c r="D111" i="25"/>
  <c r="D109" i="25"/>
  <c r="D107" i="25"/>
  <c r="D105" i="25"/>
  <c r="D103" i="25"/>
  <c r="D101" i="25"/>
  <c r="D99" i="25"/>
  <c r="D97" i="25"/>
  <c r="D95" i="25"/>
  <c r="D93" i="25"/>
  <c r="D91" i="25"/>
  <c r="D89" i="25"/>
  <c r="D87" i="25"/>
  <c r="D85" i="25"/>
  <c r="D83" i="25"/>
  <c r="D81" i="25"/>
  <c r="D79" i="25"/>
  <c r="D77" i="25"/>
  <c r="D75" i="25"/>
  <c r="D73" i="25"/>
  <c r="D71" i="25"/>
  <c r="D69" i="25"/>
  <c r="D67" i="25"/>
  <c r="D65" i="25"/>
  <c r="D63" i="25"/>
  <c r="D61" i="25"/>
  <c r="D59" i="25"/>
  <c r="D57" i="25"/>
  <c r="D55" i="25"/>
  <c r="D53" i="25"/>
  <c r="D51" i="25"/>
  <c r="D49" i="25"/>
  <c r="D47" i="25"/>
  <c r="D45" i="25"/>
  <c r="D43" i="25"/>
  <c r="D41" i="25"/>
  <c r="D39" i="25"/>
  <c r="D37" i="25"/>
  <c r="D35" i="25"/>
  <c r="D33" i="25"/>
  <c r="D31" i="25"/>
  <c r="D29" i="25"/>
  <c r="D376" i="25"/>
  <c r="C289" i="25"/>
  <c r="D275" i="25"/>
  <c r="D262" i="25"/>
  <c r="C256" i="25"/>
  <c r="D255" i="25"/>
  <c r="D230" i="25"/>
  <c r="C224" i="25"/>
  <c r="D218" i="25"/>
  <c r="D214" i="25"/>
  <c r="D210" i="25"/>
  <c r="D206" i="25"/>
  <c r="D202" i="25"/>
  <c r="D198" i="25"/>
  <c r="D194" i="25"/>
  <c r="D190" i="25"/>
  <c r="D186" i="25"/>
  <c r="D182" i="25"/>
  <c r="D178" i="25"/>
  <c r="D174" i="25"/>
  <c r="D170" i="25"/>
  <c r="D166" i="25"/>
  <c r="D162" i="25"/>
  <c r="D158" i="25"/>
  <c r="D154" i="25"/>
  <c r="D150" i="25"/>
  <c r="D146" i="25"/>
  <c r="D142" i="25"/>
  <c r="D138" i="25"/>
  <c r="D134" i="25"/>
  <c r="D130" i="25"/>
  <c r="D126" i="25"/>
  <c r="D122" i="25"/>
  <c r="C115" i="25"/>
  <c r="C114" i="25"/>
  <c r="D112" i="25"/>
  <c r="C107" i="25"/>
  <c r="C106" i="25"/>
  <c r="D104" i="25"/>
  <c r="C99" i="25"/>
  <c r="C98" i="25"/>
  <c r="D96" i="25"/>
  <c r="C91" i="25"/>
  <c r="C90" i="25"/>
  <c r="D88" i="25"/>
  <c r="C83" i="25"/>
  <c r="C82" i="25"/>
  <c r="D80" i="25"/>
  <c r="C75" i="25"/>
  <c r="C74" i="25"/>
  <c r="D72" i="25"/>
  <c r="C67" i="25"/>
  <c r="C66" i="25"/>
  <c r="D64" i="25"/>
  <c r="C59" i="25"/>
  <c r="C50" i="25"/>
  <c r="D48" i="25"/>
  <c r="C27" i="25"/>
  <c r="C320" i="25"/>
  <c r="D254" i="25"/>
  <c r="C248" i="25"/>
  <c r="D247" i="25"/>
  <c r="C218" i="25"/>
  <c r="C214" i="25"/>
  <c r="C210" i="25"/>
  <c r="C206" i="25"/>
  <c r="C202" i="25"/>
  <c r="C198" i="25"/>
  <c r="C194" i="25"/>
  <c r="C190" i="25"/>
  <c r="C186" i="25"/>
  <c r="C182" i="25"/>
  <c r="C178" i="25"/>
  <c r="C174" i="25"/>
  <c r="C170" i="25"/>
  <c r="C166" i="25"/>
  <c r="C162" i="25"/>
  <c r="C158" i="25"/>
  <c r="C154" i="25"/>
  <c r="C150" i="25"/>
  <c r="C146" i="25"/>
  <c r="C142" i="25"/>
  <c r="C138" i="25"/>
  <c r="C134" i="25"/>
  <c r="C130" i="25"/>
  <c r="C126" i="25"/>
  <c r="C122" i="25"/>
  <c r="D118" i="25"/>
  <c r="C113" i="25"/>
  <c r="C112" i="25"/>
  <c r="D110" i="25"/>
  <c r="C105" i="25"/>
  <c r="C104" i="25"/>
  <c r="D102" i="25"/>
  <c r="C97" i="25"/>
  <c r="C96" i="25"/>
  <c r="D94" i="25"/>
  <c r="C89" i="25"/>
  <c r="C88" i="25"/>
  <c r="D86" i="25"/>
  <c r="C81" i="25"/>
  <c r="C80" i="25"/>
  <c r="D78" i="25"/>
  <c r="C73" i="25"/>
  <c r="C72" i="25"/>
  <c r="D70" i="25"/>
  <c r="C65" i="25"/>
  <c r="C64" i="25"/>
  <c r="D62" i="25"/>
  <c r="C57" i="25"/>
  <c r="C56" i="25"/>
  <c r="D54" i="25"/>
  <c r="C49" i="25"/>
  <c r="C48" i="25"/>
  <c r="D46" i="25"/>
  <c r="C41" i="25"/>
  <c r="C40" i="25"/>
  <c r="C395" i="25"/>
  <c r="C321" i="25"/>
  <c r="D302" i="25"/>
  <c r="D267" i="25"/>
  <c r="C264" i="25"/>
  <c r="D263" i="25"/>
  <c r="D238" i="25"/>
  <c r="C232" i="25"/>
  <c r="D231" i="25"/>
  <c r="C222" i="25"/>
  <c r="C216" i="25"/>
  <c r="C212" i="25"/>
  <c r="C208" i="25"/>
  <c r="C204" i="25"/>
  <c r="C200" i="25"/>
  <c r="C196" i="25"/>
  <c r="C192" i="25"/>
  <c r="C188" i="25"/>
  <c r="C184" i="25"/>
  <c r="C180" i="25"/>
  <c r="C176" i="25"/>
  <c r="C172" i="25"/>
  <c r="C168" i="25"/>
  <c r="C164" i="25"/>
  <c r="C160" i="25"/>
  <c r="C156" i="25"/>
  <c r="C152" i="25"/>
  <c r="C148" i="25"/>
  <c r="C144" i="25"/>
  <c r="C140" i="25"/>
  <c r="C136" i="25"/>
  <c r="C132" i="25"/>
  <c r="C128" i="25"/>
  <c r="C124" i="25"/>
  <c r="C120" i="25"/>
  <c r="C117" i="25"/>
  <c r="C116" i="25"/>
  <c r="D114" i="25"/>
  <c r="C109" i="25"/>
  <c r="C108" i="25"/>
  <c r="D106" i="25"/>
  <c r="C101" i="25"/>
  <c r="C100" i="25"/>
  <c r="D98" i="25"/>
  <c r="C93" i="25"/>
  <c r="C92" i="25"/>
  <c r="D90" i="25"/>
  <c r="C85" i="25"/>
  <c r="C84" i="25"/>
  <c r="D82" i="25"/>
  <c r="C77" i="25"/>
  <c r="C76" i="25"/>
  <c r="D74" i="25"/>
  <c r="C69" i="25"/>
  <c r="C68" i="25"/>
  <c r="D66" i="25"/>
  <c r="C61" i="25"/>
  <c r="C60" i="25"/>
  <c r="D58" i="25"/>
  <c r="C53" i="25"/>
  <c r="C52" i="25"/>
  <c r="D50" i="25"/>
  <c r="C45" i="25"/>
  <c r="C44" i="25"/>
  <c r="D42" i="25"/>
  <c r="C37" i="25"/>
  <c r="C36" i="25"/>
  <c r="D34" i="25"/>
  <c r="C29" i="25"/>
  <c r="D27" i="25"/>
  <c r="D25" i="25"/>
  <c r="D23" i="25"/>
  <c r="D21" i="25"/>
  <c r="D19" i="25"/>
  <c r="D17" i="25"/>
  <c r="D15" i="25"/>
  <c r="D13" i="25"/>
  <c r="C58" i="25"/>
  <c r="D56" i="25"/>
  <c r="C51" i="25"/>
  <c r="C43" i="25"/>
  <c r="C42" i="25"/>
  <c r="D40" i="25"/>
  <c r="C35" i="25"/>
  <c r="C34" i="25"/>
  <c r="D32" i="25"/>
  <c r="D334" i="25"/>
  <c r="D216" i="25"/>
  <c r="D200" i="25"/>
  <c r="D184" i="25"/>
  <c r="D168" i="25"/>
  <c r="D152" i="25"/>
  <c r="D136" i="25"/>
  <c r="D120" i="25"/>
  <c r="C119" i="25"/>
  <c r="C118" i="25"/>
  <c r="D100" i="25"/>
  <c r="C87" i="25"/>
  <c r="C86" i="25"/>
  <c r="D68" i="25"/>
  <c r="C55" i="25"/>
  <c r="C54" i="25"/>
  <c r="D36" i="25"/>
  <c r="C30" i="25"/>
  <c r="C26" i="25"/>
  <c r="C25" i="25"/>
  <c r="C24" i="25"/>
  <c r="D22" i="25"/>
  <c r="D14" i="25"/>
  <c r="D128" i="25"/>
  <c r="D116" i="25"/>
  <c r="D84" i="25"/>
  <c r="C70" i="25"/>
  <c r="C38" i="25"/>
  <c r="C13" i="25"/>
  <c r="D246" i="25"/>
  <c r="C240" i="25"/>
  <c r="D204" i="25"/>
  <c r="D188" i="25"/>
  <c r="D172" i="25"/>
  <c r="D156" i="25"/>
  <c r="D140" i="25"/>
  <c r="D124" i="25"/>
  <c r="C111" i="25"/>
  <c r="C110" i="25"/>
  <c r="D92" i="25"/>
  <c r="C79" i="25"/>
  <c r="C78" i="25"/>
  <c r="D60" i="25"/>
  <c r="C47" i="25"/>
  <c r="C46" i="25"/>
  <c r="C39" i="25"/>
  <c r="D38" i="25"/>
  <c r="D28" i="25"/>
  <c r="C23" i="25"/>
  <c r="C22" i="25"/>
  <c r="D20" i="25"/>
  <c r="C15" i="25"/>
  <c r="C288" i="25"/>
  <c r="C220" i="25"/>
  <c r="D192" i="25"/>
  <c r="D176" i="25"/>
  <c r="D160" i="25"/>
  <c r="D144" i="25"/>
  <c r="C103" i="25"/>
  <c r="C71" i="25"/>
  <c r="C21" i="25"/>
  <c r="C20" i="25"/>
  <c r="D18" i="25"/>
  <c r="D239" i="25"/>
  <c r="D212" i="25"/>
  <c r="D196" i="25"/>
  <c r="D180" i="25"/>
  <c r="D164" i="25"/>
  <c r="D148" i="25"/>
  <c r="D132" i="25"/>
  <c r="D108" i="25"/>
  <c r="C95" i="25"/>
  <c r="C94" i="25"/>
  <c r="D76" i="25"/>
  <c r="C63" i="25"/>
  <c r="C62" i="25"/>
  <c r="D44" i="25"/>
  <c r="C33" i="25"/>
  <c r="C31" i="25"/>
  <c r="D30" i="25"/>
  <c r="D26" i="25"/>
  <c r="D24" i="25"/>
  <c r="C19" i="25"/>
  <c r="C18" i="25"/>
  <c r="D16" i="25"/>
  <c r="C17" i="25"/>
  <c r="C16" i="25"/>
  <c r="C14" i="25"/>
  <c r="D208" i="25"/>
  <c r="C102" i="25"/>
  <c r="D52" i="25"/>
  <c r="C32" i="25"/>
  <c r="C28" i="25"/>
  <c r="C626" i="25"/>
  <c r="AA626" i="25" s="1"/>
  <c r="E636" i="25" s="1"/>
  <c r="D626" i="25"/>
  <c r="AB626" i="25" s="1"/>
  <c r="C628" i="25"/>
  <c r="D628" i="25"/>
  <c r="C623" i="25"/>
  <c r="D623" i="25"/>
  <c r="AT64" i="23"/>
  <c r="AV64" i="23" s="1"/>
  <c r="AZ64" i="23" s="1"/>
  <c r="BB100" i="23"/>
  <c r="BC38" i="23"/>
  <c r="AW38" i="23" s="1"/>
  <c r="AT76" i="23"/>
  <c r="AV76" i="23" s="1"/>
  <c r="AZ76" i="23" s="1"/>
  <c r="BB61" i="23"/>
  <c r="BB64" i="23"/>
  <c r="U10" i="21"/>
  <c r="AT38" i="23"/>
  <c r="AV38" i="23" s="1"/>
  <c r="AZ38" i="23" s="1"/>
  <c r="BB107" i="23"/>
  <c r="BB80" i="23"/>
  <c r="AT78" i="23"/>
  <c r="AV78" i="23" s="1"/>
  <c r="AZ78" i="23" s="1"/>
  <c r="AT68" i="23"/>
  <c r="AV68" i="23" s="1"/>
  <c r="AZ68" i="23" s="1"/>
  <c r="BB43" i="23"/>
  <c r="BB78" i="23"/>
  <c r="BB29" i="23"/>
  <c r="BB95" i="23"/>
  <c r="AT96" i="23"/>
  <c r="AV96" i="23" s="1"/>
  <c r="AZ96" i="23" s="1"/>
  <c r="AT95" i="23"/>
  <c r="AV95" i="23" s="1"/>
  <c r="AZ95" i="23" s="1"/>
  <c r="AT32" i="23"/>
  <c r="AV32" i="23" s="1"/>
  <c r="AZ32" i="23" s="1"/>
  <c r="BB93" i="23"/>
  <c r="BC107" i="23"/>
  <c r="AW107" i="23" s="1"/>
  <c r="BB62" i="23"/>
  <c r="BB79" i="23"/>
  <c r="AT84" i="23"/>
  <c r="AV84" i="23" s="1"/>
  <c r="AZ84" i="23" s="1"/>
  <c r="BC26" i="23"/>
  <c r="AW26" i="23" s="1"/>
  <c r="AT100" i="23"/>
  <c r="AV100" i="23" s="1"/>
  <c r="AZ100" i="23" s="1"/>
  <c r="BC93" i="23"/>
  <c r="AW93" i="23" s="1"/>
  <c r="AT22" i="23"/>
  <c r="AV22" i="23" s="1"/>
  <c r="AZ22" i="23" s="1"/>
  <c r="BB21" i="23"/>
  <c r="AT26" i="23"/>
  <c r="AV26" i="23" s="1"/>
  <c r="AZ26" i="23" s="1"/>
  <c r="BB105" i="23"/>
  <c r="AT79" i="23"/>
  <c r="AV79" i="23" s="1"/>
  <c r="AZ79" i="23" s="1"/>
  <c r="BB91" i="23"/>
  <c r="AT43" i="23"/>
  <c r="AV43" i="23" s="1"/>
  <c r="AZ43" i="23" s="1"/>
  <c r="BC29" i="23"/>
  <c r="AW29" i="23" s="1"/>
  <c r="AT90" i="23"/>
  <c r="AV90" i="23" s="1"/>
  <c r="AZ90" i="23" s="1"/>
  <c r="AT74" i="23"/>
  <c r="AV74" i="23" s="1"/>
  <c r="AZ74" i="23" s="1"/>
  <c r="BB90" i="23"/>
  <c r="BB17" i="23"/>
  <c r="BB59" i="23"/>
  <c r="AT89" i="23"/>
  <c r="AV89" i="23" s="1"/>
  <c r="AZ89" i="23" s="1"/>
  <c r="BC24" i="23"/>
  <c r="AW24" i="23" s="1"/>
  <c r="BC17" i="23"/>
  <c r="AW17" i="23" s="1"/>
  <c r="AT59" i="23"/>
  <c r="AV59" i="23" s="1"/>
  <c r="H3" i="23" s="1"/>
  <c r="AT77" i="23"/>
  <c r="AV77" i="23" s="1"/>
  <c r="AZ77" i="23" s="1"/>
  <c r="AT61" i="23"/>
  <c r="AV61" i="23" s="1"/>
  <c r="AZ61" i="23" s="1"/>
  <c r="AT10" i="23"/>
  <c r="AV10" i="23" s="1"/>
  <c r="AZ10" i="23" s="1"/>
  <c r="BB74" i="23"/>
  <c r="BB35" i="23"/>
  <c r="AT60" i="23"/>
  <c r="AV60" i="23" s="1"/>
  <c r="AZ60" i="23" s="1"/>
  <c r="AT50" i="23"/>
  <c r="AV50" i="23" s="1"/>
  <c r="AZ50" i="23" s="1"/>
  <c r="AT39" i="23"/>
  <c r="AV39" i="23" s="1"/>
  <c r="AZ39" i="23" s="1"/>
  <c r="AT54" i="23"/>
  <c r="AV54" i="23" s="1"/>
  <c r="AZ54" i="23" s="1"/>
  <c r="AT75" i="23"/>
  <c r="AV75" i="23" s="1"/>
  <c r="AZ75" i="23" s="1"/>
  <c r="BB75" i="23"/>
  <c r="AT94" i="23"/>
  <c r="AV94" i="23" s="1"/>
  <c r="AZ94" i="23" s="1"/>
  <c r="AT31" i="23"/>
  <c r="AV31" i="23" s="1"/>
  <c r="AZ31" i="23" s="1"/>
  <c r="AT16" i="23"/>
  <c r="AV16" i="23" s="1"/>
  <c r="AZ16" i="23" s="1"/>
  <c r="BB37" i="23"/>
  <c r="AT30" i="23"/>
  <c r="AV30" i="23" s="1"/>
  <c r="AZ30" i="23" s="1"/>
  <c r="BB19" i="23"/>
  <c r="BB54" i="23"/>
  <c r="BB32" i="23"/>
  <c r="BB30" i="23"/>
  <c r="BB94" i="23"/>
  <c r="BB108" i="23"/>
  <c r="AT102" i="23"/>
  <c r="AV102" i="23" s="1"/>
  <c r="AZ102" i="23" s="1"/>
  <c r="AT98" i="23"/>
  <c r="AV98" i="23" s="1"/>
  <c r="AZ98" i="23" s="1"/>
  <c r="AT21" i="23"/>
  <c r="AV21" i="23" s="1"/>
  <c r="AZ21" i="23" s="1"/>
  <c r="AT12" i="23"/>
  <c r="AV12" i="23" s="1"/>
  <c r="AZ12" i="23" s="1"/>
  <c r="AT103" i="23"/>
  <c r="AV103" i="23" s="1"/>
  <c r="AZ103" i="23" s="1"/>
  <c r="BB50" i="23"/>
  <c r="AT19" i="23"/>
  <c r="AV19" i="23" s="1"/>
  <c r="AZ19" i="23" s="1"/>
  <c r="AT66" i="23"/>
  <c r="AV66" i="23" s="1"/>
  <c r="AZ66" i="23" s="1"/>
  <c r="BB46" i="23"/>
  <c r="AT37" i="23"/>
  <c r="AV37" i="23" s="1"/>
  <c r="AZ37" i="23" s="1"/>
  <c r="BB86" i="23"/>
  <c r="BB71" i="23"/>
  <c r="BB102" i="23"/>
  <c r="AT67" i="23"/>
  <c r="AV67" i="23" s="1"/>
  <c r="AZ67" i="23" s="1"/>
  <c r="AT46" i="23"/>
  <c r="AV46" i="23" s="1"/>
  <c r="AZ46" i="23" s="1"/>
  <c r="AT86" i="23"/>
  <c r="AV86" i="23" s="1"/>
  <c r="AZ86" i="23" s="1"/>
  <c r="AT70" i="23"/>
  <c r="AV70" i="23" s="1"/>
  <c r="AZ70" i="23" s="1"/>
  <c r="BB70" i="23"/>
  <c r="BB88" i="23"/>
  <c r="BC34" i="23"/>
  <c r="AW34" i="23" s="1"/>
  <c r="AT99" i="23"/>
  <c r="AV99" i="23" s="1"/>
  <c r="AZ99" i="23" s="1"/>
  <c r="BB12" i="23"/>
  <c r="AT34" i="23"/>
  <c r="AV34" i="23" s="1"/>
  <c r="AZ34" i="23" s="1"/>
  <c r="BC99" i="23"/>
  <c r="AW99" i="23" s="1"/>
  <c r="AT88" i="23"/>
  <c r="AV88" i="23" s="1"/>
  <c r="AZ88" i="23" s="1"/>
  <c r="AT18" i="23"/>
  <c r="AV18" i="23" s="1"/>
  <c r="AZ18" i="23" s="1"/>
  <c r="BB22" i="23"/>
  <c r="BB96" i="23"/>
  <c r="BB18" i="23"/>
  <c r="BC105" i="23"/>
  <c r="AW105" i="23" s="1"/>
  <c r="BC16" i="23"/>
  <c r="AW16" i="23" s="1"/>
  <c r="BC66" i="23"/>
  <c r="AW66" i="23" s="1"/>
  <c r="BC71" i="23"/>
  <c r="AW71" i="23" s="1"/>
  <c r="BC68" i="23"/>
  <c r="AW68" i="23" s="1"/>
  <c r="AT36" i="23"/>
  <c r="AV36" i="23" s="1"/>
  <c r="AZ36" i="23" s="1"/>
  <c r="AT82" i="23"/>
  <c r="AV82" i="23" s="1"/>
  <c r="AZ82" i="23" s="1"/>
  <c r="BB101" i="23"/>
  <c r="BB98" i="23"/>
  <c r="BB84" i="23"/>
  <c r="BB97" i="23"/>
  <c r="BB47" i="23"/>
  <c r="BB89" i="23"/>
  <c r="BB31" i="23"/>
  <c r="BB10" i="23"/>
  <c r="AT91" i="23"/>
  <c r="AV91" i="23" s="1"/>
  <c r="AZ91" i="23" s="1"/>
  <c r="AT47" i="23"/>
  <c r="AV47" i="23" s="1"/>
  <c r="AZ47" i="23" s="1"/>
  <c r="BC108" i="23"/>
  <c r="AW108" i="23" s="1"/>
  <c r="BC36" i="23"/>
  <c r="AW36" i="23" s="1"/>
  <c r="BC103" i="23"/>
  <c r="AW103" i="23" s="1"/>
  <c r="AT62" i="23"/>
  <c r="AV62" i="23" s="1"/>
  <c r="AZ62" i="23" s="1"/>
  <c r="BC67" i="23"/>
  <c r="AW67" i="23" s="1"/>
  <c r="BC101" i="23"/>
  <c r="AW101" i="23" s="1"/>
  <c r="BC57" i="23"/>
  <c r="AW57" i="23" s="1"/>
  <c r="BC80" i="23"/>
  <c r="AW80" i="23" s="1"/>
  <c r="AT33" i="23"/>
  <c r="AV33" i="23" s="1"/>
  <c r="AZ33" i="23" s="1"/>
  <c r="AT14" i="23"/>
  <c r="AV14" i="23" s="1"/>
  <c r="AZ14" i="23" s="1"/>
  <c r="BB14" i="23"/>
  <c r="BB83" i="23"/>
  <c r="BB60" i="23"/>
  <c r="BC33" i="23"/>
  <c r="AW33" i="23" s="1"/>
  <c r="AT83" i="23"/>
  <c r="AV83" i="23" s="1"/>
  <c r="AZ83" i="23" s="1"/>
  <c r="BC39" i="23"/>
  <c r="AW39" i="23" s="1"/>
  <c r="BB44" i="23"/>
  <c r="BB82" i="23"/>
  <c r="AT24" i="23"/>
  <c r="AV24" i="23" s="1"/>
  <c r="AZ24" i="23" s="1"/>
  <c r="BB57" i="23"/>
  <c r="BC97" i="23"/>
  <c r="AW97" i="23" s="1"/>
  <c r="BB77" i="23"/>
  <c r="AZ109" i="23"/>
  <c r="H4" i="23"/>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N16" i="8"/>
  <c r="E36" i="1"/>
  <c r="K4" i="17"/>
  <c r="H622" i="25" l="1"/>
  <c r="G622" i="25"/>
  <c r="AT10" i="21"/>
  <c r="AV10" i="21" s="1"/>
  <c r="AZ10" i="21" s="1"/>
  <c r="O622" i="25"/>
  <c r="P622" i="25"/>
  <c r="AA623" i="25"/>
  <c r="E633" i="25" s="1"/>
  <c r="AB623" i="25"/>
  <c r="P612" i="25"/>
  <c r="AB612" i="25" s="1"/>
  <c r="P610" i="25"/>
  <c r="AB610" i="25" s="1"/>
  <c r="P613" i="25"/>
  <c r="AB613" i="25" s="1"/>
  <c r="P608" i="25"/>
  <c r="AB608" i="25" s="1"/>
  <c r="P607" i="25"/>
  <c r="AB607" i="25" s="1"/>
  <c r="P605" i="25"/>
  <c r="AB605" i="25" s="1"/>
  <c r="P603" i="25"/>
  <c r="AB603" i="25" s="1"/>
  <c r="P601" i="25"/>
  <c r="AB601" i="25" s="1"/>
  <c r="P599" i="25"/>
  <c r="AB599" i="25" s="1"/>
  <c r="P597" i="25"/>
  <c r="AB597" i="25" s="1"/>
  <c r="P611" i="25"/>
  <c r="AB611" i="25" s="1"/>
  <c r="P606" i="25"/>
  <c r="AB606" i="25" s="1"/>
  <c r="P604" i="25"/>
  <c r="AB604" i="25" s="1"/>
  <c r="P602" i="25"/>
  <c r="AB602" i="25" s="1"/>
  <c r="P600" i="25"/>
  <c r="AB600" i="25" s="1"/>
  <c r="P598" i="25"/>
  <c r="AB598" i="25" s="1"/>
  <c r="P596" i="25"/>
  <c r="AB596" i="25" s="1"/>
  <c r="P594" i="25"/>
  <c r="AB594" i="25" s="1"/>
  <c r="P592" i="25"/>
  <c r="AB592" i="25" s="1"/>
  <c r="P591" i="25"/>
  <c r="AB591" i="25" s="1"/>
  <c r="P589" i="25"/>
  <c r="AB589" i="25" s="1"/>
  <c r="P587" i="25"/>
  <c r="AB587" i="25" s="1"/>
  <c r="P585" i="25"/>
  <c r="AB585" i="25" s="1"/>
  <c r="P609" i="25"/>
  <c r="AB609" i="25" s="1"/>
  <c r="P593" i="25"/>
  <c r="AB593" i="25" s="1"/>
  <c r="P588" i="25"/>
  <c r="AB588" i="25" s="1"/>
  <c r="P581" i="25"/>
  <c r="AB581" i="25" s="1"/>
  <c r="P580" i="25"/>
  <c r="AB580" i="25" s="1"/>
  <c r="P590" i="25"/>
  <c r="AB590" i="25" s="1"/>
  <c r="P584" i="25"/>
  <c r="AB584" i="25" s="1"/>
  <c r="P579" i="25"/>
  <c r="AB579" i="25" s="1"/>
  <c r="P578" i="25"/>
  <c r="AB578" i="25" s="1"/>
  <c r="P575" i="25"/>
  <c r="AB575" i="25" s="1"/>
  <c r="P573" i="25"/>
  <c r="AB573" i="25" s="1"/>
  <c r="P571" i="25"/>
  <c r="AB571" i="25" s="1"/>
  <c r="P569" i="25"/>
  <c r="AB569" i="25" s="1"/>
  <c r="P567" i="25"/>
  <c r="AB567" i="25" s="1"/>
  <c r="P565" i="25"/>
  <c r="AB565" i="25" s="1"/>
  <c r="P595" i="25"/>
  <c r="AB595" i="25" s="1"/>
  <c r="P586" i="25"/>
  <c r="AB586" i="25" s="1"/>
  <c r="P583" i="25"/>
  <c r="AB583" i="25" s="1"/>
  <c r="P582" i="25"/>
  <c r="AB582" i="25" s="1"/>
  <c r="P576" i="25"/>
  <c r="AB576" i="25" s="1"/>
  <c r="P574" i="25"/>
  <c r="AB574" i="25" s="1"/>
  <c r="P572" i="25"/>
  <c r="AB572" i="25" s="1"/>
  <c r="P570" i="25"/>
  <c r="AB570" i="25" s="1"/>
  <c r="P568" i="25"/>
  <c r="AB568" i="25" s="1"/>
  <c r="P566" i="25"/>
  <c r="AB566" i="25" s="1"/>
  <c r="P559" i="25"/>
  <c r="AB559" i="25" s="1"/>
  <c r="P558" i="25"/>
  <c r="AB558" i="25" s="1"/>
  <c r="P564" i="25"/>
  <c r="AB564" i="25" s="1"/>
  <c r="P557" i="25"/>
  <c r="AB557" i="25" s="1"/>
  <c r="P556" i="25"/>
  <c r="AB556" i="25" s="1"/>
  <c r="P554" i="25"/>
  <c r="AB554" i="25" s="1"/>
  <c r="P552" i="25"/>
  <c r="AB552" i="25" s="1"/>
  <c r="P550" i="25"/>
  <c r="AB550" i="25" s="1"/>
  <c r="P548" i="25"/>
  <c r="AB548" i="25" s="1"/>
  <c r="P546" i="25"/>
  <c r="AB546" i="25" s="1"/>
  <c r="P544" i="25"/>
  <c r="AB544" i="25" s="1"/>
  <c r="P542" i="25"/>
  <c r="AB542" i="25" s="1"/>
  <c r="P540" i="25"/>
  <c r="AB540" i="25" s="1"/>
  <c r="P538" i="25"/>
  <c r="AB538" i="25" s="1"/>
  <c r="P577" i="25"/>
  <c r="AB577" i="25" s="1"/>
  <c r="P561" i="25"/>
  <c r="AB561" i="25" s="1"/>
  <c r="P560" i="25"/>
  <c r="AB560" i="25" s="1"/>
  <c r="P555" i="25"/>
  <c r="AB555" i="25" s="1"/>
  <c r="P553" i="25"/>
  <c r="AB553" i="25" s="1"/>
  <c r="P551" i="25"/>
  <c r="AB551" i="25" s="1"/>
  <c r="P549" i="25"/>
  <c r="AB549" i="25" s="1"/>
  <c r="P547" i="25"/>
  <c r="AB547" i="25" s="1"/>
  <c r="P545" i="25"/>
  <c r="AB545" i="25" s="1"/>
  <c r="P543" i="25"/>
  <c r="AB543" i="25" s="1"/>
  <c r="P541" i="25"/>
  <c r="AB541" i="25" s="1"/>
  <c r="P539" i="25"/>
  <c r="AB539" i="25" s="1"/>
  <c r="P537" i="25"/>
  <c r="AB537" i="25" s="1"/>
  <c r="P530" i="25"/>
  <c r="AB530" i="25" s="1"/>
  <c r="P529" i="25"/>
  <c r="AB529" i="25" s="1"/>
  <c r="P563" i="25"/>
  <c r="AB563" i="25" s="1"/>
  <c r="P562" i="25"/>
  <c r="AB562" i="25" s="1"/>
  <c r="P536" i="25"/>
  <c r="AB536" i="25" s="1"/>
  <c r="P535" i="25"/>
  <c r="AB535" i="25" s="1"/>
  <c r="P528" i="25"/>
  <c r="AB528" i="25" s="1"/>
  <c r="P527" i="25"/>
  <c r="AB527" i="25" s="1"/>
  <c r="P532" i="25"/>
  <c r="AB532" i="25" s="1"/>
  <c r="P531" i="25"/>
  <c r="AB531" i="25" s="1"/>
  <c r="P526" i="25"/>
  <c r="AB526" i="25" s="1"/>
  <c r="P525" i="25"/>
  <c r="AB525" i="25" s="1"/>
  <c r="P517" i="25"/>
  <c r="AB517" i="25" s="1"/>
  <c r="P516" i="25"/>
  <c r="AB516" i="25" s="1"/>
  <c r="P524" i="25"/>
  <c r="AB524" i="25" s="1"/>
  <c r="P522" i="25"/>
  <c r="AB522" i="25" s="1"/>
  <c r="P515" i="25"/>
  <c r="AB515" i="25" s="1"/>
  <c r="P514" i="25"/>
  <c r="AB514" i="25" s="1"/>
  <c r="P510" i="25"/>
  <c r="AB510" i="25" s="1"/>
  <c r="P508" i="25"/>
  <c r="AB508" i="25" s="1"/>
  <c r="P506" i="25"/>
  <c r="AB506" i="25" s="1"/>
  <c r="P504" i="25"/>
  <c r="AB504" i="25" s="1"/>
  <c r="P502" i="25"/>
  <c r="AB502" i="25" s="1"/>
  <c r="P500" i="25"/>
  <c r="AB500" i="25" s="1"/>
  <c r="P498" i="25"/>
  <c r="AB498" i="25" s="1"/>
  <c r="P496" i="25"/>
  <c r="AB496" i="25" s="1"/>
  <c r="P494" i="25"/>
  <c r="AB494" i="25" s="1"/>
  <c r="P492" i="25"/>
  <c r="AB492" i="25" s="1"/>
  <c r="P490" i="25"/>
  <c r="AB490" i="25" s="1"/>
  <c r="P488" i="25"/>
  <c r="AB488" i="25" s="1"/>
  <c r="P486" i="25"/>
  <c r="AB486" i="25" s="1"/>
  <c r="P484" i="25"/>
  <c r="AB484" i="25" s="1"/>
  <c r="P482" i="25"/>
  <c r="AB482" i="25" s="1"/>
  <c r="P534" i="25"/>
  <c r="AB534" i="25" s="1"/>
  <c r="P533" i="25"/>
  <c r="AB533" i="25" s="1"/>
  <c r="P519" i="25"/>
  <c r="AB519" i="25" s="1"/>
  <c r="P518" i="25"/>
  <c r="AB518" i="25" s="1"/>
  <c r="P511" i="25"/>
  <c r="AB511" i="25" s="1"/>
  <c r="P509" i="25"/>
  <c r="AB509" i="25" s="1"/>
  <c r="P507" i="25"/>
  <c r="AB507" i="25" s="1"/>
  <c r="P505" i="25"/>
  <c r="AB505" i="25" s="1"/>
  <c r="P503" i="25"/>
  <c r="AB503" i="25" s="1"/>
  <c r="P501" i="25"/>
  <c r="AB501" i="25" s="1"/>
  <c r="P499" i="25"/>
  <c r="AB499" i="25" s="1"/>
  <c r="P497" i="25"/>
  <c r="AB497" i="25" s="1"/>
  <c r="P495" i="25"/>
  <c r="AB495" i="25" s="1"/>
  <c r="P493" i="25"/>
  <c r="AB493" i="25" s="1"/>
  <c r="P491" i="25"/>
  <c r="AB491" i="25" s="1"/>
  <c r="P489" i="25"/>
  <c r="AB489" i="25" s="1"/>
  <c r="P487" i="25"/>
  <c r="AB487" i="25" s="1"/>
  <c r="P485" i="25"/>
  <c r="AB485" i="25" s="1"/>
  <c r="P481" i="25"/>
  <c r="AB481" i="25" s="1"/>
  <c r="P474" i="25"/>
  <c r="AB474" i="25" s="1"/>
  <c r="P473" i="25"/>
  <c r="AB473" i="25" s="1"/>
  <c r="P466" i="25"/>
  <c r="AB466" i="25" s="1"/>
  <c r="P465" i="25"/>
  <c r="AB465" i="25" s="1"/>
  <c r="P462" i="25"/>
  <c r="AB462" i="25" s="1"/>
  <c r="P460" i="25"/>
  <c r="AB460" i="25" s="1"/>
  <c r="P458" i="25"/>
  <c r="AB458" i="25" s="1"/>
  <c r="P456" i="25"/>
  <c r="AB456" i="25" s="1"/>
  <c r="P454" i="25"/>
  <c r="AB454" i="25" s="1"/>
  <c r="P452" i="25"/>
  <c r="AB452" i="25" s="1"/>
  <c r="P450" i="25"/>
  <c r="AB450" i="25" s="1"/>
  <c r="P448" i="25"/>
  <c r="AB448" i="25" s="1"/>
  <c r="P446" i="25"/>
  <c r="AB446" i="25" s="1"/>
  <c r="P444" i="25"/>
  <c r="AB444" i="25" s="1"/>
  <c r="P442" i="25"/>
  <c r="AB442" i="25" s="1"/>
  <c r="P440" i="25"/>
  <c r="AB440" i="25" s="1"/>
  <c r="P438" i="25"/>
  <c r="AB438" i="25" s="1"/>
  <c r="P436" i="25"/>
  <c r="AB436" i="25" s="1"/>
  <c r="P434" i="25"/>
  <c r="AB434" i="25" s="1"/>
  <c r="P432" i="25"/>
  <c r="AB432" i="25" s="1"/>
  <c r="P430" i="25"/>
  <c r="AB430" i="25" s="1"/>
  <c r="P428" i="25"/>
  <c r="AB428" i="25" s="1"/>
  <c r="P426" i="25"/>
  <c r="AB426" i="25" s="1"/>
  <c r="P424" i="25"/>
  <c r="AB424" i="25" s="1"/>
  <c r="P422" i="25"/>
  <c r="AB422" i="25" s="1"/>
  <c r="P420" i="25"/>
  <c r="AB420" i="25" s="1"/>
  <c r="P418" i="25"/>
  <c r="AB418" i="25" s="1"/>
  <c r="P416" i="25"/>
  <c r="AB416" i="25" s="1"/>
  <c r="P414" i="25"/>
  <c r="AB414" i="25" s="1"/>
  <c r="P412" i="25"/>
  <c r="AB412" i="25" s="1"/>
  <c r="P410" i="25"/>
  <c r="AB410" i="25" s="1"/>
  <c r="P408" i="25"/>
  <c r="AB408" i="25" s="1"/>
  <c r="P406" i="25"/>
  <c r="AB406" i="25" s="1"/>
  <c r="P404" i="25"/>
  <c r="AB404" i="25" s="1"/>
  <c r="P402" i="25"/>
  <c r="AB402" i="25" s="1"/>
  <c r="P400" i="25"/>
  <c r="AB400" i="25" s="1"/>
  <c r="P523" i="25"/>
  <c r="AB523" i="25" s="1"/>
  <c r="P483" i="25"/>
  <c r="AB483" i="25" s="1"/>
  <c r="P480" i="25"/>
  <c r="AB480" i="25" s="1"/>
  <c r="P479" i="25"/>
  <c r="AB479" i="25" s="1"/>
  <c r="P472" i="25"/>
  <c r="AB472" i="25" s="1"/>
  <c r="P471" i="25"/>
  <c r="AB471" i="25" s="1"/>
  <c r="P464" i="25"/>
  <c r="AB464" i="25" s="1"/>
  <c r="P513" i="25"/>
  <c r="AB513" i="25" s="1"/>
  <c r="P512" i="25"/>
  <c r="AB512" i="25" s="1"/>
  <c r="P476" i="25"/>
  <c r="AB476" i="25" s="1"/>
  <c r="P475" i="25"/>
  <c r="AB475" i="25" s="1"/>
  <c r="P468" i="25"/>
  <c r="AB468" i="25" s="1"/>
  <c r="P467" i="25"/>
  <c r="AB467" i="25" s="1"/>
  <c r="P478" i="25"/>
  <c r="AB478" i="25" s="1"/>
  <c r="P477" i="25"/>
  <c r="AB477" i="25" s="1"/>
  <c r="P459" i="25"/>
  <c r="AB459" i="25" s="1"/>
  <c r="P451" i="25"/>
  <c r="AB451" i="25" s="1"/>
  <c r="P443" i="25"/>
  <c r="AB443" i="25" s="1"/>
  <c r="P435" i="25"/>
  <c r="AB435" i="25" s="1"/>
  <c r="P421" i="25"/>
  <c r="AB421" i="25" s="1"/>
  <c r="P413" i="25"/>
  <c r="AB413" i="25" s="1"/>
  <c r="P405" i="25"/>
  <c r="AB405" i="25" s="1"/>
  <c r="P520" i="25"/>
  <c r="AB520" i="25" s="1"/>
  <c r="P470" i="25"/>
  <c r="AB470" i="25" s="1"/>
  <c r="P469" i="25"/>
  <c r="AB469" i="25" s="1"/>
  <c r="P461" i="25"/>
  <c r="AB461" i="25" s="1"/>
  <c r="P453" i="25"/>
  <c r="AB453" i="25" s="1"/>
  <c r="P445" i="25"/>
  <c r="AB445" i="25" s="1"/>
  <c r="P437" i="25"/>
  <c r="AB437" i="25" s="1"/>
  <c r="P429" i="25"/>
  <c r="AB429" i="25" s="1"/>
  <c r="P427" i="25"/>
  <c r="AB427" i="25" s="1"/>
  <c r="P419" i="25"/>
  <c r="AB419" i="25" s="1"/>
  <c r="P411" i="25"/>
  <c r="AB411" i="25" s="1"/>
  <c r="P403" i="25"/>
  <c r="AB403" i="25" s="1"/>
  <c r="P521" i="25"/>
  <c r="AB521" i="25" s="1"/>
  <c r="P457" i="25"/>
  <c r="AB457" i="25" s="1"/>
  <c r="P449" i="25"/>
  <c r="AB449" i="25" s="1"/>
  <c r="P441" i="25"/>
  <c r="AB441" i="25" s="1"/>
  <c r="P433" i="25"/>
  <c r="AB433" i="25" s="1"/>
  <c r="P423" i="25"/>
  <c r="AB423" i="25" s="1"/>
  <c r="P415" i="25"/>
  <c r="AB415" i="25" s="1"/>
  <c r="P407" i="25"/>
  <c r="AB407" i="25" s="1"/>
  <c r="P399" i="25"/>
  <c r="AB399" i="25" s="1"/>
  <c r="P397" i="25"/>
  <c r="AB397" i="25" s="1"/>
  <c r="P395" i="25"/>
  <c r="AB395" i="25" s="1"/>
  <c r="P393" i="25"/>
  <c r="AB393" i="25" s="1"/>
  <c r="P391" i="25"/>
  <c r="AB391" i="25" s="1"/>
  <c r="P389" i="25"/>
  <c r="AB389" i="25" s="1"/>
  <c r="P387" i="25"/>
  <c r="AB387" i="25" s="1"/>
  <c r="P385" i="25"/>
  <c r="AB385" i="25" s="1"/>
  <c r="P383" i="25"/>
  <c r="AB383" i="25" s="1"/>
  <c r="P381" i="25"/>
  <c r="AB381" i="25" s="1"/>
  <c r="P379" i="25"/>
  <c r="AB379" i="25" s="1"/>
  <c r="P377" i="25"/>
  <c r="AB377" i="25" s="1"/>
  <c r="P375" i="25"/>
  <c r="AB375" i="25" s="1"/>
  <c r="P447" i="25"/>
  <c r="AB447" i="25" s="1"/>
  <c r="P417" i="25"/>
  <c r="AB417" i="25" s="1"/>
  <c r="P394" i="25"/>
  <c r="AB394" i="25" s="1"/>
  <c r="P386" i="25"/>
  <c r="AB386" i="25" s="1"/>
  <c r="P378" i="25"/>
  <c r="AB378" i="25" s="1"/>
  <c r="P373" i="25"/>
  <c r="AB373" i="25" s="1"/>
  <c r="P371" i="25"/>
  <c r="AB371" i="25" s="1"/>
  <c r="P369" i="25"/>
  <c r="AB369" i="25" s="1"/>
  <c r="P367" i="25"/>
  <c r="AB367" i="25" s="1"/>
  <c r="P365" i="25"/>
  <c r="AB365" i="25" s="1"/>
  <c r="P363" i="25"/>
  <c r="AB363" i="25" s="1"/>
  <c r="P361" i="25"/>
  <c r="AB361" i="25" s="1"/>
  <c r="P359" i="25"/>
  <c r="AB359" i="25" s="1"/>
  <c r="P357" i="25"/>
  <c r="AB357" i="25" s="1"/>
  <c r="P355" i="25"/>
  <c r="AB355" i="25" s="1"/>
  <c r="P353" i="25"/>
  <c r="AB353" i="25" s="1"/>
  <c r="P351" i="25"/>
  <c r="AB351" i="25" s="1"/>
  <c r="P349" i="25"/>
  <c r="AB349" i="25" s="1"/>
  <c r="P347" i="25"/>
  <c r="AB347" i="25" s="1"/>
  <c r="P345" i="25"/>
  <c r="AB345" i="25" s="1"/>
  <c r="P343" i="25"/>
  <c r="AB343" i="25" s="1"/>
  <c r="P341" i="25"/>
  <c r="AB341" i="25" s="1"/>
  <c r="P339" i="25"/>
  <c r="AB339" i="25" s="1"/>
  <c r="P337" i="25"/>
  <c r="AB337" i="25" s="1"/>
  <c r="P335" i="25"/>
  <c r="AB335" i="25" s="1"/>
  <c r="P333" i="25"/>
  <c r="AB333" i="25" s="1"/>
  <c r="P331" i="25"/>
  <c r="AB331" i="25" s="1"/>
  <c r="P329" i="25"/>
  <c r="AB329" i="25" s="1"/>
  <c r="P327" i="25"/>
  <c r="AB327" i="25" s="1"/>
  <c r="P325" i="25"/>
  <c r="AB325" i="25" s="1"/>
  <c r="P323" i="25"/>
  <c r="AB323" i="25" s="1"/>
  <c r="P321" i="25"/>
  <c r="AB321" i="25" s="1"/>
  <c r="P319" i="25"/>
  <c r="AB319" i="25" s="1"/>
  <c r="P317" i="25"/>
  <c r="AB317" i="25" s="1"/>
  <c r="P315" i="25"/>
  <c r="AB315" i="25" s="1"/>
  <c r="P313" i="25"/>
  <c r="AB313" i="25" s="1"/>
  <c r="P311" i="25"/>
  <c r="AB311" i="25" s="1"/>
  <c r="P309" i="25"/>
  <c r="AB309" i="25" s="1"/>
  <c r="P307" i="25"/>
  <c r="AB307" i="25" s="1"/>
  <c r="P305" i="25"/>
  <c r="AB305" i="25" s="1"/>
  <c r="P303" i="25"/>
  <c r="AB303" i="25" s="1"/>
  <c r="P301" i="25"/>
  <c r="AB301" i="25" s="1"/>
  <c r="P299" i="25"/>
  <c r="AB299" i="25" s="1"/>
  <c r="P297" i="25"/>
  <c r="AB297" i="25" s="1"/>
  <c r="P295" i="25"/>
  <c r="AB295" i="25" s="1"/>
  <c r="P293" i="25"/>
  <c r="AB293" i="25" s="1"/>
  <c r="P291" i="25"/>
  <c r="AB291" i="25" s="1"/>
  <c r="P289" i="25"/>
  <c r="AB289" i="25" s="1"/>
  <c r="P287" i="25"/>
  <c r="AB287" i="25" s="1"/>
  <c r="P285" i="25"/>
  <c r="AB285" i="25" s="1"/>
  <c r="P283" i="25"/>
  <c r="AB283" i="25" s="1"/>
  <c r="P281" i="25"/>
  <c r="AB281" i="25" s="1"/>
  <c r="P279" i="25"/>
  <c r="AB279" i="25" s="1"/>
  <c r="P455" i="25"/>
  <c r="AB455" i="25" s="1"/>
  <c r="P409" i="25"/>
  <c r="AB409" i="25" s="1"/>
  <c r="P392" i="25"/>
  <c r="AB392" i="25" s="1"/>
  <c r="P384" i="25"/>
  <c r="AB384" i="25" s="1"/>
  <c r="P376" i="25"/>
  <c r="AB376" i="25" s="1"/>
  <c r="P439" i="25"/>
  <c r="AB439" i="25" s="1"/>
  <c r="P425" i="25"/>
  <c r="AB425" i="25" s="1"/>
  <c r="P396" i="25"/>
  <c r="AB396" i="25" s="1"/>
  <c r="P388" i="25"/>
  <c r="AB388" i="25" s="1"/>
  <c r="P380" i="25"/>
  <c r="AB380" i="25" s="1"/>
  <c r="P463" i="25"/>
  <c r="AB463" i="25" s="1"/>
  <c r="P401" i="25"/>
  <c r="AB401" i="25" s="1"/>
  <c r="P390" i="25"/>
  <c r="AB390" i="25" s="1"/>
  <c r="P368" i="25"/>
  <c r="AB368" i="25" s="1"/>
  <c r="P362" i="25"/>
  <c r="AB362" i="25" s="1"/>
  <c r="P358" i="25"/>
  <c r="AB358" i="25" s="1"/>
  <c r="P354" i="25"/>
  <c r="AB354" i="25" s="1"/>
  <c r="P350" i="25"/>
  <c r="AB350" i="25" s="1"/>
  <c r="P346" i="25"/>
  <c r="AB346" i="25" s="1"/>
  <c r="P336" i="25"/>
  <c r="AB336" i="25" s="1"/>
  <c r="P328" i="25"/>
  <c r="AB328" i="25" s="1"/>
  <c r="P320" i="25"/>
  <c r="AB320" i="25" s="1"/>
  <c r="P312" i="25"/>
  <c r="AB312" i="25" s="1"/>
  <c r="P304" i="25"/>
  <c r="AB304" i="25" s="1"/>
  <c r="P296" i="25"/>
  <c r="AB296" i="25" s="1"/>
  <c r="P288" i="25"/>
  <c r="AB288" i="25" s="1"/>
  <c r="P280" i="25"/>
  <c r="AB280" i="25" s="1"/>
  <c r="P278" i="25"/>
  <c r="AB278" i="25" s="1"/>
  <c r="P276" i="25"/>
  <c r="AB276" i="25" s="1"/>
  <c r="P274" i="25"/>
  <c r="AB274" i="25" s="1"/>
  <c r="P272" i="25"/>
  <c r="AB272" i="25" s="1"/>
  <c r="P270" i="25"/>
  <c r="AB270" i="25" s="1"/>
  <c r="P268" i="25"/>
  <c r="AB268" i="25" s="1"/>
  <c r="P266" i="25"/>
  <c r="AB266" i="25" s="1"/>
  <c r="P264" i="25"/>
  <c r="AB264" i="25" s="1"/>
  <c r="P382" i="25"/>
  <c r="AB382" i="25" s="1"/>
  <c r="P370" i="25"/>
  <c r="AB370" i="25" s="1"/>
  <c r="P342" i="25"/>
  <c r="AB342" i="25" s="1"/>
  <c r="P334" i="25"/>
  <c r="AB334" i="25" s="1"/>
  <c r="P326" i="25"/>
  <c r="AB326" i="25" s="1"/>
  <c r="P318" i="25"/>
  <c r="AB318" i="25" s="1"/>
  <c r="P310" i="25"/>
  <c r="AB310" i="25" s="1"/>
  <c r="P302" i="25"/>
  <c r="AB302" i="25" s="1"/>
  <c r="P294" i="25"/>
  <c r="AB294" i="25" s="1"/>
  <c r="P286" i="25"/>
  <c r="AB286" i="25" s="1"/>
  <c r="P431" i="25"/>
  <c r="AB431" i="25" s="1"/>
  <c r="P398" i="25"/>
  <c r="AB398" i="25" s="1"/>
  <c r="P374" i="25"/>
  <c r="AB374" i="25" s="1"/>
  <c r="P366" i="25"/>
  <c r="AB366" i="25" s="1"/>
  <c r="P338" i="25"/>
  <c r="AB338" i="25" s="1"/>
  <c r="P330" i="25"/>
  <c r="AB330" i="25" s="1"/>
  <c r="P322" i="25"/>
  <c r="AB322" i="25" s="1"/>
  <c r="P314" i="25"/>
  <c r="AB314" i="25" s="1"/>
  <c r="P306" i="25"/>
  <c r="AB306" i="25" s="1"/>
  <c r="P298" i="25"/>
  <c r="AB298" i="25" s="1"/>
  <c r="P290" i="25"/>
  <c r="AB290" i="25" s="1"/>
  <c r="P282" i="25"/>
  <c r="AB282" i="25" s="1"/>
  <c r="P360" i="25"/>
  <c r="AB360" i="25" s="1"/>
  <c r="P344" i="25"/>
  <c r="AB344" i="25" s="1"/>
  <c r="P316" i="25"/>
  <c r="AB316" i="25" s="1"/>
  <c r="P284" i="25"/>
  <c r="AB284" i="25" s="1"/>
  <c r="P271" i="25"/>
  <c r="AB271" i="25" s="1"/>
  <c r="P263" i="25"/>
  <c r="AB263" i="25" s="1"/>
  <c r="P256" i="25"/>
  <c r="AB256" i="25" s="1"/>
  <c r="P255" i="25"/>
  <c r="AB255" i="25" s="1"/>
  <c r="P248" i="25"/>
  <c r="AB248" i="25" s="1"/>
  <c r="P247" i="25"/>
  <c r="AB247" i="25" s="1"/>
  <c r="P240" i="25"/>
  <c r="AB240" i="25" s="1"/>
  <c r="P239" i="25"/>
  <c r="AB239" i="25" s="1"/>
  <c r="P232" i="25"/>
  <c r="AB232" i="25" s="1"/>
  <c r="P231" i="25"/>
  <c r="AB231" i="25" s="1"/>
  <c r="P364" i="25"/>
  <c r="AB364" i="25" s="1"/>
  <c r="P348" i="25"/>
  <c r="AB348" i="25" s="1"/>
  <c r="P340" i="25"/>
  <c r="AB340" i="25" s="1"/>
  <c r="P308" i="25"/>
  <c r="AB308" i="25" s="1"/>
  <c r="P273" i="25"/>
  <c r="AB273" i="25" s="1"/>
  <c r="P265" i="25"/>
  <c r="AB265" i="25" s="1"/>
  <c r="P262" i="25"/>
  <c r="AB262" i="25" s="1"/>
  <c r="P261" i="25"/>
  <c r="AB261" i="25" s="1"/>
  <c r="P254" i="25"/>
  <c r="AB254" i="25" s="1"/>
  <c r="P253" i="25"/>
  <c r="AB253" i="25" s="1"/>
  <c r="P246" i="25"/>
  <c r="AB246" i="25" s="1"/>
  <c r="P245" i="25"/>
  <c r="AB245" i="25" s="1"/>
  <c r="P238" i="25"/>
  <c r="AB238" i="25" s="1"/>
  <c r="P237" i="25"/>
  <c r="AB237" i="25" s="1"/>
  <c r="P230" i="25"/>
  <c r="AB230" i="25" s="1"/>
  <c r="P229" i="25"/>
  <c r="AB229" i="25" s="1"/>
  <c r="P224" i="25"/>
  <c r="AB224" i="25" s="1"/>
  <c r="P222" i="25"/>
  <c r="AB222" i="25" s="1"/>
  <c r="P220" i="25"/>
  <c r="AB220" i="25" s="1"/>
  <c r="P356" i="25"/>
  <c r="AB356" i="25" s="1"/>
  <c r="P324" i="25"/>
  <c r="AB324" i="25" s="1"/>
  <c r="P292" i="25"/>
  <c r="AB292" i="25" s="1"/>
  <c r="P277" i="25"/>
  <c r="AB277" i="25" s="1"/>
  <c r="P269" i="25"/>
  <c r="AB269" i="25" s="1"/>
  <c r="P258" i="25"/>
  <c r="AB258" i="25" s="1"/>
  <c r="P257" i="25"/>
  <c r="AB257" i="25" s="1"/>
  <c r="P250" i="25"/>
  <c r="AB250" i="25" s="1"/>
  <c r="P249" i="25"/>
  <c r="AB249" i="25" s="1"/>
  <c r="P242" i="25"/>
  <c r="AB242" i="25" s="1"/>
  <c r="P241" i="25"/>
  <c r="AB241" i="25" s="1"/>
  <c r="P234" i="25"/>
  <c r="AB234" i="25" s="1"/>
  <c r="P233" i="25"/>
  <c r="AB233" i="25" s="1"/>
  <c r="P226" i="25"/>
  <c r="AB226" i="25" s="1"/>
  <c r="P225" i="25"/>
  <c r="AB225" i="25" s="1"/>
  <c r="P223" i="25"/>
  <c r="AB223" i="25" s="1"/>
  <c r="P221" i="25"/>
  <c r="AB221" i="25" s="1"/>
  <c r="P219" i="25"/>
  <c r="AB219" i="25" s="1"/>
  <c r="P217" i="25"/>
  <c r="AB217" i="25" s="1"/>
  <c r="P215" i="25"/>
  <c r="AB215" i="25" s="1"/>
  <c r="P213" i="25"/>
  <c r="AB213" i="25" s="1"/>
  <c r="P211" i="25"/>
  <c r="AB211" i="25" s="1"/>
  <c r="P209" i="25"/>
  <c r="AB209" i="25" s="1"/>
  <c r="P207" i="25"/>
  <c r="AB207" i="25" s="1"/>
  <c r="P205" i="25"/>
  <c r="AB205" i="25" s="1"/>
  <c r="P203" i="25"/>
  <c r="AB203" i="25" s="1"/>
  <c r="P201" i="25"/>
  <c r="AB201" i="25" s="1"/>
  <c r="P199" i="25"/>
  <c r="AB199" i="25" s="1"/>
  <c r="P197" i="25"/>
  <c r="AB197" i="25" s="1"/>
  <c r="P195" i="25"/>
  <c r="AB195" i="25" s="1"/>
  <c r="P193" i="25"/>
  <c r="AB193" i="25" s="1"/>
  <c r="P191" i="25"/>
  <c r="AB191" i="25" s="1"/>
  <c r="P189" i="25"/>
  <c r="AB189" i="25" s="1"/>
  <c r="P187" i="25"/>
  <c r="AB187" i="25" s="1"/>
  <c r="P185" i="25"/>
  <c r="AB185" i="25" s="1"/>
  <c r="P183" i="25"/>
  <c r="AB183" i="25" s="1"/>
  <c r="P181" i="25"/>
  <c r="AB181" i="25" s="1"/>
  <c r="P179" i="25"/>
  <c r="AB179" i="25" s="1"/>
  <c r="P177" i="25"/>
  <c r="AB177" i="25" s="1"/>
  <c r="P175" i="25"/>
  <c r="AB175" i="25" s="1"/>
  <c r="P173" i="25"/>
  <c r="AB173" i="25" s="1"/>
  <c r="P171" i="25"/>
  <c r="AB171" i="25" s="1"/>
  <c r="P169" i="25"/>
  <c r="AB169" i="25" s="1"/>
  <c r="P167" i="25"/>
  <c r="AB167" i="25" s="1"/>
  <c r="P165" i="25"/>
  <c r="AB165" i="25" s="1"/>
  <c r="P163" i="25"/>
  <c r="AB163" i="25" s="1"/>
  <c r="P161" i="25"/>
  <c r="AB161" i="25" s="1"/>
  <c r="P159" i="25"/>
  <c r="AB159" i="25" s="1"/>
  <c r="P157" i="25"/>
  <c r="AB157" i="25" s="1"/>
  <c r="P155" i="25"/>
  <c r="AB155" i="25" s="1"/>
  <c r="P153" i="25"/>
  <c r="AB153" i="25" s="1"/>
  <c r="P151" i="25"/>
  <c r="AB151" i="25" s="1"/>
  <c r="P149" i="25"/>
  <c r="AB149" i="25" s="1"/>
  <c r="P147" i="25"/>
  <c r="AB147" i="25" s="1"/>
  <c r="P145" i="25"/>
  <c r="AB145" i="25" s="1"/>
  <c r="P143" i="25"/>
  <c r="AB143" i="25" s="1"/>
  <c r="P141" i="25"/>
  <c r="AB141" i="25" s="1"/>
  <c r="P139" i="25"/>
  <c r="AB139" i="25" s="1"/>
  <c r="P137" i="25"/>
  <c r="AB137" i="25" s="1"/>
  <c r="P135" i="25"/>
  <c r="AB135" i="25" s="1"/>
  <c r="P133" i="25"/>
  <c r="AB133" i="25" s="1"/>
  <c r="P131" i="25"/>
  <c r="AB131" i="25" s="1"/>
  <c r="P129" i="25"/>
  <c r="AB129" i="25" s="1"/>
  <c r="P127" i="25"/>
  <c r="AB127" i="25" s="1"/>
  <c r="P125" i="25"/>
  <c r="AB125" i="25" s="1"/>
  <c r="P123" i="25"/>
  <c r="AB123" i="25" s="1"/>
  <c r="P121" i="25"/>
  <c r="AB121" i="25" s="1"/>
  <c r="P119" i="25"/>
  <c r="AB119" i="25" s="1"/>
  <c r="P117" i="25"/>
  <c r="AB117" i="25" s="1"/>
  <c r="P115" i="25"/>
  <c r="AB115" i="25" s="1"/>
  <c r="P113" i="25"/>
  <c r="AB113" i="25" s="1"/>
  <c r="P111" i="25"/>
  <c r="AB111" i="25" s="1"/>
  <c r="P109" i="25"/>
  <c r="AB109" i="25" s="1"/>
  <c r="P107" i="25"/>
  <c r="AB107" i="25" s="1"/>
  <c r="P105" i="25"/>
  <c r="AB105" i="25" s="1"/>
  <c r="P103" i="25"/>
  <c r="AB103" i="25" s="1"/>
  <c r="P101" i="25"/>
  <c r="AB101" i="25" s="1"/>
  <c r="P99" i="25"/>
  <c r="AB99" i="25" s="1"/>
  <c r="P97" i="25"/>
  <c r="AB97" i="25" s="1"/>
  <c r="P95" i="25"/>
  <c r="AB95" i="25" s="1"/>
  <c r="P93" i="25"/>
  <c r="AB93" i="25" s="1"/>
  <c r="P91" i="25"/>
  <c r="AB91" i="25" s="1"/>
  <c r="P89" i="25"/>
  <c r="AB89" i="25" s="1"/>
  <c r="P87" i="25"/>
  <c r="AB87" i="25" s="1"/>
  <c r="P85" i="25"/>
  <c r="AB85" i="25" s="1"/>
  <c r="P83" i="25"/>
  <c r="AB83" i="25" s="1"/>
  <c r="P81" i="25"/>
  <c r="AB81" i="25" s="1"/>
  <c r="P79" i="25"/>
  <c r="AB79" i="25" s="1"/>
  <c r="P77" i="25"/>
  <c r="AB77" i="25" s="1"/>
  <c r="P75" i="25"/>
  <c r="AB75" i="25" s="1"/>
  <c r="P73" i="25"/>
  <c r="AB73" i="25" s="1"/>
  <c r="P71" i="25"/>
  <c r="AB71" i="25" s="1"/>
  <c r="P69" i="25"/>
  <c r="AB69" i="25" s="1"/>
  <c r="P67" i="25"/>
  <c r="AB67" i="25" s="1"/>
  <c r="P65" i="25"/>
  <c r="AB65" i="25" s="1"/>
  <c r="P63" i="25"/>
  <c r="AB63" i="25" s="1"/>
  <c r="P61" i="25"/>
  <c r="AB61" i="25" s="1"/>
  <c r="P59" i="25"/>
  <c r="AB59" i="25" s="1"/>
  <c r="P57" i="25"/>
  <c r="AB57" i="25" s="1"/>
  <c r="P55" i="25"/>
  <c r="AB55" i="25" s="1"/>
  <c r="P53" i="25"/>
  <c r="AB53" i="25" s="1"/>
  <c r="P51" i="25"/>
  <c r="AB51" i="25" s="1"/>
  <c r="P49" i="25"/>
  <c r="AB49" i="25" s="1"/>
  <c r="P47" i="25"/>
  <c r="AB47" i="25" s="1"/>
  <c r="P45" i="25"/>
  <c r="AB45" i="25" s="1"/>
  <c r="P43" i="25"/>
  <c r="AB43" i="25" s="1"/>
  <c r="P41" i="25"/>
  <c r="AB41" i="25" s="1"/>
  <c r="P39" i="25"/>
  <c r="AB39" i="25" s="1"/>
  <c r="P37" i="25"/>
  <c r="AB37" i="25" s="1"/>
  <c r="P35" i="25"/>
  <c r="AB35" i="25" s="1"/>
  <c r="P33" i="25"/>
  <c r="AB33" i="25" s="1"/>
  <c r="P31" i="25"/>
  <c r="AB31" i="25" s="1"/>
  <c r="P29" i="25"/>
  <c r="AB29" i="25" s="1"/>
  <c r="P300" i="25"/>
  <c r="AB300" i="25" s="1"/>
  <c r="P267" i="25"/>
  <c r="AB267" i="25" s="1"/>
  <c r="P236" i="25"/>
  <c r="AB236" i="25" s="1"/>
  <c r="P235" i="25"/>
  <c r="AB235" i="25" s="1"/>
  <c r="P216" i="25"/>
  <c r="AB216" i="25" s="1"/>
  <c r="P212" i="25"/>
  <c r="AB212" i="25" s="1"/>
  <c r="P208" i="25"/>
  <c r="AB208" i="25" s="1"/>
  <c r="P204" i="25"/>
  <c r="AB204" i="25" s="1"/>
  <c r="P200" i="25"/>
  <c r="AB200" i="25" s="1"/>
  <c r="P196" i="25"/>
  <c r="AB196" i="25" s="1"/>
  <c r="P192" i="25"/>
  <c r="AB192" i="25" s="1"/>
  <c r="P188" i="25"/>
  <c r="AB188" i="25" s="1"/>
  <c r="P184" i="25"/>
  <c r="AB184" i="25" s="1"/>
  <c r="P180" i="25"/>
  <c r="AB180" i="25" s="1"/>
  <c r="P176" i="25"/>
  <c r="AB176" i="25" s="1"/>
  <c r="P172" i="25"/>
  <c r="AB172" i="25" s="1"/>
  <c r="P168" i="25"/>
  <c r="AB168" i="25" s="1"/>
  <c r="P164" i="25"/>
  <c r="AB164" i="25" s="1"/>
  <c r="P160" i="25"/>
  <c r="AB160" i="25" s="1"/>
  <c r="P156" i="25"/>
  <c r="AB156" i="25" s="1"/>
  <c r="P152" i="25"/>
  <c r="AB152" i="25" s="1"/>
  <c r="P148" i="25"/>
  <c r="AB148" i="25" s="1"/>
  <c r="P144" i="25"/>
  <c r="AB144" i="25" s="1"/>
  <c r="P140" i="25"/>
  <c r="AB140" i="25" s="1"/>
  <c r="P136" i="25"/>
  <c r="AB136" i="25" s="1"/>
  <c r="P132" i="25"/>
  <c r="AB132" i="25" s="1"/>
  <c r="P128" i="25"/>
  <c r="AB128" i="25" s="1"/>
  <c r="P124" i="25"/>
  <c r="AB124" i="25" s="1"/>
  <c r="P120" i="25"/>
  <c r="AB120" i="25" s="1"/>
  <c r="P118" i="25"/>
  <c r="AB118" i="25" s="1"/>
  <c r="P110" i="25"/>
  <c r="AB110" i="25" s="1"/>
  <c r="P102" i="25"/>
  <c r="AB102" i="25" s="1"/>
  <c r="P94" i="25"/>
  <c r="AB94" i="25" s="1"/>
  <c r="P86" i="25"/>
  <c r="AB86" i="25" s="1"/>
  <c r="P78" i="25"/>
  <c r="AB78" i="25" s="1"/>
  <c r="P70" i="25"/>
  <c r="AB70" i="25" s="1"/>
  <c r="P62" i="25"/>
  <c r="AB62" i="25" s="1"/>
  <c r="P54" i="25"/>
  <c r="AB54" i="25" s="1"/>
  <c r="P275" i="25"/>
  <c r="AB275" i="25" s="1"/>
  <c r="P260" i="25"/>
  <c r="AB260" i="25" s="1"/>
  <c r="P259" i="25"/>
  <c r="AB259" i="25" s="1"/>
  <c r="P228" i="25"/>
  <c r="AB228" i="25" s="1"/>
  <c r="P227" i="25"/>
  <c r="AB227" i="25" s="1"/>
  <c r="P116" i="25"/>
  <c r="AB116" i="25" s="1"/>
  <c r="P108" i="25"/>
  <c r="AB108" i="25" s="1"/>
  <c r="P100" i="25"/>
  <c r="AB100" i="25" s="1"/>
  <c r="P92" i="25"/>
  <c r="AB92" i="25" s="1"/>
  <c r="P84" i="25"/>
  <c r="AB84" i="25" s="1"/>
  <c r="P76" i="25"/>
  <c r="AB76" i="25" s="1"/>
  <c r="P68" i="25"/>
  <c r="AB68" i="25" s="1"/>
  <c r="P60" i="25"/>
  <c r="AB60" i="25" s="1"/>
  <c r="P52" i="25"/>
  <c r="AB52" i="25" s="1"/>
  <c r="P44" i="25"/>
  <c r="AB44" i="25" s="1"/>
  <c r="P372" i="25"/>
  <c r="AB372" i="25" s="1"/>
  <c r="P352" i="25"/>
  <c r="AB352" i="25" s="1"/>
  <c r="P332" i="25"/>
  <c r="AB332" i="25" s="1"/>
  <c r="P244" i="25"/>
  <c r="AB244" i="25" s="1"/>
  <c r="P243" i="25"/>
  <c r="AB243" i="25" s="1"/>
  <c r="P112" i="25"/>
  <c r="AB112" i="25" s="1"/>
  <c r="P104" i="25"/>
  <c r="AB104" i="25" s="1"/>
  <c r="P96" i="25"/>
  <c r="AB96" i="25" s="1"/>
  <c r="P88" i="25"/>
  <c r="AB88" i="25" s="1"/>
  <c r="P80" i="25"/>
  <c r="AB80" i="25" s="1"/>
  <c r="P72" i="25"/>
  <c r="AB72" i="25" s="1"/>
  <c r="P64" i="25"/>
  <c r="AB64" i="25" s="1"/>
  <c r="P56" i="25"/>
  <c r="AB56" i="25" s="1"/>
  <c r="P48" i="25"/>
  <c r="AB48" i="25" s="1"/>
  <c r="P40" i="25"/>
  <c r="AB40" i="25" s="1"/>
  <c r="P32" i="25"/>
  <c r="AB32" i="25" s="1"/>
  <c r="P27" i="25"/>
  <c r="AB27" i="25" s="1"/>
  <c r="P25" i="25"/>
  <c r="AB25" i="25" s="1"/>
  <c r="P23" i="25"/>
  <c r="AB23" i="25" s="1"/>
  <c r="P21" i="25"/>
  <c r="AB21" i="25" s="1"/>
  <c r="P19" i="25"/>
  <c r="AB19" i="25" s="1"/>
  <c r="P17" i="25"/>
  <c r="AB17" i="25" s="1"/>
  <c r="P15" i="25"/>
  <c r="AB15" i="25" s="1"/>
  <c r="P13" i="25"/>
  <c r="AB13" i="25" s="1"/>
  <c r="P46" i="25"/>
  <c r="AB46" i="25" s="1"/>
  <c r="P38" i="25"/>
  <c r="AB38" i="25" s="1"/>
  <c r="P30" i="25"/>
  <c r="AB30" i="25" s="1"/>
  <c r="P214" i="25"/>
  <c r="AB214" i="25" s="1"/>
  <c r="P198" i="25"/>
  <c r="AB198" i="25" s="1"/>
  <c r="P182" i="25"/>
  <c r="AB182" i="25" s="1"/>
  <c r="P166" i="25"/>
  <c r="AB166" i="25" s="1"/>
  <c r="P150" i="25"/>
  <c r="AB150" i="25" s="1"/>
  <c r="P134" i="25"/>
  <c r="AB134" i="25" s="1"/>
  <c r="P98" i="25"/>
  <c r="AB98" i="25" s="1"/>
  <c r="P66" i="25"/>
  <c r="AB66" i="25" s="1"/>
  <c r="P174" i="25"/>
  <c r="AB174" i="25" s="1"/>
  <c r="P158" i="25"/>
  <c r="AB158" i="25" s="1"/>
  <c r="P24" i="25"/>
  <c r="AB24" i="25" s="1"/>
  <c r="P251" i="25"/>
  <c r="AB251" i="25" s="1"/>
  <c r="P218" i="25"/>
  <c r="AB218" i="25" s="1"/>
  <c r="P202" i="25"/>
  <c r="AB202" i="25" s="1"/>
  <c r="P186" i="25"/>
  <c r="AB186" i="25" s="1"/>
  <c r="P170" i="25"/>
  <c r="AB170" i="25" s="1"/>
  <c r="P154" i="25"/>
  <c r="AB154" i="25" s="1"/>
  <c r="P138" i="25"/>
  <c r="AB138" i="25" s="1"/>
  <c r="P122" i="25"/>
  <c r="AB122" i="25" s="1"/>
  <c r="P90" i="25"/>
  <c r="AB90" i="25" s="1"/>
  <c r="P58" i="25"/>
  <c r="AB58" i="25" s="1"/>
  <c r="P36" i="25"/>
  <c r="AB36" i="25" s="1"/>
  <c r="P26" i="25"/>
  <c r="AB26" i="25" s="1"/>
  <c r="P18" i="25"/>
  <c r="AB18" i="25" s="1"/>
  <c r="P190" i="25"/>
  <c r="AB190" i="25" s="1"/>
  <c r="P142" i="25"/>
  <c r="AB142" i="25" s="1"/>
  <c r="P126" i="25"/>
  <c r="AB126" i="25" s="1"/>
  <c r="P16" i="25"/>
  <c r="AB16" i="25" s="1"/>
  <c r="P252" i="25"/>
  <c r="AB252" i="25" s="1"/>
  <c r="P210" i="25"/>
  <c r="AB210" i="25" s="1"/>
  <c r="P194" i="25"/>
  <c r="AB194" i="25" s="1"/>
  <c r="P178" i="25"/>
  <c r="AB178" i="25" s="1"/>
  <c r="P162" i="25"/>
  <c r="AB162" i="25" s="1"/>
  <c r="P146" i="25"/>
  <c r="AB146" i="25" s="1"/>
  <c r="P130" i="25"/>
  <c r="AB130" i="25" s="1"/>
  <c r="P106" i="25"/>
  <c r="AB106" i="25" s="1"/>
  <c r="P74" i="25"/>
  <c r="AB74" i="25" s="1"/>
  <c r="P42" i="25"/>
  <c r="AB42" i="25" s="1"/>
  <c r="P28" i="25"/>
  <c r="AB28" i="25" s="1"/>
  <c r="P22" i="25"/>
  <c r="AB22" i="25" s="1"/>
  <c r="P14" i="25"/>
  <c r="AB14" i="25" s="1"/>
  <c r="P20" i="25"/>
  <c r="AB20" i="25" s="1"/>
  <c r="P206" i="25"/>
  <c r="AB206" i="25" s="1"/>
  <c r="P114" i="25"/>
  <c r="AB114" i="25" s="1"/>
  <c r="P82" i="25"/>
  <c r="AB82" i="25" s="1"/>
  <c r="P50" i="25"/>
  <c r="AB50" i="25" s="1"/>
  <c r="P34" i="25"/>
  <c r="AB34" i="25" s="1"/>
  <c r="O293" i="25"/>
  <c r="AA293" i="25" s="1"/>
  <c r="O123" i="25"/>
  <c r="AA123" i="25" s="1"/>
  <c r="O139" i="25"/>
  <c r="AA139" i="25" s="1"/>
  <c r="O155" i="25"/>
  <c r="AA155" i="25" s="1"/>
  <c r="O171" i="25"/>
  <c r="AA171" i="25" s="1"/>
  <c r="O187" i="25"/>
  <c r="AA187" i="25" s="1"/>
  <c r="O203" i="25"/>
  <c r="AA203" i="25" s="1"/>
  <c r="O227" i="25"/>
  <c r="AA227" i="25" s="1"/>
  <c r="O233" i="25"/>
  <c r="AA233" i="25" s="1"/>
  <c r="O265" i="25"/>
  <c r="AA265" i="25" s="1"/>
  <c r="O229" i="25"/>
  <c r="AA229" i="25" s="1"/>
  <c r="O261" i="25"/>
  <c r="AA261" i="25" s="1"/>
  <c r="O332" i="25"/>
  <c r="AA332" i="25" s="1"/>
  <c r="O239" i="25"/>
  <c r="AA239" i="25" s="1"/>
  <c r="O267" i="25"/>
  <c r="AA267" i="25" s="1"/>
  <c r="O340" i="25"/>
  <c r="AA340" i="25" s="1"/>
  <c r="O344" i="25"/>
  <c r="AA344" i="25" s="1"/>
  <c r="O360" i="25"/>
  <c r="AA360" i="25" s="1"/>
  <c r="O346" i="25"/>
  <c r="AA346" i="25" s="1"/>
  <c r="O362" i="25"/>
  <c r="AA362" i="25" s="1"/>
  <c r="O364" i="25"/>
  <c r="AA364" i="25" s="1"/>
  <c r="O454" i="25"/>
  <c r="AA454" i="25" s="1"/>
  <c r="O501" i="25"/>
  <c r="AA501" i="25" s="1"/>
  <c r="O438" i="25"/>
  <c r="AA438" i="25" s="1"/>
  <c r="O456" i="25"/>
  <c r="AA456" i="25" s="1"/>
  <c r="O436" i="25"/>
  <c r="AA436" i="25" s="1"/>
  <c r="O493" i="25"/>
  <c r="AA493" i="25" s="1"/>
  <c r="O458" i="25"/>
  <c r="AA458" i="25" s="1"/>
  <c r="O512" i="25"/>
  <c r="AA512" i="25" s="1"/>
  <c r="O495" i="25"/>
  <c r="AA495" i="25" s="1"/>
  <c r="O491" i="25"/>
  <c r="AA491" i="25" s="1"/>
  <c r="O465" i="25"/>
  <c r="AA465" i="25" s="1"/>
  <c r="O497" i="25"/>
  <c r="AA497" i="25" s="1"/>
  <c r="O524" i="25"/>
  <c r="AA524" i="25" s="1"/>
  <c r="O549" i="25"/>
  <c r="AA549" i="25" s="1"/>
  <c r="O531" i="25"/>
  <c r="AA531" i="25" s="1"/>
  <c r="O535" i="25"/>
  <c r="AA535" i="25" s="1"/>
  <c r="O568" i="25"/>
  <c r="AA568" i="25" s="1"/>
  <c r="O553" i="25"/>
  <c r="AA553" i="25" s="1"/>
  <c r="O584" i="25"/>
  <c r="AA584" i="25" s="1"/>
  <c r="O566" i="25"/>
  <c r="AA566" i="25" s="1"/>
  <c r="O572" i="25"/>
  <c r="AA572" i="25" s="1"/>
  <c r="O586" i="25"/>
  <c r="AA586" i="25" s="1"/>
  <c r="O602" i="25"/>
  <c r="AA602" i="25" s="1"/>
  <c r="O611" i="25"/>
  <c r="AA611" i="25" s="1"/>
  <c r="O59" i="25"/>
  <c r="AA59" i="25" s="1"/>
  <c r="O66" i="25"/>
  <c r="AA66" i="25" s="1"/>
  <c r="O193" i="25"/>
  <c r="AA193" i="25" s="1"/>
  <c r="O74" i="25"/>
  <c r="AA74" i="25" s="1"/>
  <c r="O137" i="25"/>
  <c r="AA137" i="25" s="1"/>
  <c r="O205" i="25"/>
  <c r="AA205" i="25" s="1"/>
  <c r="O243" i="25"/>
  <c r="AA243" i="25" s="1"/>
  <c r="O131" i="25"/>
  <c r="AA131" i="25" s="1"/>
  <c r="O195" i="25"/>
  <c r="AA195" i="25" s="1"/>
  <c r="O249" i="25"/>
  <c r="AA249" i="25" s="1"/>
  <c r="O277" i="25"/>
  <c r="AA277" i="25" s="1"/>
  <c r="O352" i="25"/>
  <c r="AA352" i="25" s="1"/>
  <c r="O374" i="25"/>
  <c r="AA374" i="25" s="1"/>
  <c r="O446" i="25"/>
  <c r="AA446" i="25" s="1"/>
  <c r="O442" i="25"/>
  <c r="AA442" i="25" s="1"/>
  <c r="O471" i="25"/>
  <c r="AA471" i="25" s="1"/>
  <c r="O533" i="25"/>
  <c r="AA533" i="25" s="1"/>
  <c r="O551" i="25"/>
  <c r="AA551" i="25" s="1"/>
  <c r="O537" i="25"/>
  <c r="AA537" i="25" s="1"/>
  <c r="O590" i="25"/>
  <c r="AA590" i="25" s="1"/>
  <c r="O324" i="25"/>
  <c r="AA324" i="25" s="1"/>
  <c r="O189" i="25"/>
  <c r="AA189" i="25" s="1"/>
  <c r="O78" i="25"/>
  <c r="AA78" i="25" s="1"/>
  <c r="O149" i="25"/>
  <c r="AA149" i="25" s="1"/>
  <c r="O213" i="25"/>
  <c r="AA213" i="25" s="1"/>
  <c r="O223" i="25"/>
  <c r="AA223" i="25" s="1"/>
  <c r="O219" i="25"/>
  <c r="AA219" i="25" s="1"/>
  <c r="O127" i="25"/>
  <c r="AA127" i="25" s="1"/>
  <c r="O143" i="25"/>
  <c r="AA143" i="25" s="1"/>
  <c r="O159" i="25"/>
  <c r="AA159" i="25" s="1"/>
  <c r="O175" i="25"/>
  <c r="AA175" i="25" s="1"/>
  <c r="O191" i="25"/>
  <c r="AA191" i="25" s="1"/>
  <c r="O207" i="25"/>
  <c r="AA207" i="25" s="1"/>
  <c r="O259" i="25"/>
  <c r="AA259" i="25" s="1"/>
  <c r="O241" i="25"/>
  <c r="AA241" i="25" s="1"/>
  <c r="O273" i="25"/>
  <c r="AA273" i="25" s="1"/>
  <c r="O237" i="25"/>
  <c r="AA237" i="25" s="1"/>
  <c r="O269" i="25"/>
  <c r="AA269" i="25" s="1"/>
  <c r="O398" i="25"/>
  <c r="AA398" i="25" s="1"/>
  <c r="O247" i="25"/>
  <c r="AA247" i="25" s="1"/>
  <c r="O275" i="25"/>
  <c r="AA275" i="25" s="1"/>
  <c r="O391" i="25"/>
  <c r="AA391" i="25" s="1"/>
  <c r="O348" i="25"/>
  <c r="AA348" i="25" s="1"/>
  <c r="O370" i="25"/>
  <c r="AA370" i="25" s="1"/>
  <c r="O350" i="25"/>
  <c r="AA350" i="25" s="1"/>
  <c r="O366" i="25"/>
  <c r="AA366" i="25" s="1"/>
  <c r="O372" i="25"/>
  <c r="AA372" i="25" s="1"/>
  <c r="O417" i="25"/>
  <c r="AA417" i="25" s="1"/>
  <c r="O401" i="25"/>
  <c r="AA401" i="25" s="1"/>
  <c r="O432" i="25"/>
  <c r="AA432" i="25" s="1"/>
  <c r="O477" i="25"/>
  <c r="AA477" i="25" s="1"/>
  <c r="O444" i="25"/>
  <c r="AA444" i="25" s="1"/>
  <c r="O434" i="25"/>
  <c r="AA434" i="25" s="1"/>
  <c r="O469" i="25"/>
  <c r="AA469" i="25" s="1"/>
  <c r="O467" i="25"/>
  <c r="AA467" i="25" s="1"/>
  <c r="O503" i="25"/>
  <c r="AA503" i="25" s="1"/>
  <c r="O499" i="25"/>
  <c r="AA499" i="25" s="1"/>
  <c r="O473" i="25"/>
  <c r="AA473" i="25" s="1"/>
  <c r="O505" i="25"/>
  <c r="AA505" i="25" s="1"/>
  <c r="O525" i="25"/>
  <c r="AA525" i="25" s="1"/>
  <c r="O576" i="25"/>
  <c r="AA576" i="25" s="1"/>
  <c r="O543" i="25"/>
  <c r="AA543" i="25" s="1"/>
  <c r="O539" i="25"/>
  <c r="AA539" i="25" s="1"/>
  <c r="O529" i="25"/>
  <c r="AA529" i="25" s="1"/>
  <c r="O562" i="25"/>
  <c r="AA562" i="25" s="1"/>
  <c r="O595" i="25"/>
  <c r="AA595" i="25" s="1"/>
  <c r="O574" i="25"/>
  <c r="AA574" i="25" s="1"/>
  <c r="O582" i="25"/>
  <c r="AA582" i="25" s="1"/>
  <c r="O580" i="25"/>
  <c r="AA580" i="25" s="1"/>
  <c r="O600" i="25"/>
  <c r="AA600" i="25" s="1"/>
  <c r="O609" i="25"/>
  <c r="AA609" i="25" s="1"/>
  <c r="O28" i="25"/>
  <c r="AA28" i="25" s="1"/>
  <c r="O129" i="25"/>
  <c r="AA129" i="25" s="1"/>
  <c r="O173" i="25"/>
  <c r="AA173" i="25" s="1"/>
  <c r="O201" i="25"/>
  <c r="AA201" i="25" s="1"/>
  <c r="O90" i="25"/>
  <c r="AA90" i="25" s="1"/>
  <c r="O235" i="25"/>
  <c r="AA235" i="25" s="1"/>
  <c r="O147" i="25"/>
  <c r="AA147" i="25" s="1"/>
  <c r="O211" i="25"/>
  <c r="AA211" i="25" s="1"/>
  <c r="O284" i="25"/>
  <c r="AA284" i="25" s="1"/>
  <c r="O399" i="25"/>
  <c r="AA399" i="25" s="1"/>
  <c r="O425" i="25"/>
  <c r="AA425" i="25" s="1"/>
  <c r="O354" i="25"/>
  <c r="AA354" i="25" s="1"/>
  <c r="O430" i="25"/>
  <c r="AA430" i="25" s="1"/>
  <c r="O509" i="25"/>
  <c r="AA509" i="25" s="1"/>
  <c r="O483" i="25"/>
  <c r="AA483" i="25" s="1"/>
  <c r="O481" i="25"/>
  <c r="AA481" i="25" s="1"/>
  <c r="O516" i="25"/>
  <c r="AA516" i="25" s="1"/>
  <c r="O560" i="25"/>
  <c r="AA560" i="25" s="1"/>
  <c r="O598" i="25"/>
  <c r="AA598" i="25" s="1"/>
  <c r="O94" i="25"/>
  <c r="AA94" i="25" s="1"/>
  <c r="O25" i="25"/>
  <c r="AA25" i="25" s="1"/>
  <c r="O102" i="25"/>
  <c r="AA102" i="25" s="1"/>
  <c r="O153" i="25"/>
  <c r="AA153" i="25" s="1"/>
  <c r="O217" i="25"/>
  <c r="AA217" i="25" s="1"/>
  <c r="O125" i="25"/>
  <c r="AA125" i="25" s="1"/>
  <c r="O34" i="25"/>
  <c r="AA34" i="25" s="1"/>
  <c r="O110" i="25"/>
  <c r="AA110" i="25" s="1"/>
  <c r="O181" i="25"/>
  <c r="AA181" i="25" s="1"/>
  <c r="O292" i="25"/>
  <c r="AA292" i="25" s="1"/>
  <c r="O271" i="25"/>
  <c r="AA271" i="25" s="1"/>
  <c r="O135" i="25"/>
  <c r="AA135" i="25" s="1"/>
  <c r="O151" i="25"/>
  <c r="AA151" i="25" s="1"/>
  <c r="O167" i="25"/>
  <c r="AA167" i="25" s="1"/>
  <c r="O183" i="25"/>
  <c r="AA183" i="25" s="1"/>
  <c r="O199" i="25"/>
  <c r="AA199" i="25" s="1"/>
  <c r="O215" i="25"/>
  <c r="AA215" i="25" s="1"/>
  <c r="O396" i="25"/>
  <c r="AA396" i="25" s="1"/>
  <c r="O257" i="25"/>
  <c r="AA257" i="25" s="1"/>
  <c r="O316" i="25"/>
  <c r="AA316" i="25" s="1"/>
  <c r="O253" i="25"/>
  <c r="AA253" i="25" s="1"/>
  <c r="O300" i="25"/>
  <c r="AA300" i="25" s="1"/>
  <c r="O231" i="25"/>
  <c r="AA231" i="25" s="1"/>
  <c r="O263" i="25"/>
  <c r="AA263" i="25" s="1"/>
  <c r="O328" i="25"/>
  <c r="AA328" i="25" s="1"/>
  <c r="O426" i="25"/>
  <c r="AA426" i="25" s="1"/>
  <c r="O356" i="25"/>
  <c r="AA356" i="25" s="1"/>
  <c r="O390" i="25"/>
  <c r="AA390" i="25" s="1"/>
  <c r="O358" i="25"/>
  <c r="AA358" i="25" s="1"/>
  <c r="O418" i="25"/>
  <c r="AA418" i="25" s="1"/>
  <c r="O382" i="25"/>
  <c r="AA382" i="25" s="1"/>
  <c r="O462" i="25"/>
  <c r="AA462" i="25" s="1"/>
  <c r="O409" i="25"/>
  <c r="AA409" i="25" s="1"/>
  <c r="O448" i="25"/>
  <c r="AA448" i="25" s="1"/>
  <c r="O428" i="25"/>
  <c r="AA428" i="25" s="1"/>
  <c r="O460" i="25"/>
  <c r="AA460" i="25" s="1"/>
  <c r="O450" i="25"/>
  <c r="AA450" i="25" s="1"/>
  <c r="O485" i="25"/>
  <c r="AA485" i="25" s="1"/>
  <c r="O487" i="25"/>
  <c r="AA487" i="25" s="1"/>
  <c r="O479" i="25"/>
  <c r="AA479" i="25" s="1"/>
  <c r="O520" i="25"/>
  <c r="AA520" i="25" s="1"/>
  <c r="O489" i="25"/>
  <c r="AA489" i="25" s="1"/>
  <c r="O518" i="25"/>
  <c r="AA518" i="25" s="1"/>
  <c r="O522" i="25"/>
  <c r="AA522" i="25" s="1"/>
  <c r="O541" i="25"/>
  <c r="AA541" i="25" s="1"/>
  <c r="O527" i="25"/>
  <c r="AA527" i="25" s="1"/>
  <c r="O555" i="25"/>
  <c r="AA555" i="25" s="1"/>
  <c r="O545" i="25"/>
  <c r="AA545" i="25" s="1"/>
  <c r="O570" i="25"/>
  <c r="AA570" i="25" s="1"/>
  <c r="O564" i="25"/>
  <c r="AA564" i="25" s="1"/>
  <c r="O558" i="25"/>
  <c r="AA558" i="25" s="1"/>
  <c r="O578" i="25"/>
  <c r="AA578" i="25" s="1"/>
  <c r="O606" i="25"/>
  <c r="AA606" i="25" s="1"/>
  <c r="O607" i="25"/>
  <c r="AA607" i="25" s="1"/>
  <c r="O17" i="25"/>
  <c r="AA17" i="25" s="1"/>
  <c r="O82" i="25"/>
  <c r="AA82" i="25" s="1"/>
  <c r="O325" i="25"/>
  <c r="AA325" i="25" s="1"/>
  <c r="O165" i="25"/>
  <c r="AA165" i="25" s="1"/>
  <c r="O251" i="25"/>
  <c r="AA251" i="25" s="1"/>
  <c r="O163" i="25"/>
  <c r="AA163" i="25" s="1"/>
  <c r="O179" i="25"/>
  <c r="AA179" i="25" s="1"/>
  <c r="O368" i="25"/>
  <c r="AA368" i="25" s="1"/>
  <c r="O245" i="25"/>
  <c r="AA245" i="25" s="1"/>
  <c r="O255" i="25"/>
  <c r="AA255" i="25" s="1"/>
  <c r="O308" i="25"/>
  <c r="AA308" i="25" s="1"/>
  <c r="O388" i="25"/>
  <c r="AA388" i="25" s="1"/>
  <c r="O380" i="25"/>
  <c r="AA380" i="25" s="1"/>
  <c r="O440" i="25"/>
  <c r="AA440" i="25" s="1"/>
  <c r="O452" i="25"/>
  <c r="AA452" i="25" s="1"/>
  <c r="O475" i="25"/>
  <c r="AA475" i="25" s="1"/>
  <c r="O507" i="25"/>
  <c r="AA507" i="25" s="1"/>
  <c r="O514" i="25"/>
  <c r="AA514" i="25" s="1"/>
  <c r="O547" i="25"/>
  <c r="AA547" i="25" s="1"/>
  <c r="O604" i="25"/>
  <c r="AA604" i="25" s="1"/>
  <c r="O588" i="25"/>
  <c r="AA588" i="25" s="1"/>
  <c r="O613" i="25"/>
  <c r="AA613" i="25" s="1"/>
  <c r="O612" i="25"/>
  <c r="AA612" i="25" s="1"/>
  <c r="O592" i="25"/>
  <c r="AA592" i="25" s="1"/>
  <c r="O587" i="25"/>
  <c r="AA587" i="25" s="1"/>
  <c r="O597" i="25"/>
  <c r="AA597" i="25" s="1"/>
  <c r="O581" i="25"/>
  <c r="AA581" i="25" s="1"/>
  <c r="O561" i="25"/>
  <c r="AA561" i="25" s="1"/>
  <c r="O563" i="25"/>
  <c r="AA563" i="25" s="1"/>
  <c r="O544" i="25"/>
  <c r="AA544" i="25" s="1"/>
  <c r="O546" i="25"/>
  <c r="AA546" i="25" s="1"/>
  <c r="O567" i="25"/>
  <c r="AA567" i="25" s="1"/>
  <c r="O534" i="25"/>
  <c r="AA534" i="25" s="1"/>
  <c r="O511" i="25"/>
  <c r="AA511" i="25" s="1"/>
  <c r="O521" i="25"/>
  <c r="AA521" i="25" s="1"/>
  <c r="O488" i="25"/>
  <c r="AA488" i="25" s="1"/>
  <c r="O498" i="25"/>
  <c r="AA498" i="25" s="1"/>
  <c r="O466" i="25"/>
  <c r="AA466" i="25" s="1"/>
  <c r="O494" i="25"/>
  <c r="AA494" i="25" s="1"/>
  <c r="O470" i="25"/>
  <c r="AA470" i="25" s="1"/>
  <c r="O457" i="25"/>
  <c r="AA457" i="25" s="1"/>
  <c r="O449" i="25"/>
  <c r="AA449" i="25" s="1"/>
  <c r="O441" i="25"/>
  <c r="AA441" i="25" s="1"/>
  <c r="O433" i="25"/>
  <c r="AA433" i="25" s="1"/>
  <c r="O472" i="25"/>
  <c r="AA472" i="25" s="1"/>
  <c r="O414" i="25"/>
  <c r="AA414" i="25" s="1"/>
  <c r="O464" i="25"/>
  <c r="AA464" i="25" s="1"/>
  <c r="O412" i="25"/>
  <c r="AA412" i="25" s="1"/>
  <c r="O492" i="25"/>
  <c r="AA492" i="25" s="1"/>
  <c r="O408" i="25"/>
  <c r="AA408" i="25" s="1"/>
  <c r="O395" i="25"/>
  <c r="AA395" i="25" s="1"/>
  <c r="O410" i="25"/>
  <c r="AA410" i="25" s="1"/>
  <c r="O385" i="25"/>
  <c r="AA385" i="25" s="1"/>
  <c r="O371" i="25"/>
  <c r="AA371" i="25" s="1"/>
  <c r="O427" i="25"/>
  <c r="AA427" i="25" s="1"/>
  <c r="O403" i="25"/>
  <c r="AA403" i="25" s="1"/>
  <c r="O353" i="25"/>
  <c r="AA353" i="25" s="1"/>
  <c r="O337" i="25"/>
  <c r="AA337" i="25" s="1"/>
  <c r="O321" i="25"/>
  <c r="AA321" i="25" s="1"/>
  <c r="O305" i="25"/>
  <c r="AA305" i="25" s="1"/>
  <c r="O289" i="25"/>
  <c r="AA289" i="25" s="1"/>
  <c r="O343" i="25"/>
  <c r="AA343" i="25" s="1"/>
  <c r="O320" i="25"/>
  <c r="AA320" i="25" s="1"/>
  <c r="O304" i="25"/>
  <c r="AA304" i="25" s="1"/>
  <c r="O288" i="25"/>
  <c r="AA288" i="25" s="1"/>
  <c r="O278" i="25"/>
  <c r="AA278" i="25" s="1"/>
  <c r="O270" i="25"/>
  <c r="AA270" i="25" s="1"/>
  <c r="O339" i="25"/>
  <c r="AA339" i="25" s="1"/>
  <c r="O307" i="25"/>
  <c r="AA307" i="25" s="1"/>
  <c r="O351" i="25"/>
  <c r="AA351" i="25" s="1"/>
  <c r="O285" i="25"/>
  <c r="AA285" i="25" s="1"/>
  <c r="O234" i="25"/>
  <c r="AA234" i="25" s="1"/>
  <c r="O375" i="25"/>
  <c r="AA375" i="25" s="1"/>
  <c r="O310" i="25"/>
  <c r="AA310" i="25" s="1"/>
  <c r="O240" i="25"/>
  <c r="AA240" i="25" s="1"/>
  <c r="O347" i="25"/>
  <c r="AA347" i="25" s="1"/>
  <c r="O252" i="25"/>
  <c r="AA252" i="25" s="1"/>
  <c r="O302" i="25"/>
  <c r="AA302" i="25" s="1"/>
  <c r="O119" i="25"/>
  <c r="AA119" i="25" s="1"/>
  <c r="O103" i="25"/>
  <c r="AA103" i="25" s="1"/>
  <c r="O87" i="25"/>
  <c r="AA87" i="25" s="1"/>
  <c r="O71" i="25"/>
  <c r="AA71" i="25" s="1"/>
  <c r="O55" i="25"/>
  <c r="AA55" i="25" s="1"/>
  <c r="O333" i="25"/>
  <c r="AA333" i="25" s="1"/>
  <c r="O208" i="25"/>
  <c r="AA208" i="25" s="1"/>
  <c r="O192" i="25"/>
  <c r="AA192" i="25" s="1"/>
  <c r="O176" i="25"/>
  <c r="AA176" i="25" s="1"/>
  <c r="O160" i="25"/>
  <c r="AA160" i="25" s="1"/>
  <c r="O144" i="25"/>
  <c r="AA144" i="25" s="1"/>
  <c r="O128" i="25"/>
  <c r="AA128" i="25" s="1"/>
  <c r="O109" i="25"/>
  <c r="AA109" i="25" s="1"/>
  <c r="O77" i="25"/>
  <c r="AA77" i="25" s="1"/>
  <c r="O46" i="25"/>
  <c r="AA46" i="25" s="1"/>
  <c r="O222" i="25"/>
  <c r="AA222" i="25" s="1"/>
  <c r="O206" i="25"/>
  <c r="AA206" i="25" s="1"/>
  <c r="O190" i="25"/>
  <c r="AA190" i="25" s="1"/>
  <c r="O174" i="25"/>
  <c r="AA174" i="25" s="1"/>
  <c r="O158" i="25"/>
  <c r="AA158" i="25" s="1"/>
  <c r="O142" i="25"/>
  <c r="AA142" i="25" s="1"/>
  <c r="O126" i="25"/>
  <c r="AA126" i="25" s="1"/>
  <c r="O97" i="25"/>
  <c r="AA97" i="25" s="1"/>
  <c r="O65" i="25"/>
  <c r="AA65" i="25" s="1"/>
  <c r="O33" i="25"/>
  <c r="AA33" i="25" s="1"/>
  <c r="O68" i="25"/>
  <c r="AA68" i="25" s="1"/>
  <c r="O21" i="25"/>
  <c r="AA21" i="25" s="1"/>
  <c r="O30" i="25"/>
  <c r="AA30" i="25" s="1"/>
  <c r="O20" i="25"/>
  <c r="AA20" i="25" s="1"/>
  <c r="O51" i="25"/>
  <c r="AA51" i="25" s="1"/>
  <c r="O76" i="25"/>
  <c r="AA76" i="25" s="1"/>
  <c r="O14" i="25"/>
  <c r="AA14" i="25" s="1"/>
  <c r="O83" i="25"/>
  <c r="AA83" i="25" s="1"/>
  <c r="O209" i="25"/>
  <c r="AA209" i="25" s="1"/>
  <c r="O75" i="25"/>
  <c r="AA75" i="25" s="1"/>
  <c r="O70" i="25"/>
  <c r="AA70" i="25" s="1"/>
  <c r="O118" i="25"/>
  <c r="AA118" i="25" s="1"/>
  <c r="O24" i="25"/>
  <c r="AA24" i="25" s="1"/>
  <c r="O141" i="25"/>
  <c r="AA141" i="25" s="1"/>
  <c r="O50" i="25"/>
  <c r="AA50" i="25" s="1"/>
  <c r="O161" i="25"/>
  <c r="AA161" i="25" s="1"/>
  <c r="O37" i="25"/>
  <c r="AA37" i="25" s="1"/>
  <c r="O197" i="25"/>
  <c r="AA197" i="25" s="1"/>
  <c r="O98" i="25"/>
  <c r="AA98" i="25" s="1"/>
  <c r="O591" i="25"/>
  <c r="AA591" i="25" s="1"/>
  <c r="O557" i="25"/>
  <c r="AA557" i="25" s="1"/>
  <c r="O550" i="25"/>
  <c r="AA550" i="25" s="1"/>
  <c r="O504" i="25"/>
  <c r="AA504" i="25" s="1"/>
  <c r="O484" i="25"/>
  <c r="AA484" i="25" s="1"/>
  <c r="O453" i="25"/>
  <c r="AA453" i="25" s="1"/>
  <c r="O429" i="25"/>
  <c r="AA429" i="25" s="1"/>
  <c r="O404" i="25"/>
  <c r="AA404" i="25" s="1"/>
  <c r="O379" i="25"/>
  <c r="AA379" i="25" s="1"/>
  <c r="O389" i="25"/>
  <c r="AA389" i="25" s="1"/>
  <c r="O329" i="25"/>
  <c r="AA329" i="25" s="1"/>
  <c r="O281" i="25"/>
  <c r="AA281" i="25" s="1"/>
  <c r="O280" i="25"/>
  <c r="AA280" i="25" s="1"/>
  <c r="O317" i="25"/>
  <c r="AA317" i="25" s="1"/>
  <c r="O256" i="25"/>
  <c r="AA256" i="25" s="1"/>
  <c r="O236" i="25"/>
  <c r="AA236" i="25" s="1"/>
  <c r="O95" i="25"/>
  <c r="AA95" i="25" s="1"/>
  <c r="O39" i="25"/>
  <c r="AA39" i="25" s="1"/>
  <c r="O184" i="25"/>
  <c r="AA184" i="25" s="1"/>
  <c r="O120" i="25"/>
  <c r="AA120" i="25" s="1"/>
  <c r="O334" i="25"/>
  <c r="AA334" i="25" s="1"/>
  <c r="O182" i="25"/>
  <c r="AA182" i="25" s="1"/>
  <c r="O38" i="25"/>
  <c r="AA38" i="25" s="1"/>
  <c r="O301" i="25"/>
  <c r="AA301" i="25" s="1"/>
  <c r="O26" i="25"/>
  <c r="AA26" i="25" s="1"/>
  <c r="O31" i="25"/>
  <c r="AA31" i="25" s="1"/>
  <c r="O610" i="25"/>
  <c r="AA610" i="25" s="1"/>
  <c r="O601" i="25"/>
  <c r="AA601" i="25" s="1"/>
  <c r="O585" i="25"/>
  <c r="AA585" i="25" s="1"/>
  <c r="O594" i="25"/>
  <c r="AA594" i="25" s="1"/>
  <c r="O596" i="25"/>
  <c r="AA596" i="25" s="1"/>
  <c r="O573" i="25"/>
  <c r="AA573" i="25" s="1"/>
  <c r="O579" i="25"/>
  <c r="AA579" i="25" s="1"/>
  <c r="O532" i="25"/>
  <c r="AA532" i="25" s="1"/>
  <c r="O538" i="25"/>
  <c r="AA538" i="25" s="1"/>
  <c r="O565" i="25"/>
  <c r="AA565" i="25" s="1"/>
  <c r="O526" i="25"/>
  <c r="AA526" i="25" s="1"/>
  <c r="O517" i="25"/>
  <c r="AA517" i="25" s="1"/>
  <c r="O513" i="25"/>
  <c r="AA513" i="25" s="1"/>
  <c r="O476" i="25"/>
  <c r="AA476" i="25" s="1"/>
  <c r="O490" i="25"/>
  <c r="AA490" i="25" s="1"/>
  <c r="O540" i="25"/>
  <c r="AA540" i="25" s="1"/>
  <c r="O486" i="25"/>
  <c r="AA486" i="25" s="1"/>
  <c r="O463" i="25"/>
  <c r="AA463" i="25" s="1"/>
  <c r="O455" i="25"/>
  <c r="AA455" i="25" s="1"/>
  <c r="O447" i="25"/>
  <c r="AA447" i="25" s="1"/>
  <c r="O439" i="25"/>
  <c r="AA439" i="25" s="1"/>
  <c r="O431" i="25"/>
  <c r="AA431" i="25" s="1"/>
  <c r="O423" i="25"/>
  <c r="AA423" i="25" s="1"/>
  <c r="O407" i="25"/>
  <c r="AA407" i="25" s="1"/>
  <c r="O421" i="25"/>
  <c r="AA421" i="25" s="1"/>
  <c r="O405" i="25"/>
  <c r="AA405" i="25" s="1"/>
  <c r="O480" i="25"/>
  <c r="AA480" i="25" s="1"/>
  <c r="O400" i="25"/>
  <c r="AA400" i="25" s="1"/>
  <c r="O387" i="25"/>
  <c r="AA387" i="25" s="1"/>
  <c r="O394" i="25"/>
  <c r="AA394" i="25" s="1"/>
  <c r="O378" i="25"/>
  <c r="AA378" i="25" s="1"/>
  <c r="O369" i="25"/>
  <c r="AA369" i="25" s="1"/>
  <c r="O397" i="25"/>
  <c r="AA397" i="25" s="1"/>
  <c r="O392" i="25"/>
  <c r="AA392" i="25" s="1"/>
  <c r="O349" i="25"/>
  <c r="AA349" i="25" s="1"/>
  <c r="O330" i="25"/>
  <c r="AA330" i="25" s="1"/>
  <c r="O314" i="25"/>
  <c r="AA314" i="25" s="1"/>
  <c r="O298" i="25"/>
  <c r="AA298" i="25" s="1"/>
  <c r="O282" i="25"/>
  <c r="AA282" i="25" s="1"/>
  <c r="O336" i="25"/>
  <c r="AA336" i="25" s="1"/>
  <c r="O319" i="25"/>
  <c r="AA319" i="25" s="1"/>
  <c r="O303" i="25"/>
  <c r="AA303" i="25" s="1"/>
  <c r="O287" i="25"/>
  <c r="AA287" i="25" s="1"/>
  <c r="O276" i="25"/>
  <c r="AA276" i="25" s="1"/>
  <c r="O268" i="25"/>
  <c r="AA268" i="25" s="1"/>
  <c r="O331" i="25"/>
  <c r="AA331" i="25" s="1"/>
  <c r="O299" i="25"/>
  <c r="AA299" i="25" s="1"/>
  <c r="O318" i="25"/>
  <c r="AA318" i="25" s="1"/>
  <c r="O258" i="25"/>
  <c r="AA258" i="25" s="1"/>
  <c r="O226" i="25"/>
  <c r="AA226" i="25" s="1"/>
  <c r="O355" i="25"/>
  <c r="AA355" i="25" s="1"/>
  <c r="O309" i="25"/>
  <c r="AA309" i="25" s="1"/>
  <c r="O232" i="25"/>
  <c r="AA232" i="25" s="1"/>
  <c r="O326" i="25"/>
  <c r="AA326" i="25" s="1"/>
  <c r="O244" i="25"/>
  <c r="AA244" i="25" s="1"/>
  <c r="O262" i="25"/>
  <c r="AA262" i="25" s="1"/>
  <c r="O112" i="25"/>
  <c r="AA112" i="25" s="1"/>
  <c r="O96" i="25"/>
  <c r="AA96" i="25" s="1"/>
  <c r="O80" i="25"/>
  <c r="AA80" i="25" s="1"/>
  <c r="O64" i="25"/>
  <c r="AA64" i="25" s="1"/>
  <c r="O47" i="25"/>
  <c r="AA47" i="25" s="1"/>
  <c r="O254" i="25"/>
  <c r="AA254" i="25" s="1"/>
  <c r="O204" i="25"/>
  <c r="AA204" i="25" s="1"/>
  <c r="O188" i="25"/>
  <c r="AA188" i="25" s="1"/>
  <c r="O172" i="25"/>
  <c r="AA172" i="25" s="1"/>
  <c r="O156" i="25"/>
  <c r="AA156" i="25" s="1"/>
  <c r="O140" i="25"/>
  <c r="AA140" i="25" s="1"/>
  <c r="O124" i="25"/>
  <c r="AA124" i="25" s="1"/>
  <c r="O101" i="25"/>
  <c r="AA101" i="25" s="1"/>
  <c r="O69" i="25"/>
  <c r="AA69" i="25" s="1"/>
  <c r="O45" i="25"/>
  <c r="AA45" i="25" s="1"/>
  <c r="O218" i="25"/>
  <c r="AA218" i="25" s="1"/>
  <c r="O202" i="25"/>
  <c r="AA202" i="25" s="1"/>
  <c r="O186" i="25"/>
  <c r="AA186" i="25" s="1"/>
  <c r="O170" i="25"/>
  <c r="AA170" i="25" s="1"/>
  <c r="O154" i="25"/>
  <c r="AA154" i="25" s="1"/>
  <c r="O138" i="25"/>
  <c r="AA138" i="25" s="1"/>
  <c r="O122" i="25"/>
  <c r="AA122" i="25" s="1"/>
  <c r="O89" i="25"/>
  <c r="AA89" i="25" s="1"/>
  <c r="O57" i="25"/>
  <c r="AA57" i="25" s="1"/>
  <c r="O48" i="25"/>
  <c r="AA48" i="25" s="1"/>
  <c r="O67" i="25"/>
  <c r="AA67" i="25" s="1"/>
  <c r="O359" i="25"/>
  <c r="AA359" i="25" s="1"/>
  <c r="O92" i="25"/>
  <c r="AA92" i="25" s="1"/>
  <c r="O19" i="25"/>
  <c r="AA19" i="25" s="1"/>
  <c r="O36" i="25"/>
  <c r="AA36" i="25" s="1"/>
  <c r="O44" i="25"/>
  <c r="AA44" i="25" s="1"/>
  <c r="O13" i="25"/>
  <c r="AA13" i="25" s="1"/>
  <c r="O29" i="25"/>
  <c r="AA29" i="25" s="1"/>
  <c r="O145" i="25"/>
  <c r="AA145" i="25" s="1"/>
  <c r="O35" i="25"/>
  <c r="AA35" i="25" s="1"/>
  <c r="O603" i="25"/>
  <c r="AA603" i="25" s="1"/>
  <c r="O548" i="25"/>
  <c r="AA548" i="25" s="1"/>
  <c r="O482" i="25"/>
  <c r="AA482" i="25" s="1"/>
  <c r="O445" i="25"/>
  <c r="AA445" i="25" s="1"/>
  <c r="O406" i="25"/>
  <c r="AA406" i="25" s="1"/>
  <c r="O424" i="25"/>
  <c r="AA424" i="25" s="1"/>
  <c r="O377" i="25"/>
  <c r="AA377" i="25" s="1"/>
  <c r="O361" i="25"/>
  <c r="AA361" i="25" s="1"/>
  <c r="O313" i="25"/>
  <c r="AA313" i="25" s="1"/>
  <c r="O335" i="25"/>
  <c r="AA335" i="25" s="1"/>
  <c r="O274" i="25"/>
  <c r="AA274" i="25" s="1"/>
  <c r="O291" i="25"/>
  <c r="AA291" i="25" s="1"/>
  <c r="O342" i="25"/>
  <c r="AA342" i="25" s="1"/>
  <c r="O294" i="25"/>
  <c r="AA294" i="25" s="1"/>
  <c r="O111" i="25"/>
  <c r="AA111" i="25" s="1"/>
  <c r="O216" i="25"/>
  <c r="AA216" i="25" s="1"/>
  <c r="O168" i="25"/>
  <c r="AA168" i="25" s="1"/>
  <c r="O93" i="25"/>
  <c r="AA93" i="25" s="1"/>
  <c r="O214" i="25"/>
  <c r="AA214" i="25" s="1"/>
  <c r="O150" i="25"/>
  <c r="AA150" i="25" s="1"/>
  <c r="O81" i="25"/>
  <c r="AA81" i="25" s="1"/>
  <c r="O246" i="25"/>
  <c r="AA246" i="25" s="1"/>
  <c r="O220" i="25"/>
  <c r="AA220" i="25" s="1"/>
  <c r="O86" i="25"/>
  <c r="AA86" i="25" s="1"/>
  <c r="O107" i="25"/>
  <c r="AA107" i="25" s="1"/>
  <c r="O133" i="25"/>
  <c r="AA133" i="25" s="1"/>
  <c r="O593" i="25"/>
  <c r="AA593" i="25" s="1"/>
  <c r="O589" i="25"/>
  <c r="AA589" i="25" s="1"/>
  <c r="O605" i="25"/>
  <c r="AA605" i="25" s="1"/>
  <c r="O583" i="25"/>
  <c r="AA583" i="25" s="1"/>
  <c r="O571" i="25"/>
  <c r="AA571" i="25" s="1"/>
  <c r="O569" i="25"/>
  <c r="AA569" i="25" s="1"/>
  <c r="O552" i="25"/>
  <c r="AA552" i="25" s="1"/>
  <c r="O554" i="25"/>
  <c r="AA554" i="25" s="1"/>
  <c r="O523" i="25"/>
  <c r="AA523" i="25" s="1"/>
  <c r="O542" i="25"/>
  <c r="AA542" i="25" s="1"/>
  <c r="O519" i="25"/>
  <c r="AA519" i="25" s="1"/>
  <c r="O528" i="25"/>
  <c r="AA528" i="25" s="1"/>
  <c r="O496" i="25"/>
  <c r="AA496" i="25" s="1"/>
  <c r="O506" i="25"/>
  <c r="AA506" i="25" s="1"/>
  <c r="O474" i="25"/>
  <c r="AA474" i="25" s="1"/>
  <c r="O502" i="25"/>
  <c r="AA502" i="25" s="1"/>
  <c r="O478" i="25"/>
  <c r="AA478" i="25" s="1"/>
  <c r="O459" i="25"/>
  <c r="AA459" i="25" s="1"/>
  <c r="O451" i="25"/>
  <c r="AA451" i="25" s="1"/>
  <c r="O443" i="25"/>
  <c r="AA443" i="25" s="1"/>
  <c r="O435" i="25"/>
  <c r="AA435" i="25" s="1"/>
  <c r="O500" i="25"/>
  <c r="AA500" i="25" s="1"/>
  <c r="O415" i="25"/>
  <c r="AA415" i="25" s="1"/>
  <c r="O508" i="25"/>
  <c r="AA508" i="25" s="1"/>
  <c r="O413" i="25"/>
  <c r="AA413" i="25" s="1"/>
  <c r="O536" i="25"/>
  <c r="AA536" i="25" s="1"/>
  <c r="O416" i="25"/>
  <c r="AA416" i="25" s="1"/>
  <c r="O419" i="25"/>
  <c r="AA419" i="25" s="1"/>
  <c r="O411" i="25"/>
  <c r="AA411" i="25" s="1"/>
  <c r="O386" i="25"/>
  <c r="AA386" i="25" s="1"/>
  <c r="O373" i="25"/>
  <c r="AA373" i="25" s="1"/>
  <c r="O365" i="25"/>
  <c r="AA365" i="25" s="1"/>
  <c r="O381" i="25"/>
  <c r="AA381" i="25" s="1"/>
  <c r="O357" i="25"/>
  <c r="AA357" i="25" s="1"/>
  <c r="O338" i="25"/>
  <c r="AA338" i="25" s="1"/>
  <c r="O322" i="25"/>
  <c r="AA322" i="25" s="1"/>
  <c r="O306" i="25"/>
  <c r="AA306" i="25" s="1"/>
  <c r="O290" i="25"/>
  <c r="AA290" i="25" s="1"/>
  <c r="O384" i="25"/>
  <c r="AA384" i="25" s="1"/>
  <c r="O327" i="25"/>
  <c r="AA327" i="25" s="1"/>
  <c r="O311" i="25"/>
  <c r="AA311" i="25" s="1"/>
  <c r="O295" i="25"/>
  <c r="AA295" i="25" s="1"/>
  <c r="O279" i="25"/>
  <c r="AA279" i="25" s="1"/>
  <c r="O272" i="25"/>
  <c r="AA272" i="25" s="1"/>
  <c r="O264" i="25"/>
  <c r="AA264" i="25" s="1"/>
  <c r="O315" i="25"/>
  <c r="AA315" i="25" s="1"/>
  <c r="O283" i="25"/>
  <c r="AA283" i="25" s="1"/>
  <c r="O286" i="25"/>
  <c r="AA286" i="25" s="1"/>
  <c r="O242" i="25"/>
  <c r="AA242" i="25" s="1"/>
  <c r="O402" i="25"/>
  <c r="AA402" i="25" s="1"/>
  <c r="O341" i="25"/>
  <c r="AA341" i="25" s="1"/>
  <c r="O248" i="25"/>
  <c r="AA248" i="25" s="1"/>
  <c r="O363" i="25"/>
  <c r="AA363" i="25" s="1"/>
  <c r="O260" i="25"/>
  <c r="AA260" i="25" s="1"/>
  <c r="O228" i="25"/>
  <c r="AA228" i="25" s="1"/>
  <c r="O224" i="25"/>
  <c r="AA224" i="25" s="1"/>
  <c r="O104" i="25"/>
  <c r="AA104" i="25" s="1"/>
  <c r="O88" i="25"/>
  <c r="AA88" i="25" s="1"/>
  <c r="O72" i="25"/>
  <c r="AA72" i="25" s="1"/>
  <c r="O56" i="25"/>
  <c r="AA56" i="25" s="1"/>
  <c r="O32" i="25"/>
  <c r="AA32" i="25" s="1"/>
  <c r="O212" i="25"/>
  <c r="AA212" i="25" s="1"/>
  <c r="O196" i="25"/>
  <c r="AA196" i="25" s="1"/>
  <c r="O180" i="25"/>
  <c r="AA180" i="25" s="1"/>
  <c r="O164" i="25"/>
  <c r="AA164" i="25" s="1"/>
  <c r="O148" i="25"/>
  <c r="AA148" i="25" s="1"/>
  <c r="O132" i="25"/>
  <c r="AA132" i="25" s="1"/>
  <c r="O117" i="25"/>
  <c r="AA117" i="25" s="1"/>
  <c r="O85" i="25"/>
  <c r="AA85" i="25" s="1"/>
  <c r="O53" i="25"/>
  <c r="AA53" i="25" s="1"/>
  <c r="O238" i="25"/>
  <c r="AA238" i="25" s="1"/>
  <c r="O210" i="25"/>
  <c r="AA210" i="25" s="1"/>
  <c r="O194" i="25"/>
  <c r="AA194" i="25" s="1"/>
  <c r="O178" i="25"/>
  <c r="AA178" i="25" s="1"/>
  <c r="O162" i="25"/>
  <c r="AA162" i="25" s="1"/>
  <c r="O146" i="25"/>
  <c r="AA146" i="25" s="1"/>
  <c r="O130" i="25"/>
  <c r="AA130" i="25" s="1"/>
  <c r="O105" i="25"/>
  <c r="AA105" i="25" s="1"/>
  <c r="O73" i="25"/>
  <c r="AA73" i="25" s="1"/>
  <c r="O41" i="25"/>
  <c r="AA41" i="25" s="1"/>
  <c r="O100" i="25"/>
  <c r="AA100" i="25" s="1"/>
  <c r="O22" i="25"/>
  <c r="AA22" i="25" s="1"/>
  <c r="O115" i="25"/>
  <c r="AA115" i="25" s="1"/>
  <c r="O60" i="25"/>
  <c r="AA60" i="25" s="1"/>
  <c r="O52" i="25"/>
  <c r="AA52" i="25" s="1"/>
  <c r="O108" i="25"/>
  <c r="AA108" i="25" s="1"/>
  <c r="O15" i="25"/>
  <c r="AA15" i="25" s="1"/>
  <c r="O84" i="25"/>
  <c r="AA84" i="25" s="1"/>
  <c r="O18" i="25"/>
  <c r="AA18" i="25" s="1"/>
  <c r="O62" i="25"/>
  <c r="AA62" i="25" s="1"/>
  <c r="O121" i="25"/>
  <c r="AA121" i="25" s="1"/>
  <c r="O177" i="25"/>
  <c r="AA177" i="25" s="1"/>
  <c r="O43" i="25"/>
  <c r="AA43" i="25" s="1"/>
  <c r="O58" i="25"/>
  <c r="AA58" i="25" s="1"/>
  <c r="O114" i="25"/>
  <c r="AA114" i="25" s="1"/>
  <c r="O383" i="25"/>
  <c r="AA383" i="25" s="1"/>
  <c r="O99" i="25"/>
  <c r="AA99" i="25" s="1"/>
  <c r="O157" i="25"/>
  <c r="AA157" i="25" s="1"/>
  <c r="O54" i="25"/>
  <c r="AA54" i="25" s="1"/>
  <c r="O221" i="25"/>
  <c r="AA221" i="25" s="1"/>
  <c r="O106" i="25"/>
  <c r="AA106" i="25" s="1"/>
  <c r="O16" i="25"/>
  <c r="AA16" i="25" s="1"/>
  <c r="O599" i="25"/>
  <c r="AA599" i="25" s="1"/>
  <c r="O608" i="25"/>
  <c r="AA608" i="25" s="1"/>
  <c r="O577" i="25"/>
  <c r="AA577" i="25" s="1"/>
  <c r="O559" i="25"/>
  <c r="AA559" i="25" s="1"/>
  <c r="O575" i="25"/>
  <c r="AA575" i="25" s="1"/>
  <c r="O530" i="25"/>
  <c r="AA530" i="25" s="1"/>
  <c r="O556" i="25"/>
  <c r="AA556" i="25" s="1"/>
  <c r="O468" i="25"/>
  <c r="AA468" i="25" s="1"/>
  <c r="O510" i="25"/>
  <c r="AA510" i="25" s="1"/>
  <c r="O461" i="25"/>
  <c r="AA461" i="25" s="1"/>
  <c r="O437" i="25"/>
  <c r="AA437" i="25" s="1"/>
  <c r="O422" i="25"/>
  <c r="AA422" i="25" s="1"/>
  <c r="O420" i="25"/>
  <c r="AA420" i="25" s="1"/>
  <c r="O515" i="25"/>
  <c r="AA515" i="25" s="1"/>
  <c r="O393" i="25"/>
  <c r="AA393" i="25" s="1"/>
  <c r="O367" i="25"/>
  <c r="AA367" i="25" s="1"/>
  <c r="O345" i="25"/>
  <c r="AA345" i="25" s="1"/>
  <c r="O297" i="25"/>
  <c r="AA297" i="25" s="1"/>
  <c r="O312" i="25"/>
  <c r="AA312" i="25" s="1"/>
  <c r="O296" i="25"/>
  <c r="AA296" i="25" s="1"/>
  <c r="O266" i="25"/>
  <c r="AA266" i="25" s="1"/>
  <c r="O323" i="25"/>
  <c r="AA323" i="25" s="1"/>
  <c r="O250" i="25"/>
  <c r="AA250" i="25" s="1"/>
  <c r="O225" i="25"/>
  <c r="AA225" i="25" s="1"/>
  <c r="O376" i="25"/>
  <c r="AA376" i="25" s="1"/>
  <c r="O230" i="25"/>
  <c r="AA230" i="25" s="1"/>
  <c r="O79" i="25"/>
  <c r="AA79" i="25" s="1"/>
  <c r="O63" i="25"/>
  <c r="AA63" i="25" s="1"/>
  <c r="O200" i="25"/>
  <c r="AA200" i="25" s="1"/>
  <c r="O152" i="25"/>
  <c r="AA152" i="25" s="1"/>
  <c r="O136" i="25"/>
  <c r="AA136" i="25" s="1"/>
  <c r="O61" i="25"/>
  <c r="AA61" i="25" s="1"/>
  <c r="O198" i="25"/>
  <c r="AA198" i="25" s="1"/>
  <c r="O166" i="25"/>
  <c r="AA166" i="25" s="1"/>
  <c r="O134" i="25"/>
  <c r="AA134" i="25" s="1"/>
  <c r="O113" i="25"/>
  <c r="AA113" i="25" s="1"/>
  <c r="O49" i="25"/>
  <c r="AA49" i="25" s="1"/>
  <c r="O40" i="25"/>
  <c r="AA40" i="25" s="1"/>
  <c r="O91" i="25"/>
  <c r="AA91" i="25" s="1"/>
  <c r="O23" i="25"/>
  <c r="AA23" i="25" s="1"/>
  <c r="O116" i="25"/>
  <c r="AA116" i="25" s="1"/>
  <c r="O185" i="25"/>
  <c r="AA185" i="25" s="1"/>
  <c r="O42" i="25"/>
  <c r="AA42" i="25" s="1"/>
  <c r="O169" i="25"/>
  <c r="AA169" i="25" s="1"/>
  <c r="O27" i="25"/>
  <c r="AA27" i="25" s="1"/>
  <c r="AA628" i="25"/>
  <c r="AB628" i="25"/>
  <c r="C622" i="25"/>
  <c r="F622" i="25"/>
  <c r="D622" i="25"/>
  <c r="E622" i="25"/>
  <c r="BA10" i="21"/>
  <c r="AZ59" i="23"/>
  <c r="H2" i="23"/>
  <c r="B36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6" i="8"/>
  <c r="B373" i="2" s="1"/>
  <c r="AA622" i="25" l="1"/>
  <c r="E632" i="25" s="1"/>
  <c r="AB622" i="25"/>
  <c r="B369" i="2"/>
  <c r="G622" i="17"/>
  <c r="H622" i="17"/>
  <c r="F622" i="17"/>
  <c r="E622" i="17"/>
  <c r="D622" i="17"/>
  <c r="C622" i="17"/>
  <c r="G4" i="8"/>
  <c r="O17" i="8" l="1"/>
  <c r="B168" i="2"/>
  <c r="B374" i="2"/>
  <c r="D383" i="2" l="1"/>
  <c r="B383" i="2"/>
  <c r="C50" i="16"/>
  <c r="D50" i="16" s="1"/>
  <c r="E54" i="1"/>
  <c r="B372" i="2"/>
  <c r="A372" i="2" l="1"/>
  <c r="D64" i="16" l="1"/>
  <c r="A628" i="17" l="1"/>
  <c r="O622" i="17"/>
  <c r="P623" i="17"/>
  <c r="P622" i="17"/>
  <c r="AB622" i="17" s="1"/>
  <c r="O626" i="17"/>
  <c r="AA626" i="17" s="1"/>
  <c r="O623" i="17"/>
  <c r="AA623" i="17" s="1"/>
  <c r="P626" i="17"/>
  <c r="AB626" i="17" s="1"/>
  <c r="P573" i="17"/>
  <c r="AB573" i="17" s="1"/>
  <c r="B70" i="1"/>
  <c r="N7" i="8"/>
  <c r="O7" i="8" s="1"/>
  <c r="G628" i="17" l="1"/>
  <c r="H628" i="17"/>
  <c r="AA622" i="17"/>
  <c r="E632" i="17" s="1"/>
  <c r="AB623" i="17"/>
  <c r="D628" i="17"/>
  <c r="F628" i="17"/>
  <c r="P628" i="17"/>
  <c r="C628" i="17"/>
  <c r="E628" i="17"/>
  <c r="O628" i="17"/>
  <c r="E636" i="17"/>
  <c r="N30" i="8"/>
  <c r="O30" i="8"/>
  <c r="C70" i="1" s="1"/>
  <c r="D70"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336" i="2"/>
  <c r="B336" i="2"/>
  <c r="C62" i="16"/>
  <c r="D62" i="16" s="1"/>
  <c r="B230" i="2"/>
  <c r="B71" i="1" l="1"/>
  <c r="AA628" i="17"/>
  <c r="A353" i="2"/>
  <c r="B353" i="2"/>
  <c r="C3" i="8" l="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O31" i="8" s="1"/>
  <c r="C71" i="1" s="1"/>
  <c r="D71" i="1" s="1"/>
  <c r="O32" i="8"/>
  <c r="C72" i="1" s="1"/>
  <c r="D72" i="1" s="1"/>
  <c r="N32" i="8"/>
  <c r="N31" i="8" l="1"/>
  <c r="B231" i="2"/>
  <c r="B354" i="2" s="1"/>
  <c r="C46" i="16"/>
  <c r="D46" i="16" s="1"/>
  <c r="B219" i="2" l="1"/>
  <c r="A354" i="2"/>
  <c r="B232" i="2"/>
  <c r="C47" i="16"/>
  <c r="D47" i="16" s="1"/>
  <c r="B235" i="2"/>
  <c r="W625" i="25" l="1"/>
  <c r="L612" i="25"/>
  <c r="L610" i="25"/>
  <c r="K612" i="25"/>
  <c r="K610" i="25"/>
  <c r="C635" i="25"/>
  <c r="K613" i="25"/>
  <c r="K611" i="25"/>
  <c r="K609" i="25"/>
  <c r="K607" i="25"/>
  <c r="L611" i="25"/>
  <c r="L608" i="25"/>
  <c r="L607" i="25"/>
  <c r="K606" i="25"/>
  <c r="K604" i="25"/>
  <c r="K602" i="25"/>
  <c r="K600" i="25"/>
  <c r="K598" i="25"/>
  <c r="L613" i="25"/>
  <c r="K608" i="25"/>
  <c r="L605" i="25"/>
  <c r="L603" i="25"/>
  <c r="L601" i="25"/>
  <c r="L599" i="25"/>
  <c r="L597" i="25"/>
  <c r="L609" i="25"/>
  <c r="L606" i="25"/>
  <c r="L604" i="25"/>
  <c r="L602" i="25"/>
  <c r="L600" i="25"/>
  <c r="L598" i="25"/>
  <c r="L596" i="25"/>
  <c r="L594" i="25"/>
  <c r="L592" i="25"/>
  <c r="K605" i="25"/>
  <c r="K597" i="25"/>
  <c r="L591" i="25"/>
  <c r="L589" i="25"/>
  <c r="L587" i="25"/>
  <c r="L585" i="25"/>
  <c r="K599" i="25"/>
  <c r="K596" i="25"/>
  <c r="L595" i="25"/>
  <c r="K591" i="25"/>
  <c r="K589" i="25"/>
  <c r="K587" i="25"/>
  <c r="K585" i="25"/>
  <c r="A625" i="25"/>
  <c r="K603" i="25"/>
  <c r="K593" i="25"/>
  <c r="K592" i="25"/>
  <c r="K590" i="25"/>
  <c r="K588" i="25"/>
  <c r="K586" i="25"/>
  <c r="K584" i="25"/>
  <c r="K582" i="25"/>
  <c r="K580" i="25"/>
  <c r="K578" i="25"/>
  <c r="K601" i="25"/>
  <c r="K595" i="25"/>
  <c r="L593" i="25"/>
  <c r="L586" i="25"/>
  <c r="K581" i="25"/>
  <c r="L579" i="25"/>
  <c r="L578" i="25"/>
  <c r="K576" i="25"/>
  <c r="K574" i="25"/>
  <c r="K572" i="25"/>
  <c r="K570" i="25"/>
  <c r="K568" i="25"/>
  <c r="K566" i="25"/>
  <c r="K564" i="25"/>
  <c r="K562" i="25"/>
  <c r="K560" i="25"/>
  <c r="K558" i="25"/>
  <c r="K594" i="25"/>
  <c r="L588" i="25"/>
  <c r="K579" i="25"/>
  <c r="L577" i="25"/>
  <c r="L575" i="25"/>
  <c r="L573" i="25"/>
  <c r="L571" i="25"/>
  <c r="L569" i="25"/>
  <c r="L567" i="25"/>
  <c r="L565" i="25"/>
  <c r="L584" i="25"/>
  <c r="K583" i="25"/>
  <c r="L581" i="25"/>
  <c r="L580" i="25"/>
  <c r="L576" i="25"/>
  <c r="L574" i="25"/>
  <c r="L572" i="25"/>
  <c r="L570" i="25"/>
  <c r="L568" i="25"/>
  <c r="L566" i="25"/>
  <c r="L590" i="25"/>
  <c r="L583" i="25"/>
  <c r="K577" i="25"/>
  <c r="K569" i="25"/>
  <c r="K565" i="25"/>
  <c r="L564" i="25"/>
  <c r="K559" i="25"/>
  <c r="L557" i="25"/>
  <c r="K555" i="25"/>
  <c r="K553" i="25"/>
  <c r="K551" i="25"/>
  <c r="K549" i="25"/>
  <c r="K547" i="25"/>
  <c r="K545" i="25"/>
  <c r="K543" i="25"/>
  <c r="K541" i="25"/>
  <c r="K539" i="25"/>
  <c r="K537" i="25"/>
  <c r="K535" i="25"/>
  <c r="K533" i="25"/>
  <c r="K531" i="25"/>
  <c r="K529" i="25"/>
  <c r="K527" i="25"/>
  <c r="K525" i="25"/>
  <c r="K571" i="25"/>
  <c r="L563" i="25"/>
  <c r="L562" i="25"/>
  <c r="K557" i="25"/>
  <c r="L556" i="25"/>
  <c r="L554" i="25"/>
  <c r="L552" i="25"/>
  <c r="L550" i="25"/>
  <c r="L548" i="25"/>
  <c r="L546" i="25"/>
  <c r="L544" i="25"/>
  <c r="L542" i="25"/>
  <c r="L540" i="25"/>
  <c r="L582" i="25"/>
  <c r="K575" i="25"/>
  <c r="K567" i="25"/>
  <c r="K561" i="25"/>
  <c r="L559" i="25"/>
  <c r="L558" i="25"/>
  <c r="L555" i="25"/>
  <c r="L553" i="25"/>
  <c r="L551" i="25"/>
  <c r="L549" i="25"/>
  <c r="L547" i="25"/>
  <c r="L545" i="25"/>
  <c r="L543" i="25"/>
  <c r="L541" i="25"/>
  <c r="L539" i="25"/>
  <c r="K573" i="25"/>
  <c r="K550" i="25"/>
  <c r="K542" i="25"/>
  <c r="K538" i="25"/>
  <c r="L536" i="25"/>
  <c r="L535" i="25"/>
  <c r="K530" i="25"/>
  <c r="L528" i="25"/>
  <c r="L527" i="25"/>
  <c r="K552" i="25"/>
  <c r="K544" i="25"/>
  <c r="K536" i="25"/>
  <c r="L534" i="25"/>
  <c r="L533" i="25"/>
  <c r="K528" i="25"/>
  <c r="L526" i="25"/>
  <c r="L525" i="25"/>
  <c r="L561" i="25"/>
  <c r="K556" i="25"/>
  <c r="K548" i="25"/>
  <c r="K540" i="25"/>
  <c r="L538" i="25"/>
  <c r="L537" i="25"/>
  <c r="K532" i="25"/>
  <c r="L530" i="25"/>
  <c r="L529" i="25"/>
  <c r="K524" i="25"/>
  <c r="K522" i="25"/>
  <c r="K520" i="25"/>
  <c r="K518" i="25"/>
  <c r="K516" i="25"/>
  <c r="K514" i="25"/>
  <c r="K512" i="25"/>
  <c r="K563" i="25"/>
  <c r="K554" i="25"/>
  <c r="K534" i="25"/>
  <c r="L531" i="25"/>
  <c r="L523" i="25"/>
  <c r="L522" i="25"/>
  <c r="K517" i="25"/>
  <c r="L515" i="25"/>
  <c r="L514" i="25"/>
  <c r="K511" i="25"/>
  <c r="K509" i="25"/>
  <c r="K507" i="25"/>
  <c r="K505" i="25"/>
  <c r="K503" i="25"/>
  <c r="K501" i="25"/>
  <c r="K499" i="25"/>
  <c r="K497" i="25"/>
  <c r="K495" i="25"/>
  <c r="K493" i="25"/>
  <c r="K491" i="25"/>
  <c r="K489" i="25"/>
  <c r="K487" i="25"/>
  <c r="K485" i="25"/>
  <c r="K483" i="25"/>
  <c r="K481" i="25"/>
  <c r="K479" i="25"/>
  <c r="K477" i="25"/>
  <c r="K475" i="25"/>
  <c r="K473" i="25"/>
  <c r="K471" i="25"/>
  <c r="K469" i="25"/>
  <c r="K467" i="25"/>
  <c r="K465" i="25"/>
  <c r="L532" i="25"/>
  <c r="K526" i="25"/>
  <c r="K523" i="25"/>
  <c r="L521" i="25"/>
  <c r="L520" i="25"/>
  <c r="K515" i="25"/>
  <c r="L513" i="25"/>
  <c r="L512" i="25"/>
  <c r="L510" i="25"/>
  <c r="L508" i="25"/>
  <c r="L506" i="25"/>
  <c r="L504" i="25"/>
  <c r="L502" i="25"/>
  <c r="L500" i="25"/>
  <c r="L498" i="25"/>
  <c r="L496" i="25"/>
  <c r="L494" i="25"/>
  <c r="L492" i="25"/>
  <c r="L490" i="25"/>
  <c r="L488" i="25"/>
  <c r="L486" i="25"/>
  <c r="L484" i="25"/>
  <c r="L560" i="25"/>
  <c r="K546" i="25"/>
  <c r="K519" i="25"/>
  <c r="L517" i="25"/>
  <c r="L516" i="25"/>
  <c r="L511" i="25"/>
  <c r="L509" i="25"/>
  <c r="L507" i="25"/>
  <c r="L505" i="25"/>
  <c r="L503" i="25"/>
  <c r="L501" i="25"/>
  <c r="L499" i="25"/>
  <c r="L497" i="25"/>
  <c r="L495" i="25"/>
  <c r="L493" i="25"/>
  <c r="L491" i="25"/>
  <c r="L489" i="25"/>
  <c r="L487" i="25"/>
  <c r="L485" i="25"/>
  <c r="L519" i="25"/>
  <c r="K513" i="25"/>
  <c r="K510" i="25"/>
  <c r="K502" i="25"/>
  <c r="K494" i="25"/>
  <c r="K486" i="25"/>
  <c r="K482" i="25"/>
  <c r="L480" i="25"/>
  <c r="L479" i="25"/>
  <c r="K474" i="25"/>
  <c r="L472" i="25"/>
  <c r="L471" i="25"/>
  <c r="K466" i="25"/>
  <c r="L464" i="25"/>
  <c r="L462" i="25"/>
  <c r="L460" i="25"/>
  <c r="L458" i="25"/>
  <c r="L456" i="25"/>
  <c r="L454" i="25"/>
  <c r="L452" i="25"/>
  <c r="L450" i="25"/>
  <c r="L448" i="25"/>
  <c r="L446" i="25"/>
  <c r="L444" i="25"/>
  <c r="L442" i="25"/>
  <c r="L440" i="25"/>
  <c r="L438" i="25"/>
  <c r="L436" i="25"/>
  <c r="L434" i="25"/>
  <c r="L432" i="25"/>
  <c r="L430" i="25"/>
  <c r="L428" i="25"/>
  <c r="L426" i="25"/>
  <c r="L424" i="25"/>
  <c r="L422" i="25"/>
  <c r="L420" i="25"/>
  <c r="L418" i="25"/>
  <c r="L416" i="25"/>
  <c r="L414" i="25"/>
  <c r="L412" i="25"/>
  <c r="L410" i="25"/>
  <c r="L408" i="25"/>
  <c r="L406" i="25"/>
  <c r="L404" i="25"/>
  <c r="L402" i="25"/>
  <c r="L400" i="25"/>
  <c r="K504" i="25"/>
  <c r="K496" i="25"/>
  <c r="K488" i="25"/>
  <c r="K484" i="25"/>
  <c r="K480" i="25"/>
  <c r="L478" i="25"/>
  <c r="L477" i="25"/>
  <c r="K472" i="25"/>
  <c r="L470" i="25"/>
  <c r="L469" i="25"/>
  <c r="K464" i="25"/>
  <c r="K462" i="25"/>
  <c r="K460" i="25"/>
  <c r="K458" i="25"/>
  <c r="K456" i="25"/>
  <c r="K454" i="25"/>
  <c r="K452" i="25"/>
  <c r="K450" i="25"/>
  <c r="K448" i="25"/>
  <c r="K446" i="25"/>
  <c r="K444" i="25"/>
  <c r="K442" i="25"/>
  <c r="K440" i="25"/>
  <c r="K438" i="25"/>
  <c r="K436" i="25"/>
  <c r="K434" i="25"/>
  <c r="K432" i="25"/>
  <c r="K430" i="25"/>
  <c r="K428" i="25"/>
  <c r="K521" i="25"/>
  <c r="L518" i="25"/>
  <c r="K508" i="25"/>
  <c r="K500" i="25"/>
  <c r="K492" i="25"/>
  <c r="L483" i="25"/>
  <c r="L482" i="25"/>
  <c r="L481" i="25"/>
  <c r="K476" i="25"/>
  <c r="L474" i="25"/>
  <c r="L473" i="25"/>
  <c r="K468" i="25"/>
  <c r="L466" i="25"/>
  <c r="L465" i="25"/>
  <c r="K463" i="25"/>
  <c r="K461" i="25"/>
  <c r="K459" i="25"/>
  <c r="K457" i="25"/>
  <c r="K455" i="25"/>
  <c r="K453" i="25"/>
  <c r="K451" i="25"/>
  <c r="K449" i="25"/>
  <c r="K447" i="25"/>
  <c r="K445" i="25"/>
  <c r="K443" i="25"/>
  <c r="K441" i="25"/>
  <c r="K439" i="25"/>
  <c r="K437" i="25"/>
  <c r="K435" i="25"/>
  <c r="K433" i="25"/>
  <c r="K431" i="25"/>
  <c r="K429" i="25"/>
  <c r="K498" i="25"/>
  <c r="L457" i="25"/>
  <c r="L449" i="25"/>
  <c r="L441" i="25"/>
  <c r="L433" i="25"/>
  <c r="L427" i="25"/>
  <c r="K421" i="25"/>
  <c r="K420" i="25"/>
  <c r="L419" i="25"/>
  <c r="K413" i="25"/>
  <c r="K412" i="25"/>
  <c r="L411" i="25"/>
  <c r="K405" i="25"/>
  <c r="K404" i="25"/>
  <c r="L403" i="25"/>
  <c r="K506" i="25"/>
  <c r="K478" i="25"/>
  <c r="L475" i="25"/>
  <c r="L459" i="25"/>
  <c r="L451" i="25"/>
  <c r="L443" i="25"/>
  <c r="L435" i="25"/>
  <c r="K427" i="25"/>
  <c r="K426" i="25"/>
  <c r="L425" i="25"/>
  <c r="K419" i="25"/>
  <c r="K418" i="25"/>
  <c r="L417" i="25"/>
  <c r="K411" i="25"/>
  <c r="K410" i="25"/>
  <c r="L409" i="25"/>
  <c r="K403" i="25"/>
  <c r="K402" i="25"/>
  <c r="L401" i="25"/>
  <c r="L524" i="25"/>
  <c r="K490" i="25"/>
  <c r="L468" i="25"/>
  <c r="L463" i="25"/>
  <c r="L455" i="25"/>
  <c r="L447" i="25"/>
  <c r="L439" i="25"/>
  <c r="L431" i="25"/>
  <c r="K423" i="25"/>
  <c r="K422" i="25"/>
  <c r="L421" i="25"/>
  <c r="K415" i="25"/>
  <c r="K414" i="25"/>
  <c r="L413" i="25"/>
  <c r="K407" i="25"/>
  <c r="K406" i="25"/>
  <c r="L405" i="25"/>
  <c r="L399" i="25"/>
  <c r="L397" i="25"/>
  <c r="L395" i="25"/>
  <c r="L393" i="25"/>
  <c r="L391" i="25"/>
  <c r="L389" i="25"/>
  <c r="L387" i="25"/>
  <c r="L385" i="25"/>
  <c r="L383" i="25"/>
  <c r="L381" i="25"/>
  <c r="L379" i="25"/>
  <c r="L377" i="25"/>
  <c r="L375" i="25"/>
  <c r="L453" i="25"/>
  <c r="K425" i="25"/>
  <c r="L423" i="25"/>
  <c r="K394" i="25"/>
  <c r="K393" i="25"/>
  <c r="L392" i="25"/>
  <c r="K386" i="25"/>
  <c r="K385" i="25"/>
  <c r="L384" i="25"/>
  <c r="K378" i="25"/>
  <c r="K377" i="25"/>
  <c r="L376" i="25"/>
  <c r="L373" i="25"/>
  <c r="L371" i="25"/>
  <c r="L369" i="25"/>
  <c r="L367" i="25"/>
  <c r="L365" i="25"/>
  <c r="L363" i="25"/>
  <c r="L361" i="25"/>
  <c r="L359" i="25"/>
  <c r="L357" i="25"/>
  <c r="L355" i="25"/>
  <c r="L353" i="25"/>
  <c r="L351" i="25"/>
  <c r="L349" i="25"/>
  <c r="L347" i="25"/>
  <c r="L345" i="25"/>
  <c r="L343" i="25"/>
  <c r="L341" i="25"/>
  <c r="L339" i="25"/>
  <c r="L337" i="25"/>
  <c r="L335" i="25"/>
  <c r="L333" i="25"/>
  <c r="L331" i="25"/>
  <c r="L329" i="25"/>
  <c r="L327" i="25"/>
  <c r="L325" i="25"/>
  <c r="L323" i="25"/>
  <c r="L321" i="25"/>
  <c r="L319" i="25"/>
  <c r="L317" i="25"/>
  <c r="L315" i="25"/>
  <c r="L313" i="25"/>
  <c r="L311" i="25"/>
  <c r="L309" i="25"/>
  <c r="L307" i="25"/>
  <c r="L305" i="25"/>
  <c r="L303" i="25"/>
  <c r="L301" i="25"/>
  <c r="L299" i="25"/>
  <c r="L297" i="25"/>
  <c r="L295" i="25"/>
  <c r="L293" i="25"/>
  <c r="L291" i="25"/>
  <c r="L289" i="25"/>
  <c r="L287" i="25"/>
  <c r="L285" i="25"/>
  <c r="L283" i="25"/>
  <c r="L281" i="25"/>
  <c r="L279" i="25"/>
  <c r="L467" i="25"/>
  <c r="L461" i="25"/>
  <c r="L429" i="25"/>
  <c r="K424" i="25"/>
  <c r="K417" i="25"/>
  <c r="L415" i="25"/>
  <c r="K400" i="25"/>
  <c r="K399" i="25"/>
  <c r="L398" i="25"/>
  <c r="K392" i="25"/>
  <c r="K391" i="25"/>
  <c r="L390" i="25"/>
  <c r="K384" i="25"/>
  <c r="K383" i="25"/>
  <c r="L382" i="25"/>
  <c r="K376" i="25"/>
  <c r="K375" i="25"/>
  <c r="K373" i="25"/>
  <c r="K371" i="25"/>
  <c r="K369" i="25"/>
  <c r="K367" i="25"/>
  <c r="K365" i="25"/>
  <c r="L445" i="25"/>
  <c r="K408" i="25"/>
  <c r="K401" i="25"/>
  <c r="K396" i="25"/>
  <c r="K395" i="25"/>
  <c r="L394" i="25"/>
  <c r="K388" i="25"/>
  <c r="K387" i="25"/>
  <c r="L386" i="25"/>
  <c r="K380" i="25"/>
  <c r="K379" i="25"/>
  <c r="L378" i="25"/>
  <c r="K374" i="25"/>
  <c r="K372" i="25"/>
  <c r="K370" i="25"/>
  <c r="K368" i="25"/>
  <c r="K366" i="25"/>
  <c r="K364" i="25"/>
  <c r="K362" i="25"/>
  <c r="K360" i="25"/>
  <c r="K358" i="25"/>
  <c r="K356" i="25"/>
  <c r="K354" i="25"/>
  <c r="K352" i="25"/>
  <c r="K350" i="25"/>
  <c r="K348" i="25"/>
  <c r="K346" i="25"/>
  <c r="K344" i="25"/>
  <c r="L476" i="25"/>
  <c r="K416" i="25"/>
  <c r="K398" i="25"/>
  <c r="L396" i="25"/>
  <c r="L374" i="25"/>
  <c r="L366" i="25"/>
  <c r="L364" i="25"/>
  <c r="K363" i="25"/>
  <c r="L360" i="25"/>
  <c r="K359" i="25"/>
  <c r="L356" i="25"/>
  <c r="K355" i="25"/>
  <c r="L352" i="25"/>
  <c r="K351" i="25"/>
  <c r="L348" i="25"/>
  <c r="K347" i="25"/>
  <c r="L344" i="25"/>
  <c r="K343" i="25"/>
  <c r="L342" i="25"/>
  <c r="K336" i="25"/>
  <c r="K335" i="25"/>
  <c r="L334" i="25"/>
  <c r="K328" i="25"/>
  <c r="K327" i="25"/>
  <c r="L326" i="25"/>
  <c r="K320" i="25"/>
  <c r="K319" i="25"/>
  <c r="L318" i="25"/>
  <c r="K312" i="25"/>
  <c r="K311" i="25"/>
  <c r="L310" i="25"/>
  <c r="K304" i="25"/>
  <c r="K303" i="25"/>
  <c r="L302" i="25"/>
  <c r="K296" i="25"/>
  <c r="K295" i="25"/>
  <c r="L294" i="25"/>
  <c r="K288" i="25"/>
  <c r="K287" i="25"/>
  <c r="L286" i="25"/>
  <c r="K280" i="25"/>
  <c r="K279" i="25"/>
  <c r="L278" i="25"/>
  <c r="L276" i="25"/>
  <c r="L274" i="25"/>
  <c r="L272" i="25"/>
  <c r="L270" i="25"/>
  <c r="L268" i="25"/>
  <c r="L266" i="25"/>
  <c r="K409" i="25"/>
  <c r="K397" i="25"/>
  <c r="K390" i="25"/>
  <c r="L388" i="25"/>
  <c r="L368" i="25"/>
  <c r="K342" i="25"/>
  <c r="K341" i="25"/>
  <c r="L340" i="25"/>
  <c r="K334" i="25"/>
  <c r="K333" i="25"/>
  <c r="L332" i="25"/>
  <c r="K326" i="25"/>
  <c r="K325" i="25"/>
  <c r="L324" i="25"/>
  <c r="K318" i="25"/>
  <c r="K317" i="25"/>
  <c r="L316" i="25"/>
  <c r="K310" i="25"/>
  <c r="K309" i="25"/>
  <c r="L308" i="25"/>
  <c r="K302" i="25"/>
  <c r="K301" i="25"/>
  <c r="L300" i="25"/>
  <c r="K294" i="25"/>
  <c r="K293" i="25"/>
  <c r="L292" i="25"/>
  <c r="K286" i="25"/>
  <c r="K285" i="25"/>
  <c r="L284" i="25"/>
  <c r="K278" i="25"/>
  <c r="K276" i="25"/>
  <c r="K274" i="25"/>
  <c r="K272" i="25"/>
  <c r="K270" i="25"/>
  <c r="K268" i="25"/>
  <c r="K266" i="25"/>
  <c r="K264" i="25"/>
  <c r="L407" i="25"/>
  <c r="K381" i="25"/>
  <c r="L372" i="25"/>
  <c r="K338" i="25"/>
  <c r="K337" i="25"/>
  <c r="L336" i="25"/>
  <c r="K330" i="25"/>
  <c r="K329" i="25"/>
  <c r="L328" i="25"/>
  <c r="K322" i="25"/>
  <c r="K321" i="25"/>
  <c r="L320" i="25"/>
  <c r="K314" i="25"/>
  <c r="K313" i="25"/>
  <c r="L312" i="25"/>
  <c r="K306" i="25"/>
  <c r="K305" i="25"/>
  <c r="L304" i="25"/>
  <c r="K298" i="25"/>
  <c r="K297" i="25"/>
  <c r="L296" i="25"/>
  <c r="K290" i="25"/>
  <c r="K289" i="25"/>
  <c r="L288" i="25"/>
  <c r="K282" i="25"/>
  <c r="K281" i="25"/>
  <c r="L280" i="25"/>
  <c r="K277" i="25"/>
  <c r="K275" i="25"/>
  <c r="K273" i="25"/>
  <c r="K271" i="25"/>
  <c r="K269" i="25"/>
  <c r="K267" i="25"/>
  <c r="K265" i="25"/>
  <c r="K263" i="25"/>
  <c r="K261" i="25"/>
  <c r="K259" i="25"/>
  <c r="K257" i="25"/>
  <c r="K255" i="25"/>
  <c r="K253" i="25"/>
  <c r="K251" i="25"/>
  <c r="K249" i="25"/>
  <c r="K247" i="25"/>
  <c r="K245" i="25"/>
  <c r="K243" i="25"/>
  <c r="K241" i="25"/>
  <c r="K239" i="25"/>
  <c r="K237" i="25"/>
  <c r="K235" i="25"/>
  <c r="K233" i="25"/>
  <c r="K231" i="25"/>
  <c r="K229" i="25"/>
  <c r="K227" i="25"/>
  <c r="K382" i="25"/>
  <c r="L358" i="25"/>
  <c r="K357" i="25"/>
  <c r="K331" i="25"/>
  <c r="K324" i="25"/>
  <c r="L322" i="25"/>
  <c r="K299" i="25"/>
  <c r="K292" i="25"/>
  <c r="L290" i="25"/>
  <c r="L277" i="25"/>
  <c r="L269" i="25"/>
  <c r="L264" i="25"/>
  <c r="L262" i="25"/>
  <c r="L261" i="25"/>
  <c r="K256" i="25"/>
  <c r="L254" i="25"/>
  <c r="L253" i="25"/>
  <c r="K248" i="25"/>
  <c r="L246" i="25"/>
  <c r="L245" i="25"/>
  <c r="K240" i="25"/>
  <c r="L238" i="25"/>
  <c r="L237" i="25"/>
  <c r="K232" i="25"/>
  <c r="L230" i="25"/>
  <c r="L229" i="25"/>
  <c r="K225" i="25"/>
  <c r="K223" i="25"/>
  <c r="K221" i="25"/>
  <c r="K219" i="25"/>
  <c r="K217" i="25"/>
  <c r="K215" i="25"/>
  <c r="K213" i="25"/>
  <c r="K211" i="25"/>
  <c r="K209" i="25"/>
  <c r="K207" i="25"/>
  <c r="K205" i="25"/>
  <c r="K203" i="25"/>
  <c r="K201" i="25"/>
  <c r="K199" i="25"/>
  <c r="K197" i="25"/>
  <c r="K195" i="25"/>
  <c r="K193" i="25"/>
  <c r="K191" i="25"/>
  <c r="K189" i="25"/>
  <c r="K187" i="25"/>
  <c r="K185" i="25"/>
  <c r="K183" i="25"/>
  <c r="K181" i="25"/>
  <c r="K179" i="25"/>
  <c r="K177" i="25"/>
  <c r="K175" i="25"/>
  <c r="K173" i="25"/>
  <c r="K171" i="25"/>
  <c r="K169" i="25"/>
  <c r="K167" i="25"/>
  <c r="K165" i="25"/>
  <c r="K163" i="25"/>
  <c r="K161" i="25"/>
  <c r="K159" i="25"/>
  <c r="K157" i="25"/>
  <c r="K155" i="25"/>
  <c r="K153" i="25"/>
  <c r="K151" i="25"/>
  <c r="K149" i="25"/>
  <c r="K147" i="25"/>
  <c r="K145" i="25"/>
  <c r="K143" i="25"/>
  <c r="K141" i="25"/>
  <c r="K139" i="25"/>
  <c r="K137" i="25"/>
  <c r="K135" i="25"/>
  <c r="K133" i="25"/>
  <c r="K131" i="25"/>
  <c r="K129" i="25"/>
  <c r="K127" i="25"/>
  <c r="K125" i="25"/>
  <c r="K123" i="25"/>
  <c r="K121" i="25"/>
  <c r="K470" i="25"/>
  <c r="L370" i="25"/>
  <c r="L362" i="25"/>
  <c r="K361" i="25"/>
  <c r="L346" i="25"/>
  <c r="K345" i="25"/>
  <c r="K323" i="25"/>
  <c r="K316" i="25"/>
  <c r="L314" i="25"/>
  <c r="K291" i="25"/>
  <c r="K284" i="25"/>
  <c r="L282" i="25"/>
  <c r="L271" i="25"/>
  <c r="K262" i="25"/>
  <c r="L260" i="25"/>
  <c r="L259" i="25"/>
  <c r="K254" i="25"/>
  <c r="L252" i="25"/>
  <c r="L251" i="25"/>
  <c r="K246" i="25"/>
  <c r="L244" i="25"/>
  <c r="L243" i="25"/>
  <c r="K238" i="25"/>
  <c r="L236" i="25"/>
  <c r="L235" i="25"/>
  <c r="K230" i="25"/>
  <c r="L228" i="25"/>
  <c r="L227" i="25"/>
  <c r="L224" i="25"/>
  <c r="L222" i="25"/>
  <c r="L220" i="25"/>
  <c r="L437" i="25"/>
  <c r="K389" i="25"/>
  <c r="L354" i="25"/>
  <c r="K353" i="25"/>
  <c r="K339" i="25"/>
  <c r="K332" i="25"/>
  <c r="L330" i="25"/>
  <c r="K307" i="25"/>
  <c r="K300" i="25"/>
  <c r="L298" i="25"/>
  <c r="L275" i="25"/>
  <c r="L267" i="25"/>
  <c r="L263" i="25"/>
  <c r="K258" i="25"/>
  <c r="L256" i="25"/>
  <c r="L255" i="25"/>
  <c r="K250" i="25"/>
  <c r="L248" i="25"/>
  <c r="L247" i="25"/>
  <c r="K242" i="25"/>
  <c r="L240" i="25"/>
  <c r="L239" i="25"/>
  <c r="K234" i="25"/>
  <c r="L232" i="25"/>
  <c r="L231" i="25"/>
  <c r="K226" i="25"/>
  <c r="L225" i="25"/>
  <c r="L223" i="25"/>
  <c r="L221" i="25"/>
  <c r="L219" i="25"/>
  <c r="L217" i="25"/>
  <c r="L215" i="25"/>
  <c r="L213" i="25"/>
  <c r="L211" i="25"/>
  <c r="L209" i="25"/>
  <c r="L207" i="25"/>
  <c r="L205" i="25"/>
  <c r="L203" i="25"/>
  <c r="L201" i="25"/>
  <c r="L199" i="25"/>
  <c r="L197" i="25"/>
  <c r="L195" i="25"/>
  <c r="L193" i="25"/>
  <c r="L191" i="25"/>
  <c r="L189" i="25"/>
  <c r="L187" i="25"/>
  <c r="L185" i="25"/>
  <c r="L183" i="25"/>
  <c r="L181" i="25"/>
  <c r="L179" i="25"/>
  <c r="L177" i="25"/>
  <c r="L175" i="25"/>
  <c r="L173" i="25"/>
  <c r="L171" i="25"/>
  <c r="L169" i="25"/>
  <c r="L167" i="25"/>
  <c r="L165" i="25"/>
  <c r="L163" i="25"/>
  <c r="L161" i="25"/>
  <c r="L159" i="25"/>
  <c r="L157" i="25"/>
  <c r="L155" i="25"/>
  <c r="L153" i="25"/>
  <c r="L151" i="25"/>
  <c r="L149" i="25"/>
  <c r="L147" i="25"/>
  <c r="L145" i="25"/>
  <c r="L143" i="25"/>
  <c r="L141" i="25"/>
  <c r="L139" i="25"/>
  <c r="L137" i="25"/>
  <c r="L135" i="25"/>
  <c r="L133" i="25"/>
  <c r="L131" i="25"/>
  <c r="L129" i="25"/>
  <c r="L127" i="25"/>
  <c r="L125" i="25"/>
  <c r="L123" i="25"/>
  <c r="L121" i="25"/>
  <c r="L119" i="25"/>
  <c r="L117" i="25"/>
  <c r="L115" i="25"/>
  <c r="L113" i="25"/>
  <c r="L111" i="25"/>
  <c r="L109" i="25"/>
  <c r="L107" i="25"/>
  <c r="L105" i="25"/>
  <c r="L103" i="25"/>
  <c r="L101" i="25"/>
  <c r="L99" i="25"/>
  <c r="L97" i="25"/>
  <c r="L95" i="25"/>
  <c r="L93" i="25"/>
  <c r="L91" i="25"/>
  <c r="L89" i="25"/>
  <c r="L87" i="25"/>
  <c r="L85" i="25"/>
  <c r="L83" i="25"/>
  <c r="L81" i="25"/>
  <c r="L79" i="25"/>
  <c r="L77" i="25"/>
  <c r="L75" i="25"/>
  <c r="L73" i="25"/>
  <c r="L71" i="25"/>
  <c r="L69" i="25"/>
  <c r="L67" i="25"/>
  <c r="L65" i="25"/>
  <c r="L63" i="25"/>
  <c r="L61" i="25"/>
  <c r="L59" i="25"/>
  <c r="L57" i="25"/>
  <c r="L55" i="25"/>
  <c r="L53" i="25"/>
  <c r="L51" i="25"/>
  <c r="L49" i="25"/>
  <c r="L47" i="25"/>
  <c r="L45" i="25"/>
  <c r="L43" i="25"/>
  <c r="L41" i="25"/>
  <c r="L39" i="25"/>
  <c r="L37" i="25"/>
  <c r="L35" i="25"/>
  <c r="L33" i="25"/>
  <c r="L31" i="25"/>
  <c r="L29" i="25"/>
  <c r="K340" i="25"/>
  <c r="K315" i="25"/>
  <c r="L273" i="25"/>
  <c r="L250" i="25"/>
  <c r="K244" i="25"/>
  <c r="L241" i="25"/>
  <c r="K222" i="25"/>
  <c r="L218" i="25"/>
  <c r="L214" i="25"/>
  <c r="L210" i="25"/>
  <c r="L206" i="25"/>
  <c r="L202" i="25"/>
  <c r="L198" i="25"/>
  <c r="L194" i="25"/>
  <c r="L190" i="25"/>
  <c r="L186" i="25"/>
  <c r="L182" i="25"/>
  <c r="L178" i="25"/>
  <c r="L174" i="25"/>
  <c r="L170" i="25"/>
  <c r="L166" i="25"/>
  <c r="L162" i="25"/>
  <c r="L158" i="25"/>
  <c r="L154" i="25"/>
  <c r="L150" i="25"/>
  <c r="L146" i="25"/>
  <c r="L142" i="25"/>
  <c r="L138" i="25"/>
  <c r="L134" i="25"/>
  <c r="L130" i="25"/>
  <c r="L126" i="25"/>
  <c r="L122" i="25"/>
  <c r="K118" i="25"/>
  <c r="K117" i="25"/>
  <c r="L116" i="25"/>
  <c r="K110" i="25"/>
  <c r="K109" i="25"/>
  <c r="L108" i="25"/>
  <c r="K102" i="25"/>
  <c r="K101" i="25"/>
  <c r="L100" i="25"/>
  <c r="K94" i="25"/>
  <c r="K93" i="25"/>
  <c r="L92" i="25"/>
  <c r="K86" i="25"/>
  <c r="K85" i="25"/>
  <c r="L84" i="25"/>
  <c r="K78" i="25"/>
  <c r="K77" i="25"/>
  <c r="L76" i="25"/>
  <c r="K70" i="25"/>
  <c r="K69" i="25"/>
  <c r="L68" i="25"/>
  <c r="K62" i="25"/>
  <c r="K61" i="25"/>
  <c r="L60" i="25"/>
  <c r="K53" i="25"/>
  <c r="K45" i="25"/>
  <c r="K37" i="25"/>
  <c r="K30" i="25"/>
  <c r="K27" i="25"/>
  <c r="L350" i="25"/>
  <c r="K308" i="25"/>
  <c r="K283" i="25"/>
  <c r="L242" i="25"/>
  <c r="K236" i="25"/>
  <c r="L233" i="25"/>
  <c r="K224" i="25"/>
  <c r="K218" i="25"/>
  <c r="K214" i="25"/>
  <c r="K210" i="25"/>
  <c r="K206" i="25"/>
  <c r="K202" i="25"/>
  <c r="K198" i="25"/>
  <c r="K194" i="25"/>
  <c r="K190" i="25"/>
  <c r="K186" i="25"/>
  <c r="K182" i="25"/>
  <c r="K178" i="25"/>
  <c r="K174" i="25"/>
  <c r="K170" i="25"/>
  <c r="K166" i="25"/>
  <c r="K162" i="25"/>
  <c r="K158" i="25"/>
  <c r="K154" i="25"/>
  <c r="K150" i="25"/>
  <c r="K146" i="25"/>
  <c r="K142" i="25"/>
  <c r="K138" i="25"/>
  <c r="K134" i="25"/>
  <c r="K130" i="25"/>
  <c r="K126" i="25"/>
  <c r="K122" i="25"/>
  <c r="K116" i="25"/>
  <c r="K115" i="25"/>
  <c r="L114" i="25"/>
  <c r="K108" i="25"/>
  <c r="K107" i="25"/>
  <c r="L106" i="25"/>
  <c r="K100" i="25"/>
  <c r="K99" i="25"/>
  <c r="L98" i="25"/>
  <c r="K92" i="25"/>
  <c r="K91" i="25"/>
  <c r="L90" i="25"/>
  <c r="K84" i="25"/>
  <c r="K83" i="25"/>
  <c r="L82" i="25"/>
  <c r="K76" i="25"/>
  <c r="K75" i="25"/>
  <c r="L74" i="25"/>
  <c r="K68" i="25"/>
  <c r="K67" i="25"/>
  <c r="L66" i="25"/>
  <c r="K60" i="25"/>
  <c r="K59" i="25"/>
  <c r="L58" i="25"/>
  <c r="K52" i="25"/>
  <c r="K51" i="25"/>
  <c r="L50" i="25"/>
  <c r="K44" i="25"/>
  <c r="K43" i="25"/>
  <c r="L42" i="25"/>
  <c r="L380" i="25"/>
  <c r="L306" i="25"/>
  <c r="L265" i="25"/>
  <c r="L258" i="25"/>
  <c r="K252" i="25"/>
  <c r="L249" i="25"/>
  <c r="L226" i="25"/>
  <c r="K220" i="25"/>
  <c r="K216" i="25"/>
  <c r="K212" i="25"/>
  <c r="K208" i="25"/>
  <c r="K204" i="25"/>
  <c r="K200" i="25"/>
  <c r="K196" i="25"/>
  <c r="K192" i="25"/>
  <c r="K188" i="25"/>
  <c r="K184" i="25"/>
  <c r="K180" i="25"/>
  <c r="K176" i="25"/>
  <c r="K172" i="25"/>
  <c r="K168" i="25"/>
  <c r="K164" i="25"/>
  <c r="K160" i="25"/>
  <c r="K156" i="25"/>
  <c r="K152" i="25"/>
  <c r="K148" i="25"/>
  <c r="K144" i="25"/>
  <c r="K140" i="25"/>
  <c r="K136" i="25"/>
  <c r="K132" i="25"/>
  <c r="K128" i="25"/>
  <c r="K124" i="25"/>
  <c r="K120" i="25"/>
  <c r="K119" i="25"/>
  <c r="L118" i="25"/>
  <c r="K112" i="25"/>
  <c r="K111" i="25"/>
  <c r="L110" i="25"/>
  <c r="K104" i="25"/>
  <c r="K103" i="25"/>
  <c r="L102" i="25"/>
  <c r="K96" i="25"/>
  <c r="K95" i="25"/>
  <c r="L94" i="25"/>
  <c r="K88" i="25"/>
  <c r="K87" i="25"/>
  <c r="L86" i="25"/>
  <c r="K80" i="25"/>
  <c r="K79" i="25"/>
  <c r="L78" i="25"/>
  <c r="K72" i="25"/>
  <c r="K71" i="25"/>
  <c r="L70" i="25"/>
  <c r="K64" i="25"/>
  <c r="K63" i="25"/>
  <c r="L62" i="25"/>
  <c r="K56" i="25"/>
  <c r="K55" i="25"/>
  <c r="L54" i="25"/>
  <c r="K48" i="25"/>
  <c r="K47" i="25"/>
  <c r="L46" i="25"/>
  <c r="K40" i="25"/>
  <c r="K39" i="25"/>
  <c r="L38" i="25"/>
  <c r="K32" i="25"/>
  <c r="K31" i="25"/>
  <c r="L30" i="25"/>
  <c r="L27" i="25"/>
  <c r="L25" i="25"/>
  <c r="L23" i="25"/>
  <c r="L21" i="25"/>
  <c r="L19" i="25"/>
  <c r="L17" i="25"/>
  <c r="L15" i="25"/>
  <c r="L13" i="25"/>
  <c r="K54" i="25"/>
  <c r="L52" i="25"/>
  <c r="K46" i="25"/>
  <c r="L44" i="25"/>
  <c r="K38" i="25"/>
  <c r="L36" i="25"/>
  <c r="K29" i="25"/>
  <c r="K25" i="25"/>
  <c r="K349" i="25"/>
  <c r="L257" i="25"/>
  <c r="L212" i="25"/>
  <c r="L196" i="25"/>
  <c r="L180" i="25"/>
  <c r="L164" i="25"/>
  <c r="L148" i="25"/>
  <c r="L132" i="25"/>
  <c r="K113" i="25"/>
  <c r="K106" i="25"/>
  <c r="L104" i="25"/>
  <c r="K81" i="25"/>
  <c r="K74" i="25"/>
  <c r="L72" i="25"/>
  <c r="K49" i="25"/>
  <c r="K42" i="25"/>
  <c r="L40" i="25"/>
  <c r="K35" i="25"/>
  <c r="K34" i="25"/>
  <c r="K33" i="25"/>
  <c r="K26" i="25"/>
  <c r="K20" i="25"/>
  <c r="K23" i="25"/>
  <c r="L22" i="25"/>
  <c r="K260" i="25"/>
  <c r="L216" i="25"/>
  <c r="L200" i="25"/>
  <c r="L184" i="25"/>
  <c r="L168" i="25"/>
  <c r="L152" i="25"/>
  <c r="L136" i="25"/>
  <c r="L120" i="25"/>
  <c r="K105" i="25"/>
  <c r="K98" i="25"/>
  <c r="L96" i="25"/>
  <c r="K73" i="25"/>
  <c r="K66" i="25"/>
  <c r="L64" i="25"/>
  <c r="K41" i="25"/>
  <c r="L28" i="25"/>
  <c r="L24" i="25"/>
  <c r="K18" i="25"/>
  <c r="K17" i="25"/>
  <c r="L16" i="25"/>
  <c r="L234" i="25"/>
  <c r="K228" i="25"/>
  <c r="L188" i="25"/>
  <c r="K97" i="25"/>
  <c r="L88" i="25"/>
  <c r="K65" i="25"/>
  <c r="K28" i="25"/>
  <c r="L338" i="25"/>
  <c r="L208" i="25"/>
  <c r="L192" i="25"/>
  <c r="L176" i="25"/>
  <c r="L160" i="25"/>
  <c r="L144" i="25"/>
  <c r="L128" i="25"/>
  <c r="K114" i="25"/>
  <c r="L112" i="25"/>
  <c r="K89" i="25"/>
  <c r="K82" i="25"/>
  <c r="L80" i="25"/>
  <c r="K57" i="25"/>
  <c r="K50" i="25"/>
  <c r="L48" i="25"/>
  <c r="K36" i="25"/>
  <c r="L34" i="25"/>
  <c r="L32" i="25"/>
  <c r="L26" i="25"/>
  <c r="K22" i="25"/>
  <c r="K21" i="25"/>
  <c r="L20" i="25"/>
  <c r="K14" i="25"/>
  <c r="K13" i="25"/>
  <c r="K19" i="25"/>
  <c r="L18" i="25"/>
  <c r="L204" i="25"/>
  <c r="L172" i="25"/>
  <c r="L156" i="25"/>
  <c r="L140" i="25"/>
  <c r="L124" i="25"/>
  <c r="K90" i="25"/>
  <c r="K58" i="25"/>
  <c r="L56" i="25"/>
  <c r="K24" i="25"/>
  <c r="K16" i="25"/>
  <c r="K15" i="25"/>
  <c r="L14" i="25"/>
  <c r="L628" i="25"/>
  <c r="L626" i="25"/>
  <c r="K628" i="25"/>
  <c r="K626" i="25"/>
  <c r="L623" i="25"/>
  <c r="K623" i="25"/>
  <c r="L622" i="25"/>
  <c r="K622" i="25"/>
  <c r="J613" i="25"/>
  <c r="J611" i="25"/>
  <c r="J609" i="25"/>
  <c r="A624" i="25"/>
  <c r="I613" i="25"/>
  <c r="I611" i="25"/>
  <c r="I609" i="25"/>
  <c r="W624" i="25"/>
  <c r="I612" i="25"/>
  <c r="I610" i="25"/>
  <c r="I608" i="25"/>
  <c r="C634" i="25"/>
  <c r="I605" i="25"/>
  <c r="I603" i="25"/>
  <c r="I601" i="25"/>
  <c r="I599" i="25"/>
  <c r="I597" i="25"/>
  <c r="J607" i="25"/>
  <c r="J606" i="25"/>
  <c r="J604" i="25"/>
  <c r="J602" i="25"/>
  <c r="J600" i="25"/>
  <c r="J598" i="25"/>
  <c r="J612" i="25"/>
  <c r="J605" i="25"/>
  <c r="J603" i="25"/>
  <c r="J601" i="25"/>
  <c r="J599" i="25"/>
  <c r="J597" i="25"/>
  <c r="J595" i="25"/>
  <c r="J593" i="25"/>
  <c r="J608" i="25"/>
  <c r="I602" i="25"/>
  <c r="I594" i="25"/>
  <c r="I593" i="25"/>
  <c r="J592" i="25"/>
  <c r="J590" i="25"/>
  <c r="J588" i="25"/>
  <c r="J586" i="25"/>
  <c r="I607" i="25"/>
  <c r="I604" i="25"/>
  <c r="I592" i="25"/>
  <c r="I590" i="25"/>
  <c r="I588" i="25"/>
  <c r="I586" i="25"/>
  <c r="I584" i="25"/>
  <c r="I600" i="25"/>
  <c r="I596" i="25"/>
  <c r="I595" i="25"/>
  <c r="J594" i="25"/>
  <c r="I591" i="25"/>
  <c r="I589" i="25"/>
  <c r="I587" i="25"/>
  <c r="I585" i="25"/>
  <c r="I583" i="25"/>
  <c r="I581" i="25"/>
  <c r="I579" i="25"/>
  <c r="I598" i="25"/>
  <c r="J596" i="25"/>
  <c r="J589" i="25"/>
  <c r="J584" i="25"/>
  <c r="J583" i="25"/>
  <c r="I582" i="25"/>
  <c r="J580" i="25"/>
  <c r="I577" i="25"/>
  <c r="I575" i="25"/>
  <c r="I573" i="25"/>
  <c r="I571" i="25"/>
  <c r="I569" i="25"/>
  <c r="I567" i="25"/>
  <c r="I565" i="25"/>
  <c r="I563" i="25"/>
  <c r="I561" i="25"/>
  <c r="I559" i="25"/>
  <c r="I557" i="25"/>
  <c r="J610" i="25"/>
  <c r="I606" i="25"/>
  <c r="J591" i="25"/>
  <c r="J581" i="25"/>
  <c r="I580" i="25"/>
  <c r="J578" i="25"/>
  <c r="J576" i="25"/>
  <c r="J574" i="25"/>
  <c r="J572" i="25"/>
  <c r="J570" i="25"/>
  <c r="J568" i="25"/>
  <c r="J566" i="25"/>
  <c r="J587" i="25"/>
  <c r="J582" i="25"/>
  <c r="J577" i="25"/>
  <c r="J575" i="25"/>
  <c r="J573" i="25"/>
  <c r="J571" i="25"/>
  <c r="J569" i="25"/>
  <c r="J567" i="25"/>
  <c r="I578" i="25"/>
  <c r="I574" i="25"/>
  <c r="I566" i="25"/>
  <c r="J561" i="25"/>
  <c r="I560" i="25"/>
  <c r="J558" i="25"/>
  <c r="I556" i="25"/>
  <c r="I554" i="25"/>
  <c r="I552" i="25"/>
  <c r="I550" i="25"/>
  <c r="I548" i="25"/>
  <c r="I546" i="25"/>
  <c r="I544" i="25"/>
  <c r="I542" i="25"/>
  <c r="I540" i="25"/>
  <c r="I538" i="25"/>
  <c r="I536" i="25"/>
  <c r="I534" i="25"/>
  <c r="I532" i="25"/>
  <c r="I530" i="25"/>
  <c r="I528" i="25"/>
  <c r="I526" i="25"/>
  <c r="I576" i="25"/>
  <c r="I568" i="25"/>
  <c r="J565" i="25"/>
  <c r="J564" i="25"/>
  <c r="J559" i="25"/>
  <c r="I558" i="25"/>
  <c r="J555" i="25"/>
  <c r="J553" i="25"/>
  <c r="J551" i="25"/>
  <c r="J549" i="25"/>
  <c r="J547" i="25"/>
  <c r="J545" i="25"/>
  <c r="J543" i="25"/>
  <c r="J541" i="25"/>
  <c r="J539" i="25"/>
  <c r="J585" i="25"/>
  <c r="J579" i="25"/>
  <c r="I572" i="25"/>
  <c r="J563" i="25"/>
  <c r="I562" i="25"/>
  <c r="J560" i="25"/>
  <c r="J556" i="25"/>
  <c r="J554" i="25"/>
  <c r="J552" i="25"/>
  <c r="J550" i="25"/>
  <c r="J548" i="25"/>
  <c r="J546" i="25"/>
  <c r="J544" i="25"/>
  <c r="J542" i="25"/>
  <c r="J540" i="25"/>
  <c r="I570" i="25"/>
  <c r="I555" i="25"/>
  <c r="I547" i="25"/>
  <c r="I539" i="25"/>
  <c r="J537" i="25"/>
  <c r="J532" i="25"/>
  <c r="I531" i="25"/>
  <c r="J529" i="25"/>
  <c r="J524" i="25"/>
  <c r="I549" i="25"/>
  <c r="I541" i="25"/>
  <c r="J538" i="25"/>
  <c r="I537" i="25"/>
  <c r="J535" i="25"/>
  <c r="J530" i="25"/>
  <c r="I529" i="25"/>
  <c r="J527" i="25"/>
  <c r="I524" i="25"/>
  <c r="I553" i="25"/>
  <c r="I545" i="25"/>
  <c r="J534" i="25"/>
  <c r="I533" i="25"/>
  <c r="J531" i="25"/>
  <c r="J526" i="25"/>
  <c r="I525" i="25"/>
  <c r="I523" i="25"/>
  <c r="I521" i="25"/>
  <c r="I519" i="25"/>
  <c r="I517" i="25"/>
  <c r="I515" i="25"/>
  <c r="I513" i="25"/>
  <c r="I551" i="25"/>
  <c r="I535" i="25"/>
  <c r="J533" i="25"/>
  <c r="J528" i="25"/>
  <c r="J519" i="25"/>
  <c r="I518" i="25"/>
  <c r="J516" i="25"/>
  <c r="I510" i="25"/>
  <c r="I508" i="25"/>
  <c r="I506" i="25"/>
  <c r="I504" i="25"/>
  <c r="I502" i="25"/>
  <c r="I500" i="25"/>
  <c r="I498" i="25"/>
  <c r="I496" i="25"/>
  <c r="I494" i="25"/>
  <c r="I492" i="25"/>
  <c r="I490" i="25"/>
  <c r="I488" i="25"/>
  <c r="I486" i="25"/>
  <c r="I484" i="25"/>
  <c r="I482" i="25"/>
  <c r="I480" i="25"/>
  <c r="I478" i="25"/>
  <c r="I476" i="25"/>
  <c r="I474" i="25"/>
  <c r="I472" i="25"/>
  <c r="I470" i="25"/>
  <c r="I468" i="25"/>
  <c r="I466" i="25"/>
  <c r="J562" i="25"/>
  <c r="I527" i="25"/>
  <c r="J525" i="25"/>
  <c r="J522" i="25"/>
  <c r="J517" i="25"/>
  <c r="I516" i="25"/>
  <c r="J514" i="25"/>
  <c r="J511" i="25"/>
  <c r="J509" i="25"/>
  <c r="J507" i="25"/>
  <c r="J505" i="25"/>
  <c r="J503" i="25"/>
  <c r="J501" i="25"/>
  <c r="J499" i="25"/>
  <c r="J497" i="25"/>
  <c r="J495" i="25"/>
  <c r="J493" i="25"/>
  <c r="J491" i="25"/>
  <c r="J489" i="25"/>
  <c r="J487" i="25"/>
  <c r="J485" i="25"/>
  <c r="J483" i="25"/>
  <c r="I564" i="25"/>
  <c r="J557" i="25"/>
  <c r="I543" i="25"/>
  <c r="J536" i="25"/>
  <c r="J521" i="25"/>
  <c r="I520" i="25"/>
  <c r="J518" i="25"/>
  <c r="J513" i="25"/>
  <c r="I512" i="25"/>
  <c r="J510" i="25"/>
  <c r="J508" i="25"/>
  <c r="J506" i="25"/>
  <c r="J504" i="25"/>
  <c r="J502" i="25"/>
  <c r="J500" i="25"/>
  <c r="J498" i="25"/>
  <c r="J496" i="25"/>
  <c r="J494" i="25"/>
  <c r="J492" i="25"/>
  <c r="J490" i="25"/>
  <c r="J488" i="25"/>
  <c r="J486" i="25"/>
  <c r="I514" i="25"/>
  <c r="J512" i="25"/>
  <c r="I507" i="25"/>
  <c r="I499" i="25"/>
  <c r="I491" i="25"/>
  <c r="I483" i="25"/>
  <c r="J481" i="25"/>
  <c r="J476" i="25"/>
  <c r="I475" i="25"/>
  <c r="J473" i="25"/>
  <c r="J468" i="25"/>
  <c r="I467" i="25"/>
  <c r="J465" i="25"/>
  <c r="J463" i="25"/>
  <c r="J461" i="25"/>
  <c r="J459" i="25"/>
  <c r="J457" i="25"/>
  <c r="J455" i="25"/>
  <c r="J453" i="25"/>
  <c r="J451" i="25"/>
  <c r="J449" i="25"/>
  <c r="J447" i="25"/>
  <c r="J445" i="25"/>
  <c r="J443" i="25"/>
  <c r="J441" i="25"/>
  <c r="J439" i="25"/>
  <c r="J437" i="25"/>
  <c r="J435" i="25"/>
  <c r="J433" i="25"/>
  <c r="J431" i="25"/>
  <c r="J429" i="25"/>
  <c r="J427" i="25"/>
  <c r="J425" i="25"/>
  <c r="J423" i="25"/>
  <c r="J421" i="25"/>
  <c r="J419" i="25"/>
  <c r="J417" i="25"/>
  <c r="J415" i="25"/>
  <c r="J413" i="25"/>
  <c r="J411" i="25"/>
  <c r="J409" i="25"/>
  <c r="J407" i="25"/>
  <c r="J405" i="25"/>
  <c r="J403" i="25"/>
  <c r="J401" i="25"/>
  <c r="I509" i="25"/>
  <c r="I501" i="25"/>
  <c r="I493" i="25"/>
  <c r="I485" i="25"/>
  <c r="J482" i="25"/>
  <c r="I481" i="25"/>
  <c r="J479" i="25"/>
  <c r="J474" i="25"/>
  <c r="I473" i="25"/>
  <c r="J471" i="25"/>
  <c r="J466" i="25"/>
  <c r="I465" i="25"/>
  <c r="I463" i="25"/>
  <c r="I461" i="25"/>
  <c r="I459" i="25"/>
  <c r="I457" i="25"/>
  <c r="I455" i="25"/>
  <c r="I453" i="25"/>
  <c r="I451" i="25"/>
  <c r="I449" i="25"/>
  <c r="I447" i="25"/>
  <c r="I445" i="25"/>
  <c r="I443" i="25"/>
  <c r="I441" i="25"/>
  <c r="I439" i="25"/>
  <c r="I437" i="25"/>
  <c r="I435" i="25"/>
  <c r="I433" i="25"/>
  <c r="I431" i="25"/>
  <c r="I429" i="25"/>
  <c r="I522" i="25"/>
  <c r="J520" i="25"/>
  <c r="J515" i="25"/>
  <c r="I505" i="25"/>
  <c r="I497" i="25"/>
  <c r="I489" i="25"/>
  <c r="J478" i="25"/>
  <c r="I477" i="25"/>
  <c r="J475" i="25"/>
  <c r="J470" i="25"/>
  <c r="I469" i="25"/>
  <c r="J467" i="25"/>
  <c r="I464" i="25"/>
  <c r="I462" i="25"/>
  <c r="I460" i="25"/>
  <c r="I458" i="25"/>
  <c r="I456" i="25"/>
  <c r="I454" i="25"/>
  <c r="I452" i="25"/>
  <c r="I450" i="25"/>
  <c r="I448" i="25"/>
  <c r="I446" i="25"/>
  <c r="I444" i="25"/>
  <c r="I442" i="25"/>
  <c r="I440" i="25"/>
  <c r="I438" i="25"/>
  <c r="I436" i="25"/>
  <c r="I434" i="25"/>
  <c r="I432" i="25"/>
  <c r="I430" i="25"/>
  <c r="J523" i="25"/>
  <c r="I495" i="25"/>
  <c r="J480" i="25"/>
  <c r="J460" i="25"/>
  <c r="J452" i="25"/>
  <c r="J444" i="25"/>
  <c r="J436" i="25"/>
  <c r="I424" i="25"/>
  <c r="I423" i="25"/>
  <c r="J422" i="25"/>
  <c r="I416" i="25"/>
  <c r="I415" i="25"/>
  <c r="J414" i="25"/>
  <c r="I408" i="25"/>
  <c r="I407" i="25"/>
  <c r="J406" i="25"/>
  <c r="I503" i="25"/>
  <c r="I479" i="25"/>
  <c r="J477" i="25"/>
  <c r="J472" i="25"/>
  <c r="J462" i="25"/>
  <c r="J454" i="25"/>
  <c r="J446" i="25"/>
  <c r="J438" i="25"/>
  <c r="J430" i="25"/>
  <c r="I422" i="25"/>
  <c r="I421" i="25"/>
  <c r="J420" i="25"/>
  <c r="I414" i="25"/>
  <c r="I413" i="25"/>
  <c r="J412" i="25"/>
  <c r="I406" i="25"/>
  <c r="I405" i="25"/>
  <c r="J404" i="25"/>
  <c r="I487" i="25"/>
  <c r="J484" i="25"/>
  <c r="J458" i="25"/>
  <c r="J450" i="25"/>
  <c r="J442" i="25"/>
  <c r="J434" i="25"/>
  <c r="I428" i="25"/>
  <c r="I426" i="25"/>
  <c r="I425" i="25"/>
  <c r="J424" i="25"/>
  <c r="I418" i="25"/>
  <c r="I417" i="25"/>
  <c r="J416" i="25"/>
  <c r="I410" i="25"/>
  <c r="I409" i="25"/>
  <c r="J408" i="25"/>
  <c r="I402" i="25"/>
  <c r="I401" i="25"/>
  <c r="J400" i="25"/>
  <c r="J398" i="25"/>
  <c r="J396" i="25"/>
  <c r="J394" i="25"/>
  <c r="J392" i="25"/>
  <c r="J390" i="25"/>
  <c r="J388" i="25"/>
  <c r="J386" i="25"/>
  <c r="J384" i="25"/>
  <c r="J382" i="25"/>
  <c r="J380" i="25"/>
  <c r="J378" i="25"/>
  <c r="J376" i="25"/>
  <c r="J456" i="25"/>
  <c r="I427" i="25"/>
  <c r="J426" i="25"/>
  <c r="I420" i="25"/>
  <c r="I397" i="25"/>
  <c r="I396" i="25"/>
  <c r="J395" i="25"/>
  <c r="I389" i="25"/>
  <c r="I388" i="25"/>
  <c r="J387" i="25"/>
  <c r="I381" i="25"/>
  <c r="I380" i="25"/>
  <c r="J379" i="25"/>
  <c r="J374" i="25"/>
  <c r="J372" i="25"/>
  <c r="J370" i="25"/>
  <c r="J368" i="25"/>
  <c r="J366" i="25"/>
  <c r="J364" i="25"/>
  <c r="J362" i="25"/>
  <c r="J360" i="25"/>
  <c r="J358" i="25"/>
  <c r="J356" i="25"/>
  <c r="J354" i="25"/>
  <c r="J352" i="25"/>
  <c r="J350" i="25"/>
  <c r="J348" i="25"/>
  <c r="J346" i="25"/>
  <c r="J344" i="25"/>
  <c r="J342" i="25"/>
  <c r="J340" i="25"/>
  <c r="J338" i="25"/>
  <c r="J336" i="25"/>
  <c r="J334" i="25"/>
  <c r="J332" i="25"/>
  <c r="J330" i="25"/>
  <c r="J328" i="25"/>
  <c r="J326" i="25"/>
  <c r="J324" i="25"/>
  <c r="J322" i="25"/>
  <c r="J320" i="25"/>
  <c r="J318" i="25"/>
  <c r="J316" i="25"/>
  <c r="J314" i="25"/>
  <c r="J312" i="25"/>
  <c r="J310" i="25"/>
  <c r="J308" i="25"/>
  <c r="J306" i="25"/>
  <c r="J304" i="25"/>
  <c r="J302" i="25"/>
  <c r="J300" i="25"/>
  <c r="J298" i="25"/>
  <c r="J296" i="25"/>
  <c r="J294" i="25"/>
  <c r="J292" i="25"/>
  <c r="J290" i="25"/>
  <c r="J288" i="25"/>
  <c r="J286" i="25"/>
  <c r="J284" i="25"/>
  <c r="J282" i="25"/>
  <c r="J280" i="25"/>
  <c r="I511" i="25"/>
  <c r="I471" i="25"/>
  <c r="J464" i="25"/>
  <c r="J432" i="25"/>
  <c r="I419" i="25"/>
  <c r="J418" i="25"/>
  <c r="I412" i="25"/>
  <c r="I395" i="25"/>
  <c r="I394" i="25"/>
  <c r="J393" i="25"/>
  <c r="I387" i="25"/>
  <c r="I386" i="25"/>
  <c r="J385" i="25"/>
  <c r="I379" i="25"/>
  <c r="I378" i="25"/>
  <c r="J377" i="25"/>
  <c r="I374" i="25"/>
  <c r="I372" i="25"/>
  <c r="I370" i="25"/>
  <c r="I368" i="25"/>
  <c r="I366" i="25"/>
  <c r="J469" i="25"/>
  <c r="J448" i="25"/>
  <c r="J428" i="25"/>
  <c r="I403" i="25"/>
  <c r="J402" i="25"/>
  <c r="I399" i="25"/>
  <c r="I398" i="25"/>
  <c r="J397" i="25"/>
  <c r="I391" i="25"/>
  <c r="I390" i="25"/>
  <c r="J389" i="25"/>
  <c r="I383" i="25"/>
  <c r="I382" i="25"/>
  <c r="J381" i="25"/>
  <c r="I375" i="25"/>
  <c r="I373" i="25"/>
  <c r="I371" i="25"/>
  <c r="I369" i="25"/>
  <c r="I367" i="25"/>
  <c r="I365" i="25"/>
  <c r="I363" i="25"/>
  <c r="I361" i="25"/>
  <c r="I359" i="25"/>
  <c r="I357" i="25"/>
  <c r="I355" i="25"/>
  <c r="I353" i="25"/>
  <c r="I351" i="25"/>
  <c r="I349" i="25"/>
  <c r="I347" i="25"/>
  <c r="I345" i="25"/>
  <c r="J440" i="25"/>
  <c r="J410" i="25"/>
  <c r="I400" i="25"/>
  <c r="J399" i="25"/>
  <c r="I393" i="25"/>
  <c r="J369" i="25"/>
  <c r="I339" i="25"/>
  <c r="I338" i="25"/>
  <c r="J337" i="25"/>
  <c r="I331" i="25"/>
  <c r="I330" i="25"/>
  <c r="J329" i="25"/>
  <c r="I323" i="25"/>
  <c r="I322" i="25"/>
  <c r="J321" i="25"/>
  <c r="I315" i="25"/>
  <c r="I314" i="25"/>
  <c r="J313" i="25"/>
  <c r="I307" i="25"/>
  <c r="I306" i="25"/>
  <c r="J305" i="25"/>
  <c r="I299" i="25"/>
  <c r="I298" i="25"/>
  <c r="J297" i="25"/>
  <c r="I291" i="25"/>
  <c r="I290" i="25"/>
  <c r="J289" i="25"/>
  <c r="I283" i="25"/>
  <c r="I282" i="25"/>
  <c r="J281" i="25"/>
  <c r="J277" i="25"/>
  <c r="J275" i="25"/>
  <c r="J273" i="25"/>
  <c r="J271" i="25"/>
  <c r="J269" i="25"/>
  <c r="J267" i="25"/>
  <c r="J265" i="25"/>
  <c r="I392" i="25"/>
  <c r="J391" i="25"/>
  <c r="I385" i="25"/>
  <c r="J371" i="25"/>
  <c r="I364" i="25"/>
  <c r="J363" i="25"/>
  <c r="I360" i="25"/>
  <c r="J359" i="25"/>
  <c r="I356" i="25"/>
  <c r="J355" i="25"/>
  <c r="I352" i="25"/>
  <c r="J351" i="25"/>
  <c r="I348" i="25"/>
  <c r="J347" i="25"/>
  <c r="I344" i="25"/>
  <c r="J343" i="25"/>
  <c r="I337" i="25"/>
  <c r="I336" i="25"/>
  <c r="J335" i="25"/>
  <c r="I329" i="25"/>
  <c r="I328" i="25"/>
  <c r="J327" i="25"/>
  <c r="I321" i="25"/>
  <c r="I320" i="25"/>
  <c r="J319" i="25"/>
  <c r="I313" i="25"/>
  <c r="I312" i="25"/>
  <c r="J311" i="25"/>
  <c r="I305" i="25"/>
  <c r="I304" i="25"/>
  <c r="J303" i="25"/>
  <c r="I297" i="25"/>
  <c r="I296" i="25"/>
  <c r="J295" i="25"/>
  <c r="I289" i="25"/>
  <c r="I288" i="25"/>
  <c r="J287" i="25"/>
  <c r="I281" i="25"/>
  <c r="I280" i="25"/>
  <c r="J279" i="25"/>
  <c r="I277" i="25"/>
  <c r="I275" i="25"/>
  <c r="I273" i="25"/>
  <c r="I271" i="25"/>
  <c r="I269" i="25"/>
  <c r="I267" i="25"/>
  <c r="I265" i="25"/>
  <c r="I411" i="25"/>
  <c r="I404" i="25"/>
  <c r="I376" i="25"/>
  <c r="J375" i="25"/>
  <c r="J367" i="25"/>
  <c r="I362" i="25"/>
  <c r="J361" i="25"/>
  <c r="I358" i="25"/>
  <c r="J357" i="25"/>
  <c r="I354" i="25"/>
  <c r="J353" i="25"/>
  <c r="I350" i="25"/>
  <c r="J349" i="25"/>
  <c r="I346" i="25"/>
  <c r="J345" i="25"/>
  <c r="I341" i="25"/>
  <c r="I340" i="25"/>
  <c r="J339" i="25"/>
  <c r="I333" i="25"/>
  <c r="I332" i="25"/>
  <c r="J331" i="25"/>
  <c r="I325" i="25"/>
  <c r="I324" i="25"/>
  <c r="J323" i="25"/>
  <c r="I317" i="25"/>
  <c r="I316" i="25"/>
  <c r="J315" i="25"/>
  <c r="I309" i="25"/>
  <c r="I308" i="25"/>
  <c r="J307" i="25"/>
  <c r="I301" i="25"/>
  <c r="I300" i="25"/>
  <c r="J299" i="25"/>
  <c r="I293" i="25"/>
  <c r="I292" i="25"/>
  <c r="J291" i="25"/>
  <c r="I285" i="25"/>
  <c r="I284" i="25"/>
  <c r="J283" i="25"/>
  <c r="I278" i="25"/>
  <c r="I276" i="25"/>
  <c r="I274" i="25"/>
  <c r="I272" i="25"/>
  <c r="I270" i="25"/>
  <c r="I268" i="25"/>
  <c r="I266" i="25"/>
  <c r="I264" i="25"/>
  <c r="I262" i="25"/>
  <c r="I260" i="25"/>
  <c r="I258" i="25"/>
  <c r="I256" i="25"/>
  <c r="I254" i="25"/>
  <c r="I252" i="25"/>
  <c r="I250" i="25"/>
  <c r="I248" i="25"/>
  <c r="I246" i="25"/>
  <c r="I244" i="25"/>
  <c r="I242" i="25"/>
  <c r="I240" i="25"/>
  <c r="I238" i="25"/>
  <c r="I236" i="25"/>
  <c r="I234" i="25"/>
  <c r="I232" i="25"/>
  <c r="I230" i="25"/>
  <c r="I228" i="25"/>
  <c r="I226" i="25"/>
  <c r="J365" i="25"/>
  <c r="I326" i="25"/>
  <c r="J325" i="25"/>
  <c r="I319" i="25"/>
  <c r="I294" i="25"/>
  <c r="J293" i="25"/>
  <c r="I287" i="25"/>
  <c r="J272" i="25"/>
  <c r="J263" i="25"/>
  <c r="J258" i="25"/>
  <c r="I257" i="25"/>
  <c r="J255" i="25"/>
  <c r="J250" i="25"/>
  <c r="I249" i="25"/>
  <c r="J247" i="25"/>
  <c r="J242" i="25"/>
  <c r="I241" i="25"/>
  <c r="J239" i="25"/>
  <c r="J234" i="25"/>
  <c r="I233" i="25"/>
  <c r="J231" i="25"/>
  <c r="J226" i="25"/>
  <c r="I224" i="25"/>
  <c r="I222" i="25"/>
  <c r="I220" i="25"/>
  <c r="I218" i="25"/>
  <c r="I216" i="25"/>
  <c r="I214" i="25"/>
  <c r="I212" i="25"/>
  <c r="I210" i="25"/>
  <c r="I208" i="25"/>
  <c r="I206" i="25"/>
  <c r="I204" i="25"/>
  <c r="I202" i="25"/>
  <c r="I200" i="25"/>
  <c r="I198" i="25"/>
  <c r="I196" i="25"/>
  <c r="I194" i="25"/>
  <c r="I192" i="25"/>
  <c r="I190" i="25"/>
  <c r="I188" i="25"/>
  <c r="I186" i="25"/>
  <c r="I184" i="25"/>
  <c r="I182" i="25"/>
  <c r="I180" i="25"/>
  <c r="I178" i="25"/>
  <c r="I176" i="25"/>
  <c r="I174" i="25"/>
  <c r="I172" i="25"/>
  <c r="I170" i="25"/>
  <c r="I168" i="25"/>
  <c r="I166" i="25"/>
  <c r="I164" i="25"/>
  <c r="I162" i="25"/>
  <c r="I160" i="25"/>
  <c r="I158" i="25"/>
  <c r="I156" i="25"/>
  <c r="I154" i="25"/>
  <c r="I152" i="25"/>
  <c r="I150" i="25"/>
  <c r="I148" i="25"/>
  <c r="I146" i="25"/>
  <c r="I144" i="25"/>
  <c r="I142" i="25"/>
  <c r="I140" i="25"/>
  <c r="I138" i="25"/>
  <c r="I136" i="25"/>
  <c r="I134" i="25"/>
  <c r="I132" i="25"/>
  <c r="I130" i="25"/>
  <c r="I128" i="25"/>
  <c r="I126" i="25"/>
  <c r="I124" i="25"/>
  <c r="I122" i="25"/>
  <c r="I120" i="25"/>
  <c r="J373" i="25"/>
  <c r="I343" i="25"/>
  <c r="I318" i="25"/>
  <c r="J317" i="25"/>
  <c r="I311" i="25"/>
  <c r="I286" i="25"/>
  <c r="J285" i="25"/>
  <c r="I279" i="25"/>
  <c r="J274" i="25"/>
  <c r="J266" i="25"/>
  <c r="J264" i="25"/>
  <c r="I263" i="25"/>
  <c r="J261" i="25"/>
  <c r="J256" i="25"/>
  <c r="I255" i="25"/>
  <c r="J253" i="25"/>
  <c r="J248" i="25"/>
  <c r="I247" i="25"/>
  <c r="J245" i="25"/>
  <c r="J240" i="25"/>
  <c r="I239" i="25"/>
  <c r="J237" i="25"/>
  <c r="J232" i="25"/>
  <c r="I231" i="25"/>
  <c r="J229" i="25"/>
  <c r="J225" i="25"/>
  <c r="J223" i="25"/>
  <c r="J221" i="25"/>
  <c r="J383" i="25"/>
  <c r="I334" i="25"/>
  <c r="J333" i="25"/>
  <c r="I327" i="25"/>
  <c r="I302" i="25"/>
  <c r="J301" i="25"/>
  <c r="I295" i="25"/>
  <c r="J278" i="25"/>
  <c r="J270" i="25"/>
  <c r="J260" i="25"/>
  <c r="I259" i="25"/>
  <c r="J257" i="25"/>
  <c r="J252" i="25"/>
  <c r="I251" i="25"/>
  <c r="J249" i="25"/>
  <c r="J244" i="25"/>
  <c r="I243" i="25"/>
  <c r="J241" i="25"/>
  <c r="J236" i="25"/>
  <c r="I235" i="25"/>
  <c r="J233" i="25"/>
  <c r="J228" i="25"/>
  <c r="I227" i="25"/>
  <c r="J224" i="25"/>
  <c r="J222" i="25"/>
  <c r="J220" i="25"/>
  <c r="J218" i="25"/>
  <c r="J216" i="25"/>
  <c r="J214" i="25"/>
  <c r="J212" i="25"/>
  <c r="J210" i="25"/>
  <c r="J208" i="25"/>
  <c r="J206" i="25"/>
  <c r="J204" i="25"/>
  <c r="J202" i="25"/>
  <c r="J200" i="25"/>
  <c r="J198" i="25"/>
  <c r="J196" i="25"/>
  <c r="J194" i="25"/>
  <c r="J192" i="25"/>
  <c r="J190" i="25"/>
  <c r="J188" i="25"/>
  <c r="J186" i="25"/>
  <c r="J184" i="25"/>
  <c r="J182" i="25"/>
  <c r="J180" i="25"/>
  <c r="J178" i="25"/>
  <c r="J176" i="25"/>
  <c r="J174" i="25"/>
  <c r="J172" i="25"/>
  <c r="J170" i="25"/>
  <c r="J168" i="25"/>
  <c r="J166" i="25"/>
  <c r="J164" i="25"/>
  <c r="J162" i="25"/>
  <c r="J160" i="25"/>
  <c r="J158" i="25"/>
  <c r="J156" i="25"/>
  <c r="J154" i="25"/>
  <c r="J152" i="25"/>
  <c r="J150" i="25"/>
  <c r="J148" i="25"/>
  <c r="J146" i="25"/>
  <c r="J144" i="25"/>
  <c r="J142" i="25"/>
  <c r="J140" i="25"/>
  <c r="J138" i="25"/>
  <c r="J136" i="25"/>
  <c r="J134" i="25"/>
  <c r="J132" i="25"/>
  <c r="J130" i="25"/>
  <c r="J128" i="25"/>
  <c r="J126" i="25"/>
  <c r="J124" i="25"/>
  <c r="J122" i="25"/>
  <c r="J120" i="25"/>
  <c r="J118" i="25"/>
  <c r="J116" i="25"/>
  <c r="J114" i="25"/>
  <c r="J112" i="25"/>
  <c r="J110" i="25"/>
  <c r="J108" i="25"/>
  <c r="J106" i="25"/>
  <c r="J104" i="25"/>
  <c r="J102" i="25"/>
  <c r="J100" i="25"/>
  <c r="J98" i="25"/>
  <c r="J96" i="25"/>
  <c r="J94" i="25"/>
  <c r="J92" i="25"/>
  <c r="J90" i="25"/>
  <c r="J88" i="25"/>
  <c r="J86" i="25"/>
  <c r="J84" i="25"/>
  <c r="J82" i="25"/>
  <c r="J80" i="25"/>
  <c r="J78" i="25"/>
  <c r="J76" i="25"/>
  <c r="J74" i="25"/>
  <c r="J72" i="25"/>
  <c r="J70" i="25"/>
  <c r="J68" i="25"/>
  <c r="J66" i="25"/>
  <c r="J64" i="25"/>
  <c r="J62" i="25"/>
  <c r="J60" i="25"/>
  <c r="J58" i="25"/>
  <c r="J56" i="25"/>
  <c r="J54" i="25"/>
  <c r="J52" i="25"/>
  <c r="J50" i="25"/>
  <c r="J48" i="25"/>
  <c r="J46" i="25"/>
  <c r="J44" i="25"/>
  <c r="J42" i="25"/>
  <c r="J40" i="25"/>
  <c r="J38" i="25"/>
  <c r="J36" i="25"/>
  <c r="J34" i="25"/>
  <c r="J32" i="25"/>
  <c r="J30" i="25"/>
  <c r="J309" i="25"/>
  <c r="J276" i="25"/>
  <c r="I245" i="25"/>
  <c r="J243" i="25"/>
  <c r="J238" i="25"/>
  <c r="I217" i="25"/>
  <c r="I213" i="25"/>
  <c r="I209" i="25"/>
  <c r="I205" i="25"/>
  <c r="I201" i="25"/>
  <c r="I197" i="25"/>
  <c r="I193" i="25"/>
  <c r="I189" i="25"/>
  <c r="I185" i="25"/>
  <c r="I181" i="25"/>
  <c r="I177" i="25"/>
  <c r="I173" i="25"/>
  <c r="I169" i="25"/>
  <c r="I165" i="25"/>
  <c r="I161" i="25"/>
  <c r="I157" i="25"/>
  <c r="I153" i="25"/>
  <c r="I149" i="25"/>
  <c r="I145" i="25"/>
  <c r="I141" i="25"/>
  <c r="I137" i="25"/>
  <c r="I133" i="25"/>
  <c r="I129" i="25"/>
  <c r="I125" i="25"/>
  <c r="I121" i="25"/>
  <c r="J119" i="25"/>
  <c r="I113" i="25"/>
  <c r="I112" i="25"/>
  <c r="J111" i="25"/>
  <c r="I105" i="25"/>
  <c r="I104" i="25"/>
  <c r="J103" i="25"/>
  <c r="I97" i="25"/>
  <c r="I96" i="25"/>
  <c r="J95" i="25"/>
  <c r="I89" i="25"/>
  <c r="I88" i="25"/>
  <c r="J87" i="25"/>
  <c r="I81" i="25"/>
  <c r="I80" i="25"/>
  <c r="J79" i="25"/>
  <c r="I73" i="25"/>
  <c r="I72" i="25"/>
  <c r="J71" i="25"/>
  <c r="I65" i="25"/>
  <c r="I64" i="25"/>
  <c r="I49" i="25"/>
  <c r="I40" i="25"/>
  <c r="I26" i="25"/>
  <c r="I377" i="25"/>
  <c r="J262" i="25"/>
  <c r="I237" i="25"/>
  <c r="J235" i="25"/>
  <c r="J230" i="25"/>
  <c r="I221" i="25"/>
  <c r="J219" i="25"/>
  <c r="J215" i="25"/>
  <c r="J211" i="25"/>
  <c r="J207" i="25"/>
  <c r="J203" i="25"/>
  <c r="J199" i="25"/>
  <c r="J195" i="25"/>
  <c r="J191" i="25"/>
  <c r="J187" i="25"/>
  <c r="J183" i="25"/>
  <c r="J179" i="25"/>
  <c r="J175" i="25"/>
  <c r="J171" i="25"/>
  <c r="J167" i="25"/>
  <c r="J163" i="25"/>
  <c r="J159" i="25"/>
  <c r="J155" i="25"/>
  <c r="J151" i="25"/>
  <c r="J147" i="25"/>
  <c r="J143" i="25"/>
  <c r="J139" i="25"/>
  <c r="J135" i="25"/>
  <c r="J131" i="25"/>
  <c r="J127" i="25"/>
  <c r="J123" i="25"/>
  <c r="I119" i="25"/>
  <c r="I118" i="25"/>
  <c r="J117" i="25"/>
  <c r="I111" i="25"/>
  <c r="I110" i="25"/>
  <c r="J109" i="25"/>
  <c r="I103" i="25"/>
  <c r="I102" i="25"/>
  <c r="J101" i="25"/>
  <c r="I95" i="25"/>
  <c r="I94" i="25"/>
  <c r="J93" i="25"/>
  <c r="I87" i="25"/>
  <c r="I86" i="25"/>
  <c r="J85" i="25"/>
  <c r="I79" i="25"/>
  <c r="I78" i="25"/>
  <c r="J77" i="25"/>
  <c r="I71" i="25"/>
  <c r="I70" i="25"/>
  <c r="J69" i="25"/>
  <c r="I63" i="25"/>
  <c r="I62" i="25"/>
  <c r="J61" i="25"/>
  <c r="I55" i="25"/>
  <c r="I54" i="25"/>
  <c r="J53" i="25"/>
  <c r="I47" i="25"/>
  <c r="I46" i="25"/>
  <c r="J45" i="25"/>
  <c r="J341" i="25"/>
  <c r="I310" i="25"/>
  <c r="I303" i="25"/>
  <c r="J268" i="25"/>
  <c r="I253" i="25"/>
  <c r="J251" i="25"/>
  <c r="J246" i="25"/>
  <c r="I225" i="25"/>
  <c r="J217" i="25"/>
  <c r="J213" i="25"/>
  <c r="J209" i="25"/>
  <c r="J205" i="25"/>
  <c r="J201" i="25"/>
  <c r="J197" i="25"/>
  <c r="J193" i="25"/>
  <c r="J189" i="25"/>
  <c r="J185" i="25"/>
  <c r="J181" i="25"/>
  <c r="J177" i="25"/>
  <c r="J173" i="25"/>
  <c r="J169" i="25"/>
  <c r="J165" i="25"/>
  <c r="J161" i="25"/>
  <c r="J157" i="25"/>
  <c r="J153" i="25"/>
  <c r="J149" i="25"/>
  <c r="J145" i="25"/>
  <c r="J141" i="25"/>
  <c r="J137" i="25"/>
  <c r="J133" i="25"/>
  <c r="J129" i="25"/>
  <c r="J125" i="25"/>
  <c r="J121" i="25"/>
  <c r="I115" i="25"/>
  <c r="I114" i="25"/>
  <c r="J113" i="25"/>
  <c r="I107" i="25"/>
  <c r="I106" i="25"/>
  <c r="J105" i="25"/>
  <c r="I99" i="25"/>
  <c r="I98" i="25"/>
  <c r="J97" i="25"/>
  <c r="I91" i="25"/>
  <c r="I90" i="25"/>
  <c r="J89" i="25"/>
  <c r="I83" i="25"/>
  <c r="I82" i="25"/>
  <c r="J81" i="25"/>
  <c r="I75" i="25"/>
  <c r="I74" i="25"/>
  <c r="J73" i="25"/>
  <c r="I67" i="25"/>
  <c r="I66" i="25"/>
  <c r="J65" i="25"/>
  <c r="I59" i="25"/>
  <c r="I58" i="25"/>
  <c r="J57" i="25"/>
  <c r="I51" i="25"/>
  <c r="I50" i="25"/>
  <c r="J49" i="25"/>
  <c r="I43" i="25"/>
  <c r="I42" i="25"/>
  <c r="J41" i="25"/>
  <c r="I35" i="25"/>
  <c r="I34" i="25"/>
  <c r="J33" i="25"/>
  <c r="J28" i="25"/>
  <c r="J26" i="25"/>
  <c r="J24" i="25"/>
  <c r="J22" i="25"/>
  <c r="J20" i="25"/>
  <c r="J18" i="25"/>
  <c r="J16" i="25"/>
  <c r="J14" i="25"/>
  <c r="J63" i="25"/>
  <c r="I57" i="25"/>
  <c r="I56" i="25"/>
  <c r="J55" i="25"/>
  <c r="I48" i="25"/>
  <c r="J47" i="25"/>
  <c r="I41" i="25"/>
  <c r="J39" i="25"/>
  <c r="I33" i="25"/>
  <c r="I32" i="25"/>
  <c r="J31" i="25"/>
  <c r="I28" i="25"/>
  <c r="I261" i="25"/>
  <c r="J254" i="25"/>
  <c r="I223" i="25"/>
  <c r="I211" i="25"/>
  <c r="I195" i="25"/>
  <c r="I179" i="25"/>
  <c r="I163" i="25"/>
  <c r="I147" i="25"/>
  <c r="I131" i="25"/>
  <c r="I108" i="25"/>
  <c r="J107" i="25"/>
  <c r="I101" i="25"/>
  <c r="I76" i="25"/>
  <c r="J75" i="25"/>
  <c r="I69" i="25"/>
  <c r="I44" i="25"/>
  <c r="J43" i="25"/>
  <c r="I36" i="25"/>
  <c r="I30" i="25"/>
  <c r="J29" i="25"/>
  <c r="J27" i="25"/>
  <c r="I23" i="25"/>
  <c r="I22" i="25"/>
  <c r="I187" i="25"/>
  <c r="I155" i="25"/>
  <c r="I92" i="25"/>
  <c r="I85" i="25"/>
  <c r="J59" i="25"/>
  <c r="I18" i="25"/>
  <c r="I335" i="25"/>
  <c r="I229" i="25"/>
  <c r="I215" i="25"/>
  <c r="I199" i="25"/>
  <c r="I183" i="25"/>
  <c r="I167" i="25"/>
  <c r="I151" i="25"/>
  <c r="I135" i="25"/>
  <c r="I100" i="25"/>
  <c r="J99" i="25"/>
  <c r="I93" i="25"/>
  <c r="I68" i="25"/>
  <c r="J67" i="25"/>
  <c r="I61" i="25"/>
  <c r="I39" i="25"/>
  <c r="J35" i="25"/>
  <c r="I29" i="25"/>
  <c r="I27" i="25"/>
  <c r="I21" i="25"/>
  <c r="I20" i="25"/>
  <c r="J19" i="25"/>
  <c r="I342" i="25"/>
  <c r="J259" i="25"/>
  <c r="I203" i="25"/>
  <c r="I123" i="25"/>
  <c r="J91" i="25"/>
  <c r="I60" i="25"/>
  <c r="I38" i="25"/>
  <c r="J37" i="25"/>
  <c r="I19" i="25"/>
  <c r="I384" i="25"/>
  <c r="J227" i="25"/>
  <c r="I207" i="25"/>
  <c r="I191" i="25"/>
  <c r="I175" i="25"/>
  <c r="I159" i="25"/>
  <c r="I143" i="25"/>
  <c r="I127" i="25"/>
  <c r="I116" i="25"/>
  <c r="J115" i="25"/>
  <c r="I109" i="25"/>
  <c r="I84" i="25"/>
  <c r="J83" i="25"/>
  <c r="I77" i="25"/>
  <c r="I52" i="25"/>
  <c r="J51" i="25"/>
  <c r="I45" i="25"/>
  <c r="I37" i="25"/>
  <c r="I31" i="25"/>
  <c r="I25" i="25"/>
  <c r="I24" i="25"/>
  <c r="J23" i="25"/>
  <c r="I17" i="25"/>
  <c r="I16" i="25"/>
  <c r="J15" i="25"/>
  <c r="J21" i="25"/>
  <c r="I15" i="25"/>
  <c r="I14" i="25"/>
  <c r="J13" i="25"/>
  <c r="I13" i="25"/>
  <c r="I219" i="25"/>
  <c r="I171" i="25"/>
  <c r="I139" i="25"/>
  <c r="I117" i="25"/>
  <c r="I53" i="25"/>
  <c r="J25" i="25"/>
  <c r="J17" i="25"/>
  <c r="I628" i="25"/>
  <c r="J626" i="25"/>
  <c r="I626" i="25"/>
  <c r="J628" i="25"/>
  <c r="J623" i="25"/>
  <c r="I623" i="25"/>
  <c r="J622" i="25"/>
  <c r="I622" i="25"/>
  <c r="B355" i="2"/>
  <c r="F71" i="1"/>
  <c r="F70" i="1"/>
  <c r="A355" i="2"/>
  <c r="B220" i="2"/>
  <c r="B236" i="2"/>
  <c r="C5" i="17"/>
  <c r="E64" i="1"/>
  <c r="C4" i="17"/>
  <c r="D49" i="16" l="1"/>
  <c r="O625" i="25"/>
  <c r="P625" i="25"/>
  <c r="O624" i="25"/>
  <c r="P624" i="25"/>
  <c r="L625" i="25"/>
  <c r="D625" i="25"/>
  <c r="K625" i="25"/>
  <c r="C625" i="25"/>
  <c r="I625" i="25"/>
  <c r="E625" i="25"/>
  <c r="F625" i="25"/>
  <c r="J625" i="25"/>
  <c r="A629" i="25"/>
  <c r="A627" i="25"/>
  <c r="K624" i="25"/>
  <c r="C624" i="25"/>
  <c r="N624" i="25"/>
  <c r="J624" i="25"/>
  <c r="F624" i="25"/>
  <c r="L624" i="25"/>
  <c r="D624" i="25"/>
  <c r="E624" i="25"/>
  <c r="I624" i="25"/>
  <c r="C7" i="17"/>
  <c r="M81" i="17" s="1"/>
  <c r="F72" i="1"/>
  <c r="A629" i="17"/>
  <c r="A627" i="17"/>
  <c r="H627" i="17" s="1"/>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H627" i="25" l="1"/>
  <c r="G627" i="25"/>
  <c r="P627" i="25"/>
  <c r="O627" i="25"/>
  <c r="Y624" i="25"/>
  <c r="N613" i="25"/>
  <c r="N611" i="25"/>
  <c r="N609" i="25"/>
  <c r="M613" i="25"/>
  <c r="M611" i="25"/>
  <c r="M609" i="25"/>
  <c r="M612" i="25"/>
  <c r="M610" i="25"/>
  <c r="M608" i="25"/>
  <c r="M605" i="25"/>
  <c r="M603" i="25"/>
  <c r="M601" i="25"/>
  <c r="M599" i="25"/>
  <c r="M597" i="25"/>
  <c r="N610" i="25"/>
  <c r="N606" i="25"/>
  <c r="N604" i="25"/>
  <c r="N602" i="25"/>
  <c r="N600" i="25"/>
  <c r="N598" i="25"/>
  <c r="N608" i="25"/>
  <c r="M607" i="25"/>
  <c r="N605" i="25"/>
  <c r="N603" i="25"/>
  <c r="N601" i="25"/>
  <c r="N599" i="25"/>
  <c r="N597" i="25"/>
  <c r="N595" i="25"/>
  <c r="N593" i="25"/>
  <c r="N607" i="25"/>
  <c r="M604" i="25"/>
  <c r="M596" i="25"/>
  <c r="M595" i="25"/>
  <c r="N594" i="25"/>
  <c r="N590" i="25"/>
  <c r="N588" i="25"/>
  <c r="N586" i="25"/>
  <c r="M606" i="25"/>
  <c r="M598" i="25"/>
  <c r="M594" i="25"/>
  <c r="M593" i="25"/>
  <c r="N592" i="25"/>
  <c r="M590" i="25"/>
  <c r="M588" i="25"/>
  <c r="M586" i="25"/>
  <c r="M584" i="25"/>
  <c r="M602" i="25"/>
  <c r="N596" i="25"/>
  <c r="M591" i="25"/>
  <c r="M589" i="25"/>
  <c r="M587" i="25"/>
  <c r="M585" i="25"/>
  <c r="M583" i="25"/>
  <c r="M581" i="25"/>
  <c r="M579" i="25"/>
  <c r="M577" i="25"/>
  <c r="N612" i="25"/>
  <c r="N591" i="25"/>
  <c r="N582" i="25"/>
  <c r="N577" i="25"/>
  <c r="M575" i="25"/>
  <c r="M573" i="25"/>
  <c r="M571" i="25"/>
  <c r="M569" i="25"/>
  <c r="M567" i="25"/>
  <c r="M565" i="25"/>
  <c r="M563" i="25"/>
  <c r="M561" i="25"/>
  <c r="M559" i="25"/>
  <c r="M557" i="25"/>
  <c r="M600" i="25"/>
  <c r="N585" i="25"/>
  <c r="N583" i="25"/>
  <c r="M582" i="25"/>
  <c r="N580" i="25"/>
  <c r="N576" i="25"/>
  <c r="N574" i="25"/>
  <c r="N572" i="25"/>
  <c r="N570" i="25"/>
  <c r="N568" i="25"/>
  <c r="N566" i="25"/>
  <c r="M592" i="25"/>
  <c r="N589" i="25"/>
  <c r="N579" i="25"/>
  <c r="M578" i="25"/>
  <c r="N575" i="25"/>
  <c r="N573" i="25"/>
  <c r="N571" i="25"/>
  <c r="N569" i="25"/>
  <c r="N567" i="25"/>
  <c r="N584" i="25"/>
  <c r="M576" i="25"/>
  <c r="M568" i="25"/>
  <c r="N563" i="25"/>
  <c r="M562" i="25"/>
  <c r="N560" i="25"/>
  <c r="M556" i="25"/>
  <c r="M554" i="25"/>
  <c r="M552" i="25"/>
  <c r="M550" i="25"/>
  <c r="M548" i="25"/>
  <c r="M546" i="25"/>
  <c r="M544" i="25"/>
  <c r="M542" i="25"/>
  <c r="M540" i="25"/>
  <c r="M538" i="25"/>
  <c r="M536" i="25"/>
  <c r="M534" i="25"/>
  <c r="M532" i="25"/>
  <c r="M530" i="25"/>
  <c r="M528" i="25"/>
  <c r="M526" i="25"/>
  <c r="M570" i="25"/>
  <c r="N561" i="25"/>
  <c r="M560" i="25"/>
  <c r="N558" i="25"/>
  <c r="N555" i="25"/>
  <c r="N553" i="25"/>
  <c r="N551" i="25"/>
  <c r="N549" i="25"/>
  <c r="N547" i="25"/>
  <c r="N545" i="25"/>
  <c r="N543" i="25"/>
  <c r="N541" i="25"/>
  <c r="N539" i="25"/>
  <c r="N587" i="25"/>
  <c r="N578" i="25"/>
  <c r="M574" i="25"/>
  <c r="M566" i="25"/>
  <c r="N565" i="25"/>
  <c r="M564" i="25"/>
  <c r="N562" i="25"/>
  <c r="N557" i="25"/>
  <c r="N556" i="25"/>
  <c r="N554" i="25"/>
  <c r="N552" i="25"/>
  <c r="N550" i="25"/>
  <c r="N548" i="25"/>
  <c r="N546" i="25"/>
  <c r="N544" i="25"/>
  <c r="N542" i="25"/>
  <c r="N540" i="25"/>
  <c r="M549" i="25"/>
  <c r="M541" i="25"/>
  <c r="N534" i="25"/>
  <c r="M533" i="25"/>
  <c r="N531" i="25"/>
  <c r="N526" i="25"/>
  <c r="M525" i="25"/>
  <c r="N524" i="25"/>
  <c r="M572" i="25"/>
  <c r="N564" i="25"/>
  <c r="N559" i="25"/>
  <c r="M558" i="25"/>
  <c r="M551" i="25"/>
  <c r="M543" i="25"/>
  <c r="N537" i="25"/>
  <c r="N532" i="25"/>
  <c r="M531" i="25"/>
  <c r="N529" i="25"/>
  <c r="M524" i="25"/>
  <c r="M580" i="25"/>
  <c r="M555" i="25"/>
  <c r="M547" i="25"/>
  <c r="M539" i="25"/>
  <c r="N536" i="25"/>
  <c r="M535" i="25"/>
  <c r="N533" i="25"/>
  <c r="N528" i="25"/>
  <c r="M527" i="25"/>
  <c r="N525" i="25"/>
  <c r="M523" i="25"/>
  <c r="M521" i="25"/>
  <c r="M519" i="25"/>
  <c r="M517" i="25"/>
  <c r="M515" i="25"/>
  <c r="M513" i="25"/>
  <c r="N581" i="25"/>
  <c r="M545" i="25"/>
  <c r="N527" i="25"/>
  <c r="N521" i="25"/>
  <c r="M520" i="25"/>
  <c r="N518" i="25"/>
  <c r="N513" i="25"/>
  <c r="M512" i="25"/>
  <c r="M510" i="25"/>
  <c r="M508" i="25"/>
  <c r="M506" i="25"/>
  <c r="M504" i="25"/>
  <c r="M502" i="25"/>
  <c r="M500" i="25"/>
  <c r="M498" i="25"/>
  <c r="M496" i="25"/>
  <c r="M494" i="25"/>
  <c r="M492" i="25"/>
  <c r="M490" i="25"/>
  <c r="M488" i="25"/>
  <c r="M486" i="25"/>
  <c r="M484" i="25"/>
  <c r="M482" i="25"/>
  <c r="M480" i="25"/>
  <c r="M478" i="25"/>
  <c r="M476" i="25"/>
  <c r="M474" i="25"/>
  <c r="M472" i="25"/>
  <c r="M470" i="25"/>
  <c r="M468" i="25"/>
  <c r="M466" i="25"/>
  <c r="M464" i="25"/>
  <c r="M553" i="25"/>
  <c r="N519" i="25"/>
  <c r="M518" i="25"/>
  <c r="N516" i="25"/>
  <c r="N511" i="25"/>
  <c r="N509" i="25"/>
  <c r="N507" i="25"/>
  <c r="N505" i="25"/>
  <c r="N503" i="25"/>
  <c r="N501" i="25"/>
  <c r="N499" i="25"/>
  <c r="N497" i="25"/>
  <c r="N495" i="25"/>
  <c r="N493" i="25"/>
  <c r="N491" i="25"/>
  <c r="N489" i="25"/>
  <c r="N487" i="25"/>
  <c r="N485" i="25"/>
  <c r="N483" i="25"/>
  <c r="N535" i="25"/>
  <c r="N530" i="25"/>
  <c r="M529" i="25"/>
  <c r="N523" i="25"/>
  <c r="M522" i="25"/>
  <c r="N520" i="25"/>
  <c r="N515" i="25"/>
  <c r="M514" i="25"/>
  <c r="N512" i="25"/>
  <c r="N510" i="25"/>
  <c r="N508" i="25"/>
  <c r="N506" i="25"/>
  <c r="N504" i="25"/>
  <c r="N502" i="25"/>
  <c r="N500" i="25"/>
  <c r="N498" i="25"/>
  <c r="N496" i="25"/>
  <c r="N494" i="25"/>
  <c r="N492" i="25"/>
  <c r="N490" i="25"/>
  <c r="N488" i="25"/>
  <c r="N486" i="25"/>
  <c r="N538" i="25"/>
  <c r="M509" i="25"/>
  <c r="M501" i="25"/>
  <c r="M493" i="25"/>
  <c r="M485" i="25"/>
  <c r="N484" i="25"/>
  <c r="N478" i="25"/>
  <c r="M477" i="25"/>
  <c r="N475" i="25"/>
  <c r="N470" i="25"/>
  <c r="M469" i="25"/>
  <c r="N467" i="25"/>
  <c r="N463" i="25"/>
  <c r="N461" i="25"/>
  <c r="N459" i="25"/>
  <c r="N457" i="25"/>
  <c r="N455" i="25"/>
  <c r="N453" i="25"/>
  <c r="N451" i="25"/>
  <c r="N449" i="25"/>
  <c r="N447" i="25"/>
  <c r="N445" i="25"/>
  <c r="N443" i="25"/>
  <c r="N441" i="25"/>
  <c r="N439" i="25"/>
  <c r="N437" i="25"/>
  <c r="N435" i="25"/>
  <c r="N433" i="25"/>
  <c r="N431" i="25"/>
  <c r="N429" i="25"/>
  <c r="N427" i="25"/>
  <c r="N425" i="25"/>
  <c r="N423" i="25"/>
  <c r="N421" i="25"/>
  <c r="N419" i="25"/>
  <c r="N417" i="25"/>
  <c r="N415" i="25"/>
  <c r="N413" i="25"/>
  <c r="N411" i="25"/>
  <c r="N409" i="25"/>
  <c r="N407" i="25"/>
  <c r="N405" i="25"/>
  <c r="N403" i="25"/>
  <c r="N401" i="25"/>
  <c r="M537" i="25"/>
  <c r="M511" i="25"/>
  <c r="M503" i="25"/>
  <c r="M495" i="25"/>
  <c r="M487" i="25"/>
  <c r="N481" i="25"/>
  <c r="N476" i="25"/>
  <c r="M475" i="25"/>
  <c r="N473" i="25"/>
  <c r="N468" i="25"/>
  <c r="M467" i="25"/>
  <c r="N465" i="25"/>
  <c r="M463" i="25"/>
  <c r="M461" i="25"/>
  <c r="M459" i="25"/>
  <c r="M457" i="25"/>
  <c r="M455" i="25"/>
  <c r="M453" i="25"/>
  <c r="M451" i="25"/>
  <c r="M449" i="25"/>
  <c r="M447" i="25"/>
  <c r="M445" i="25"/>
  <c r="M443" i="25"/>
  <c r="M441" i="25"/>
  <c r="M439" i="25"/>
  <c r="M437" i="25"/>
  <c r="M435" i="25"/>
  <c r="M433" i="25"/>
  <c r="M431" i="25"/>
  <c r="M429" i="25"/>
  <c r="N514" i="25"/>
  <c r="M507" i="25"/>
  <c r="M499" i="25"/>
  <c r="M491" i="25"/>
  <c r="N480" i="25"/>
  <c r="M479" i="25"/>
  <c r="N477" i="25"/>
  <c r="N472" i="25"/>
  <c r="M471" i="25"/>
  <c r="N469" i="25"/>
  <c r="N464" i="25"/>
  <c r="M462" i="25"/>
  <c r="M460" i="25"/>
  <c r="M458" i="25"/>
  <c r="M456" i="25"/>
  <c r="M454" i="25"/>
  <c r="M452" i="25"/>
  <c r="M450" i="25"/>
  <c r="M448" i="25"/>
  <c r="M446" i="25"/>
  <c r="M444" i="25"/>
  <c r="M442" i="25"/>
  <c r="M440" i="25"/>
  <c r="M438" i="25"/>
  <c r="M436" i="25"/>
  <c r="M434" i="25"/>
  <c r="M432" i="25"/>
  <c r="M430" i="25"/>
  <c r="N517" i="25"/>
  <c r="M489" i="25"/>
  <c r="N479" i="25"/>
  <c r="N474" i="25"/>
  <c r="M473" i="25"/>
  <c r="N462" i="25"/>
  <c r="N454" i="25"/>
  <c r="N446" i="25"/>
  <c r="N438" i="25"/>
  <c r="N430" i="25"/>
  <c r="N428" i="25"/>
  <c r="M426" i="25"/>
  <c r="M425" i="25"/>
  <c r="N424" i="25"/>
  <c r="M418" i="25"/>
  <c r="M417" i="25"/>
  <c r="N416" i="25"/>
  <c r="M410" i="25"/>
  <c r="M409" i="25"/>
  <c r="N408" i="25"/>
  <c r="M402" i="25"/>
  <c r="M401" i="25"/>
  <c r="N522" i="25"/>
  <c r="M516" i="25"/>
  <c r="M497" i="25"/>
  <c r="M483" i="25"/>
  <c r="N471" i="25"/>
  <c r="N466" i="25"/>
  <c r="M465" i="25"/>
  <c r="N456" i="25"/>
  <c r="N448" i="25"/>
  <c r="N440" i="25"/>
  <c r="N432" i="25"/>
  <c r="M428" i="25"/>
  <c r="M424" i="25"/>
  <c r="M423" i="25"/>
  <c r="N422" i="25"/>
  <c r="M416" i="25"/>
  <c r="M415" i="25"/>
  <c r="N414" i="25"/>
  <c r="M408" i="25"/>
  <c r="M407" i="25"/>
  <c r="N406" i="25"/>
  <c r="N482" i="25"/>
  <c r="M481" i="25"/>
  <c r="N460" i="25"/>
  <c r="N452" i="25"/>
  <c r="N444" i="25"/>
  <c r="N436" i="25"/>
  <c r="M427" i="25"/>
  <c r="N426" i="25"/>
  <c r="M420" i="25"/>
  <c r="M419" i="25"/>
  <c r="N418" i="25"/>
  <c r="M412" i="25"/>
  <c r="M411" i="25"/>
  <c r="N410" i="25"/>
  <c r="M404" i="25"/>
  <c r="M403" i="25"/>
  <c r="N402" i="25"/>
  <c r="N398" i="25"/>
  <c r="N396" i="25"/>
  <c r="N394" i="25"/>
  <c r="N392" i="25"/>
  <c r="N390" i="25"/>
  <c r="N388" i="25"/>
  <c r="N386" i="25"/>
  <c r="N384" i="25"/>
  <c r="N382" i="25"/>
  <c r="N380" i="25"/>
  <c r="N378" i="25"/>
  <c r="N376" i="25"/>
  <c r="N458" i="25"/>
  <c r="M414" i="25"/>
  <c r="M413" i="25"/>
  <c r="N412" i="25"/>
  <c r="M400" i="25"/>
  <c r="M399" i="25"/>
  <c r="M398" i="25"/>
  <c r="N397" i="25"/>
  <c r="M391" i="25"/>
  <c r="M390" i="25"/>
  <c r="N389" i="25"/>
  <c r="M383" i="25"/>
  <c r="M382" i="25"/>
  <c r="N381" i="25"/>
  <c r="M375" i="25"/>
  <c r="N374" i="25"/>
  <c r="N372" i="25"/>
  <c r="N370" i="25"/>
  <c r="N368" i="25"/>
  <c r="N366" i="25"/>
  <c r="N364" i="25"/>
  <c r="N362" i="25"/>
  <c r="N360" i="25"/>
  <c r="N358" i="25"/>
  <c r="N356" i="25"/>
  <c r="N354" i="25"/>
  <c r="N352" i="25"/>
  <c r="N350" i="25"/>
  <c r="N348" i="25"/>
  <c r="N346" i="25"/>
  <c r="N344" i="25"/>
  <c r="N342" i="25"/>
  <c r="N340" i="25"/>
  <c r="N338" i="25"/>
  <c r="N336" i="25"/>
  <c r="N334" i="25"/>
  <c r="N332" i="25"/>
  <c r="N330" i="25"/>
  <c r="N328" i="25"/>
  <c r="N326" i="25"/>
  <c r="N324" i="25"/>
  <c r="N322" i="25"/>
  <c r="N320" i="25"/>
  <c r="N318" i="25"/>
  <c r="N316" i="25"/>
  <c r="N314" i="25"/>
  <c r="N312" i="25"/>
  <c r="N310" i="25"/>
  <c r="N308" i="25"/>
  <c r="N306" i="25"/>
  <c r="N304" i="25"/>
  <c r="N302" i="25"/>
  <c r="N300" i="25"/>
  <c r="N298" i="25"/>
  <c r="N296" i="25"/>
  <c r="N294" i="25"/>
  <c r="N292" i="25"/>
  <c r="N290" i="25"/>
  <c r="N288" i="25"/>
  <c r="N286" i="25"/>
  <c r="N284" i="25"/>
  <c r="N282" i="25"/>
  <c r="N280" i="25"/>
  <c r="N434" i="25"/>
  <c r="M406" i="25"/>
  <c r="M405" i="25"/>
  <c r="N404" i="25"/>
  <c r="M397" i="25"/>
  <c r="M396" i="25"/>
  <c r="N395" i="25"/>
  <c r="M389" i="25"/>
  <c r="M388" i="25"/>
  <c r="N387" i="25"/>
  <c r="M381" i="25"/>
  <c r="M380" i="25"/>
  <c r="N379" i="25"/>
  <c r="M374" i="25"/>
  <c r="M372" i="25"/>
  <c r="M370" i="25"/>
  <c r="M368" i="25"/>
  <c r="M366" i="25"/>
  <c r="N450" i="25"/>
  <c r="M422" i="25"/>
  <c r="M421" i="25"/>
  <c r="N420" i="25"/>
  <c r="N400" i="25"/>
  <c r="N399" i="25"/>
  <c r="M393" i="25"/>
  <c r="M392" i="25"/>
  <c r="N391" i="25"/>
  <c r="M385" i="25"/>
  <c r="M384" i="25"/>
  <c r="N383" i="25"/>
  <c r="M377" i="25"/>
  <c r="M376" i="25"/>
  <c r="N375" i="25"/>
  <c r="M373" i="25"/>
  <c r="M371" i="25"/>
  <c r="M369" i="25"/>
  <c r="M367" i="25"/>
  <c r="M365" i="25"/>
  <c r="M363" i="25"/>
  <c r="M361" i="25"/>
  <c r="M359" i="25"/>
  <c r="M357" i="25"/>
  <c r="M355" i="25"/>
  <c r="M353" i="25"/>
  <c r="M351" i="25"/>
  <c r="M349" i="25"/>
  <c r="M347" i="25"/>
  <c r="M345" i="25"/>
  <c r="M387" i="25"/>
  <c r="M386" i="25"/>
  <c r="N385" i="25"/>
  <c r="N371" i="25"/>
  <c r="M341" i="25"/>
  <c r="M340" i="25"/>
  <c r="N339" i="25"/>
  <c r="M333" i="25"/>
  <c r="M332" i="25"/>
  <c r="N331" i="25"/>
  <c r="M325" i="25"/>
  <c r="M324" i="25"/>
  <c r="N323" i="25"/>
  <c r="M317" i="25"/>
  <c r="M316" i="25"/>
  <c r="N315" i="25"/>
  <c r="M309" i="25"/>
  <c r="M308" i="25"/>
  <c r="N307" i="25"/>
  <c r="M301" i="25"/>
  <c r="M300" i="25"/>
  <c r="N299" i="25"/>
  <c r="M293" i="25"/>
  <c r="M292" i="25"/>
  <c r="N291" i="25"/>
  <c r="M285" i="25"/>
  <c r="M284" i="25"/>
  <c r="N283" i="25"/>
  <c r="N277" i="25"/>
  <c r="N275" i="25"/>
  <c r="N273" i="25"/>
  <c r="N271" i="25"/>
  <c r="N269" i="25"/>
  <c r="N267" i="25"/>
  <c r="N265" i="25"/>
  <c r="M379" i="25"/>
  <c r="M378" i="25"/>
  <c r="N377" i="25"/>
  <c r="N373" i="25"/>
  <c r="N365" i="25"/>
  <c r="M362" i="25"/>
  <c r="N361" i="25"/>
  <c r="M358" i="25"/>
  <c r="N357" i="25"/>
  <c r="M354" i="25"/>
  <c r="N353" i="25"/>
  <c r="M350" i="25"/>
  <c r="N349" i="25"/>
  <c r="M346" i="25"/>
  <c r="N345" i="25"/>
  <c r="M339" i="25"/>
  <c r="M338" i="25"/>
  <c r="N337" i="25"/>
  <c r="M331" i="25"/>
  <c r="M330" i="25"/>
  <c r="N329" i="25"/>
  <c r="M323" i="25"/>
  <c r="M322" i="25"/>
  <c r="N321" i="25"/>
  <c r="M315" i="25"/>
  <c r="M314" i="25"/>
  <c r="N313" i="25"/>
  <c r="M307" i="25"/>
  <c r="M306" i="25"/>
  <c r="N305" i="25"/>
  <c r="M299" i="25"/>
  <c r="M298" i="25"/>
  <c r="N297" i="25"/>
  <c r="M291" i="25"/>
  <c r="M290" i="25"/>
  <c r="N289" i="25"/>
  <c r="M283" i="25"/>
  <c r="M282" i="25"/>
  <c r="N281" i="25"/>
  <c r="M277" i="25"/>
  <c r="M275" i="25"/>
  <c r="M273" i="25"/>
  <c r="M271" i="25"/>
  <c r="M269" i="25"/>
  <c r="M267" i="25"/>
  <c r="M265" i="25"/>
  <c r="M505" i="25"/>
  <c r="N442" i="25"/>
  <c r="M395" i="25"/>
  <c r="M394" i="25"/>
  <c r="N393" i="25"/>
  <c r="N369" i="25"/>
  <c r="M364" i="25"/>
  <c r="N363" i="25"/>
  <c r="M360" i="25"/>
  <c r="N359" i="25"/>
  <c r="M356" i="25"/>
  <c r="N355" i="25"/>
  <c r="M352" i="25"/>
  <c r="N351" i="25"/>
  <c r="M348" i="25"/>
  <c r="N347" i="25"/>
  <c r="M344" i="25"/>
  <c r="M343" i="25"/>
  <c r="M342" i="25"/>
  <c r="N341" i="25"/>
  <c r="M335" i="25"/>
  <c r="M334" i="25"/>
  <c r="N333" i="25"/>
  <c r="M327" i="25"/>
  <c r="M326" i="25"/>
  <c r="N325" i="25"/>
  <c r="M319" i="25"/>
  <c r="M318" i="25"/>
  <c r="N317" i="25"/>
  <c r="M311" i="25"/>
  <c r="M310" i="25"/>
  <c r="N309" i="25"/>
  <c r="M303" i="25"/>
  <c r="M302" i="25"/>
  <c r="N301" i="25"/>
  <c r="M295" i="25"/>
  <c r="M294" i="25"/>
  <c r="N293" i="25"/>
  <c r="M287" i="25"/>
  <c r="M286" i="25"/>
  <c r="N285" i="25"/>
  <c r="M279" i="25"/>
  <c r="M278" i="25"/>
  <c r="M276" i="25"/>
  <c r="M274" i="25"/>
  <c r="M272" i="25"/>
  <c r="M270" i="25"/>
  <c r="M268" i="25"/>
  <c r="M266" i="25"/>
  <c r="M264" i="25"/>
  <c r="M262" i="25"/>
  <c r="M260" i="25"/>
  <c r="M258" i="25"/>
  <c r="M256" i="25"/>
  <c r="M254" i="25"/>
  <c r="M252" i="25"/>
  <c r="M250" i="25"/>
  <c r="M248" i="25"/>
  <c r="M246" i="25"/>
  <c r="M244" i="25"/>
  <c r="M242" i="25"/>
  <c r="M240" i="25"/>
  <c r="M238" i="25"/>
  <c r="M236" i="25"/>
  <c r="M234" i="25"/>
  <c r="M232" i="25"/>
  <c r="M230" i="25"/>
  <c r="M228" i="25"/>
  <c r="M226" i="25"/>
  <c r="N367" i="25"/>
  <c r="N343" i="25"/>
  <c r="M313" i="25"/>
  <c r="M312" i="25"/>
  <c r="N311" i="25"/>
  <c r="M281" i="25"/>
  <c r="M280" i="25"/>
  <c r="N279" i="25"/>
  <c r="N274" i="25"/>
  <c r="N266" i="25"/>
  <c r="N260" i="25"/>
  <c r="M259" i="25"/>
  <c r="N257" i="25"/>
  <c r="N252" i="25"/>
  <c r="M251" i="25"/>
  <c r="N249" i="25"/>
  <c r="N244" i="25"/>
  <c r="M243" i="25"/>
  <c r="N241" i="25"/>
  <c r="N236" i="25"/>
  <c r="M235" i="25"/>
  <c r="N233" i="25"/>
  <c r="N228" i="25"/>
  <c r="M227" i="25"/>
  <c r="M224" i="25"/>
  <c r="M222" i="25"/>
  <c r="M220" i="25"/>
  <c r="M218" i="25"/>
  <c r="M216" i="25"/>
  <c r="M214" i="25"/>
  <c r="M212" i="25"/>
  <c r="M210" i="25"/>
  <c r="M208" i="25"/>
  <c r="M206" i="25"/>
  <c r="M204" i="25"/>
  <c r="M202" i="25"/>
  <c r="M200" i="25"/>
  <c r="M198" i="25"/>
  <c r="M196" i="25"/>
  <c r="M194" i="25"/>
  <c r="M192" i="25"/>
  <c r="M190" i="25"/>
  <c r="M188" i="25"/>
  <c r="M186" i="25"/>
  <c r="M184" i="25"/>
  <c r="M182" i="25"/>
  <c r="M180" i="25"/>
  <c r="M178" i="25"/>
  <c r="M176" i="25"/>
  <c r="M174" i="25"/>
  <c r="M172" i="25"/>
  <c r="M170" i="25"/>
  <c r="M168" i="25"/>
  <c r="M166" i="25"/>
  <c r="M164" i="25"/>
  <c r="M162" i="25"/>
  <c r="M160" i="25"/>
  <c r="M158" i="25"/>
  <c r="M156" i="25"/>
  <c r="M154" i="25"/>
  <c r="M152" i="25"/>
  <c r="M150" i="25"/>
  <c r="M148" i="25"/>
  <c r="M146" i="25"/>
  <c r="M144" i="25"/>
  <c r="M142" i="25"/>
  <c r="M140" i="25"/>
  <c r="M138" i="25"/>
  <c r="M136" i="25"/>
  <c r="M134" i="25"/>
  <c r="M132" i="25"/>
  <c r="M130" i="25"/>
  <c r="M128" i="25"/>
  <c r="M126" i="25"/>
  <c r="M124" i="25"/>
  <c r="M122" i="25"/>
  <c r="M120" i="25"/>
  <c r="M337" i="25"/>
  <c r="M336" i="25"/>
  <c r="N335" i="25"/>
  <c r="M305" i="25"/>
  <c r="M304" i="25"/>
  <c r="N303" i="25"/>
  <c r="N276" i="25"/>
  <c r="N268" i="25"/>
  <c r="N263" i="25"/>
  <c r="N258" i="25"/>
  <c r="M257" i="25"/>
  <c r="N255" i="25"/>
  <c r="N250" i="25"/>
  <c r="M249" i="25"/>
  <c r="N247" i="25"/>
  <c r="N242" i="25"/>
  <c r="M241" i="25"/>
  <c r="N239" i="25"/>
  <c r="N234" i="25"/>
  <c r="M233" i="25"/>
  <c r="N231" i="25"/>
  <c r="N226" i="25"/>
  <c r="N225" i="25"/>
  <c r="N223" i="25"/>
  <c r="N221" i="25"/>
  <c r="M321" i="25"/>
  <c r="M320" i="25"/>
  <c r="N319" i="25"/>
  <c r="M289" i="25"/>
  <c r="M288" i="25"/>
  <c r="N287" i="25"/>
  <c r="N272" i="25"/>
  <c r="N264" i="25"/>
  <c r="N262" i="25"/>
  <c r="M261" i="25"/>
  <c r="N259" i="25"/>
  <c r="N254" i="25"/>
  <c r="M253" i="25"/>
  <c r="N251" i="25"/>
  <c r="N246" i="25"/>
  <c r="M245" i="25"/>
  <c r="N243" i="25"/>
  <c r="N238" i="25"/>
  <c r="M237" i="25"/>
  <c r="N235" i="25"/>
  <c r="N230" i="25"/>
  <c r="M229" i="25"/>
  <c r="N227" i="25"/>
  <c r="N224" i="25"/>
  <c r="N222" i="25"/>
  <c r="N220" i="25"/>
  <c r="N218" i="25"/>
  <c r="N216" i="25"/>
  <c r="N214" i="25"/>
  <c r="N212" i="25"/>
  <c r="N210" i="25"/>
  <c r="N208" i="25"/>
  <c r="N206" i="25"/>
  <c r="N204" i="25"/>
  <c r="N202" i="25"/>
  <c r="N200" i="25"/>
  <c r="N198" i="25"/>
  <c r="N196" i="25"/>
  <c r="N194" i="25"/>
  <c r="N192" i="25"/>
  <c r="N190" i="25"/>
  <c r="N188" i="25"/>
  <c r="N186" i="25"/>
  <c r="N184" i="25"/>
  <c r="N182" i="25"/>
  <c r="N180" i="25"/>
  <c r="N178" i="25"/>
  <c r="N176" i="25"/>
  <c r="N174" i="25"/>
  <c r="N172" i="25"/>
  <c r="N170" i="25"/>
  <c r="N168" i="25"/>
  <c r="N166" i="25"/>
  <c r="N164" i="25"/>
  <c r="N162" i="25"/>
  <c r="N160" i="25"/>
  <c r="N158" i="25"/>
  <c r="N156" i="25"/>
  <c r="N154" i="25"/>
  <c r="N152" i="25"/>
  <c r="N150" i="25"/>
  <c r="N148" i="25"/>
  <c r="N146" i="25"/>
  <c r="N144" i="25"/>
  <c r="N142" i="25"/>
  <c r="N140" i="25"/>
  <c r="N138" i="25"/>
  <c r="N136" i="25"/>
  <c r="N134" i="25"/>
  <c r="N132" i="25"/>
  <c r="N130" i="25"/>
  <c r="N128" i="25"/>
  <c r="N126" i="25"/>
  <c r="N124" i="25"/>
  <c r="N122" i="25"/>
  <c r="N120" i="25"/>
  <c r="N118" i="25"/>
  <c r="N116" i="25"/>
  <c r="N114" i="25"/>
  <c r="N112" i="25"/>
  <c r="N110" i="25"/>
  <c r="N108" i="25"/>
  <c r="N106" i="25"/>
  <c r="N104" i="25"/>
  <c r="N102" i="25"/>
  <c r="N100" i="25"/>
  <c r="N98" i="25"/>
  <c r="N96" i="25"/>
  <c r="N94" i="25"/>
  <c r="N92" i="25"/>
  <c r="N90" i="25"/>
  <c r="N88" i="25"/>
  <c r="N86" i="25"/>
  <c r="N84" i="25"/>
  <c r="N82" i="25"/>
  <c r="N80" i="25"/>
  <c r="N78" i="25"/>
  <c r="N76" i="25"/>
  <c r="N74" i="25"/>
  <c r="N72" i="25"/>
  <c r="N70" i="25"/>
  <c r="N68" i="25"/>
  <c r="N66" i="25"/>
  <c r="N64" i="25"/>
  <c r="N62" i="25"/>
  <c r="N60" i="25"/>
  <c r="N58" i="25"/>
  <c r="N56" i="25"/>
  <c r="N54" i="25"/>
  <c r="N52" i="25"/>
  <c r="N50" i="25"/>
  <c r="N48" i="25"/>
  <c r="N46" i="25"/>
  <c r="N44" i="25"/>
  <c r="N42" i="25"/>
  <c r="N40" i="25"/>
  <c r="N38" i="25"/>
  <c r="N36" i="25"/>
  <c r="N34" i="25"/>
  <c r="N32" i="25"/>
  <c r="N30" i="25"/>
  <c r="N327" i="25"/>
  <c r="M296" i="25"/>
  <c r="N278" i="25"/>
  <c r="M263" i="25"/>
  <c r="N237" i="25"/>
  <c r="N232" i="25"/>
  <c r="M231" i="25"/>
  <c r="M221" i="25"/>
  <c r="M219" i="25"/>
  <c r="M215" i="25"/>
  <c r="M211" i="25"/>
  <c r="M207" i="25"/>
  <c r="M203" i="25"/>
  <c r="M199" i="25"/>
  <c r="M195" i="25"/>
  <c r="M191" i="25"/>
  <c r="M187" i="25"/>
  <c r="M183" i="25"/>
  <c r="M179" i="25"/>
  <c r="M175" i="25"/>
  <c r="M171" i="25"/>
  <c r="M167" i="25"/>
  <c r="M163" i="25"/>
  <c r="M159" i="25"/>
  <c r="M155" i="25"/>
  <c r="M151" i="25"/>
  <c r="M147" i="25"/>
  <c r="M143" i="25"/>
  <c r="M139" i="25"/>
  <c r="M135" i="25"/>
  <c r="M131" i="25"/>
  <c r="M127" i="25"/>
  <c r="M123" i="25"/>
  <c r="M115" i="25"/>
  <c r="M114" i="25"/>
  <c r="N113" i="25"/>
  <c r="M107" i="25"/>
  <c r="M106" i="25"/>
  <c r="N105" i="25"/>
  <c r="M99" i="25"/>
  <c r="M98" i="25"/>
  <c r="N97" i="25"/>
  <c r="M91" i="25"/>
  <c r="M90" i="25"/>
  <c r="N89" i="25"/>
  <c r="M83" i="25"/>
  <c r="M82" i="25"/>
  <c r="N81" i="25"/>
  <c r="M75" i="25"/>
  <c r="M74" i="25"/>
  <c r="N73" i="25"/>
  <c r="M67" i="25"/>
  <c r="M66" i="25"/>
  <c r="N65" i="25"/>
  <c r="M59" i="25"/>
  <c r="M58" i="25"/>
  <c r="M50" i="25"/>
  <c r="M35" i="25"/>
  <c r="N295" i="25"/>
  <c r="N261" i="25"/>
  <c r="N256" i="25"/>
  <c r="M255" i="25"/>
  <c r="N229" i="25"/>
  <c r="M223" i="25"/>
  <c r="N217" i="25"/>
  <c r="N213" i="25"/>
  <c r="N209" i="25"/>
  <c r="N205" i="25"/>
  <c r="N201" i="25"/>
  <c r="N197" i="25"/>
  <c r="N193" i="25"/>
  <c r="N189" i="25"/>
  <c r="N185" i="25"/>
  <c r="N181" i="25"/>
  <c r="N177" i="25"/>
  <c r="N173" i="25"/>
  <c r="N169" i="25"/>
  <c r="N165" i="25"/>
  <c r="N161" i="25"/>
  <c r="N157" i="25"/>
  <c r="N153" i="25"/>
  <c r="N149" i="25"/>
  <c r="N145" i="25"/>
  <c r="N141" i="25"/>
  <c r="N137" i="25"/>
  <c r="N133" i="25"/>
  <c r="N129" i="25"/>
  <c r="N125" i="25"/>
  <c r="N121" i="25"/>
  <c r="N119" i="25"/>
  <c r="M113" i="25"/>
  <c r="M112" i="25"/>
  <c r="N111" i="25"/>
  <c r="M105" i="25"/>
  <c r="M104" i="25"/>
  <c r="N103" i="25"/>
  <c r="M97" i="25"/>
  <c r="M96" i="25"/>
  <c r="N95" i="25"/>
  <c r="M89" i="25"/>
  <c r="M88" i="25"/>
  <c r="N87" i="25"/>
  <c r="M81" i="25"/>
  <c r="M80" i="25"/>
  <c r="N79" i="25"/>
  <c r="M73" i="25"/>
  <c r="M72" i="25"/>
  <c r="N71" i="25"/>
  <c r="M65" i="25"/>
  <c r="M64" i="25"/>
  <c r="N63" i="25"/>
  <c r="M57" i="25"/>
  <c r="M56" i="25"/>
  <c r="N55" i="25"/>
  <c r="M49" i="25"/>
  <c r="M48" i="25"/>
  <c r="N47" i="25"/>
  <c r="M41" i="25"/>
  <c r="M40" i="25"/>
  <c r="M328" i="25"/>
  <c r="M297" i="25"/>
  <c r="N270" i="25"/>
  <c r="N245" i="25"/>
  <c r="N240" i="25"/>
  <c r="M239" i="25"/>
  <c r="N219" i="25"/>
  <c r="N215" i="25"/>
  <c r="N211" i="25"/>
  <c r="N207" i="25"/>
  <c r="N203" i="25"/>
  <c r="N199" i="25"/>
  <c r="N195" i="25"/>
  <c r="N191" i="25"/>
  <c r="N187" i="25"/>
  <c r="N183" i="25"/>
  <c r="N179" i="25"/>
  <c r="N175" i="25"/>
  <c r="N171" i="25"/>
  <c r="N167" i="25"/>
  <c r="N163" i="25"/>
  <c r="N159" i="25"/>
  <c r="N155" i="25"/>
  <c r="N151" i="25"/>
  <c r="N147" i="25"/>
  <c r="N143" i="25"/>
  <c r="N139" i="25"/>
  <c r="N135" i="25"/>
  <c r="N131" i="25"/>
  <c r="N127" i="25"/>
  <c r="N123" i="25"/>
  <c r="M117" i="25"/>
  <c r="M116" i="25"/>
  <c r="N115" i="25"/>
  <c r="M109" i="25"/>
  <c r="M108" i="25"/>
  <c r="N107" i="25"/>
  <c r="M101" i="25"/>
  <c r="M100" i="25"/>
  <c r="N99" i="25"/>
  <c r="M93" i="25"/>
  <c r="M92" i="25"/>
  <c r="N91" i="25"/>
  <c r="M85" i="25"/>
  <c r="M84" i="25"/>
  <c r="N83" i="25"/>
  <c r="M77" i="25"/>
  <c r="M76" i="25"/>
  <c r="N75" i="25"/>
  <c r="M69" i="25"/>
  <c r="M68" i="25"/>
  <c r="N67" i="25"/>
  <c r="M61" i="25"/>
  <c r="M60" i="25"/>
  <c r="N59" i="25"/>
  <c r="M53" i="25"/>
  <c r="M52" i="25"/>
  <c r="N51" i="25"/>
  <c r="M45" i="25"/>
  <c r="M44" i="25"/>
  <c r="N43" i="25"/>
  <c r="M37" i="25"/>
  <c r="M36" i="25"/>
  <c r="N35" i="25"/>
  <c r="M29" i="25"/>
  <c r="N28" i="25"/>
  <c r="N26" i="25"/>
  <c r="N24" i="25"/>
  <c r="N22" i="25"/>
  <c r="N20" i="25"/>
  <c r="N18" i="25"/>
  <c r="N16" i="25"/>
  <c r="N14" i="25"/>
  <c r="N57" i="25"/>
  <c r="M51" i="25"/>
  <c r="N49" i="25"/>
  <c r="M43" i="25"/>
  <c r="M42" i="25"/>
  <c r="N41" i="25"/>
  <c r="M34" i="25"/>
  <c r="N33" i="25"/>
  <c r="M28" i="25"/>
  <c r="M26" i="25"/>
  <c r="M329" i="25"/>
  <c r="N248" i="25"/>
  <c r="M209" i="25"/>
  <c r="M193" i="25"/>
  <c r="M177" i="25"/>
  <c r="M161" i="25"/>
  <c r="M145" i="25"/>
  <c r="M129" i="25"/>
  <c r="M95" i="25"/>
  <c r="M94" i="25"/>
  <c r="N93" i="25"/>
  <c r="M63" i="25"/>
  <c r="M62" i="25"/>
  <c r="N61" i="25"/>
  <c r="M39" i="25"/>
  <c r="N25" i="25"/>
  <c r="M24" i="25"/>
  <c r="N23" i="25"/>
  <c r="M17" i="25"/>
  <c r="M16" i="25"/>
  <c r="N13" i="25"/>
  <c r="M201" i="25"/>
  <c r="M169" i="25"/>
  <c r="M137" i="25"/>
  <c r="M121" i="25"/>
  <c r="M79" i="25"/>
  <c r="N77" i="25"/>
  <c r="M46" i="25"/>
  <c r="N45" i="25"/>
  <c r="M31" i="25"/>
  <c r="N253" i="25"/>
  <c r="M247" i="25"/>
  <c r="M225" i="25"/>
  <c r="M213" i="25"/>
  <c r="M197" i="25"/>
  <c r="M181" i="25"/>
  <c r="M165" i="25"/>
  <c r="M149" i="25"/>
  <c r="M133" i="25"/>
  <c r="M119" i="25"/>
  <c r="M118" i="25"/>
  <c r="N117" i="25"/>
  <c r="M87" i="25"/>
  <c r="M86" i="25"/>
  <c r="N85" i="25"/>
  <c r="M55" i="25"/>
  <c r="M54" i="25"/>
  <c r="N53" i="25"/>
  <c r="M38" i="25"/>
  <c r="N37" i="25"/>
  <c r="N31" i="25"/>
  <c r="M25" i="25"/>
  <c r="M23" i="25"/>
  <c r="M22" i="25"/>
  <c r="N21" i="25"/>
  <c r="M15" i="25"/>
  <c r="M110" i="25"/>
  <c r="M78" i="25"/>
  <c r="M32" i="25"/>
  <c r="M205" i="25"/>
  <c r="M189" i="25"/>
  <c r="M173" i="25"/>
  <c r="M157" i="25"/>
  <c r="M141" i="25"/>
  <c r="M125" i="25"/>
  <c r="M103" i="25"/>
  <c r="M102" i="25"/>
  <c r="N101" i="25"/>
  <c r="M71" i="25"/>
  <c r="M70" i="25"/>
  <c r="N69" i="25"/>
  <c r="N39" i="25"/>
  <c r="M33" i="25"/>
  <c r="M30" i="25"/>
  <c r="N29" i="25"/>
  <c r="M27" i="25"/>
  <c r="M19" i="25"/>
  <c r="M18" i="25"/>
  <c r="N17" i="25"/>
  <c r="N15" i="25"/>
  <c r="M14" i="25"/>
  <c r="M217" i="25"/>
  <c r="M185" i="25"/>
  <c r="M153" i="25"/>
  <c r="M111" i="25"/>
  <c r="N109" i="25"/>
  <c r="M47" i="25"/>
  <c r="N27" i="25"/>
  <c r="M21" i="25"/>
  <c r="M20" i="25"/>
  <c r="N19" i="25"/>
  <c r="M13" i="25"/>
  <c r="N626" i="25"/>
  <c r="N628" i="25"/>
  <c r="R628" i="25" s="1"/>
  <c r="S628" i="25" s="1"/>
  <c r="M628" i="25"/>
  <c r="Q628" i="25" s="1"/>
  <c r="M626" i="25"/>
  <c r="N623" i="25"/>
  <c r="M623" i="25"/>
  <c r="Q623" i="25" s="1"/>
  <c r="N622" i="25"/>
  <c r="M622" i="25"/>
  <c r="AB625" i="25"/>
  <c r="M625" i="25"/>
  <c r="X625" i="25" s="1"/>
  <c r="AA624" i="25"/>
  <c r="E634" i="25" s="1"/>
  <c r="K627" i="25"/>
  <c r="C627" i="25"/>
  <c r="N627" i="25"/>
  <c r="J627" i="25"/>
  <c r="F627" i="25"/>
  <c r="L627" i="25"/>
  <c r="D627" i="25"/>
  <c r="I627" i="25"/>
  <c r="M627" i="25"/>
  <c r="E627" i="25"/>
  <c r="N625" i="25"/>
  <c r="R625" i="25" s="1"/>
  <c r="S625" i="25" s="1"/>
  <c r="M624" i="25"/>
  <c r="X624" i="25" s="1"/>
  <c r="R624" i="25"/>
  <c r="S624" i="25" s="1"/>
  <c r="AB624" i="25"/>
  <c r="AA625" i="25"/>
  <c r="E635" i="25" s="1"/>
  <c r="N592" i="17"/>
  <c r="R592" i="17" s="1"/>
  <c r="S592" i="17" s="1"/>
  <c r="N295" i="17"/>
  <c r="R295" i="17" s="1"/>
  <c r="S295" i="17" s="1"/>
  <c r="M345" i="17"/>
  <c r="X345" i="17" s="1"/>
  <c r="M572" i="17"/>
  <c r="Q572" i="17" s="1"/>
  <c r="U572" i="17" s="1"/>
  <c r="N40" i="17"/>
  <c r="R40" i="17" s="1"/>
  <c r="S40" i="17" s="1"/>
  <c r="N460" i="17"/>
  <c r="R460" i="17" s="1"/>
  <c r="S460" i="17" s="1"/>
  <c r="M36" i="17"/>
  <c r="Q36" i="17" s="1"/>
  <c r="U36" i="17" s="1"/>
  <c r="M263" i="17"/>
  <c r="X263" i="17" s="1"/>
  <c r="M417" i="17"/>
  <c r="Q417" i="17" s="1"/>
  <c r="U417" i="17" s="1"/>
  <c r="N130" i="17"/>
  <c r="R130" i="17" s="1"/>
  <c r="S130" i="17" s="1"/>
  <c r="M297" i="17"/>
  <c r="X297" i="17" s="1"/>
  <c r="M494" i="17"/>
  <c r="M277" i="17"/>
  <c r="Q277" i="17" s="1"/>
  <c r="U277" i="17" s="1"/>
  <c r="N443" i="17"/>
  <c r="Y443" i="17" s="1"/>
  <c r="N561" i="17"/>
  <c r="R561" i="17" s="1"/>
  <c r="S561" i="17" s="1"/>
  <c r="N127" i="17"/>
  <c r="R127" i="17" s="1"/>
  <c r="S127" i="17" s="1"/>
  <c r="M151" i="17"/>
  <c r="Q151" i="17" s="1"/>
  <c r="U151" i="17" s="1"/>
  <c r="M283" i="17"/>
  <c r="Q283" i="17" s="1"/>
  <c r="U283" i="17" s="1"/>
  <c r="N516" i="17"/>
  <c r="R516" i="17" s="1"/>
  <c r="S516" i="17" s="1"/>
  <c r="M487" i="17"/>
  <c r="Q487" i="17" s="1"/>
  <c r="N25" i="17"/>
  <c r="R25" i="17" s="1"/>
  <c r="S25" i="17" s="1"/>
  <c r="M326" i="17"/>
  <c r="X326" i="17" s="1"/>
  <c r="N524" i="17"/>
  <c r="Y524" i="17" s="1"/>
  <c r="N269" i="17"/>
  <c r="M435" i="17"/>
  <c r="Q435" i="17" s="1"/>
  <c r="U435" i="17" s="1"/>
  <c r="N156" i="17"/>
  <c r="R156" i="17" s="1"/>
  <c r="S156" i="17" s="1"/>
  <c r="N22" i="17"/>
  <c r="R22" i="17" s="1"/>
  <c r="S22" i="17" s="1"/>
  <c r="M320" i="17"/>
  <c r="M237" i="17"/>
  <c r="Q237" i="17" s="1"/>
  <c r="U237" i="17" s="1"/>
  <c r="N37" i="17"/>
  <c r="R37" i="17" s="1"/>
  <c r="S37" i="17" s="1"/>
  <c r="M252" i="17"/>
  <c r="Q252" i="17" s="1"/>
  <c r="U252" i="17" s="1"/>
  <c r="N394" i="17"/>
  <c r="Y394" i="17" s="1"/>
  <c r="N306" i="17"/>
  <c r="R306" i="17" s="1"/>
  <c r="S306" i="17" s="1"/>
  <c r="N361" i="17"/>
  <c r="R361" i="17" s="1"/>
  <c r="S361" i="17" s="1"/>
  <c r="N35" i="17"/>
  <c r="Y35" i="17" s="1"/>
  <c r="M381" i="17"/>
  <c r="M560" i="17"/>
  <c r="Q560" i="17" s="1"/>
  <c r="U560" i="17" s="1"/>
  <c r="N354" i="17"/>
  <c r="R354" i="17" s="1"/>
  <c r="S354" i="17" s="1"/>
  <c r="N206" i="17"/>
  <c r="Y206" i="17" s="1"/>
  <c r="M612" i="17"/>
  <c r="N518" i="17"/>
  <c r="R518" i="17" s="1"/>
  <c r="S518" i="17" s="1"/>
  <c r="M454" i="17"/>
  <c r="Q454" i="17" s="1"/>
  <c r="U454" i="17" s="1"/>
  <c r="N380" i="17"/>
  <c r="M212" i="17"/>
  <c r="M402" i="17"/>
  <c r="Q402" i="17" s="1"/>
  <c r="U402" i="17" s="1"/>
  <c r="N613" i="17"/>
  <c r="R613" i="17" s="1"/>
  <c r="S613" i="17" s="1"/>
  <c r="N446" i="17"/>
  <c r="R446" i="17" s="1"/>
  <c r="S446" i="17" s="1"/>
  <c r="M314" i="17"/>
  <c r="N549" i="17"/>
  <c r="R549" i="17" s="1"/>
  <c r="S549" i="17" s="1"/>
  <c r="N363" i="17"/>
  <c r="N229" i="17"/>
  <c r="N258" i="17"/>
  <c r="R258" i="17" s="1"/>
  <c r="S258" i="17" s="1"/>
  <c r="M161" i="17"/>
  <c r="Q161" i="17" s="1"/>
  <c r="U161" i="17" s="1"/>
  <c r="M578" i="17"/>
  <c r="Q578" i="17" s="1"/>
  <c r="U578" i="17" s="1"/>
  <c r="N489" i="17"/>
  <c r="N321" i="17"/>
  <c r="Y321" i="17" s="1"/>
  <c r="N255" i="17"/>
  <c r="Y255" i="17" s="1"/>
  <c r="N284" i="17"/>
  <c r="Y284" i="17" s="1"/>
  <c r="N116" i="17"/>
  <c r="N55" i="17"/>
  <c r="R55" i="17" s="1"/>
  <c r="S55" i="17" s="1"/>
  <c r="N104" i="17"/>
  <c r="R104" i="17" s="1"/>
  <c r="S104" i="17" s="1"/>
  <c r="M30" i="17"/>
  <c r="N78" i="17"/>
  <c r="R78" i="17" s="1"/>
  <c r="S78" i="17" s="1"/>
  <c r="N343" i="17"/>
  <c r="R343" i="17" s="1"/>
  <c r="S343" i="17" s="1"/>
  <c r="M465" i="17"/>
  <c r="Q465" i="17" s="1"/>
  <c r="U465" i="17" s="1"/>
  <c r="M166" i="17"/>
  <c r="Q166" i="17" s="1"/>
  <c r="U166" i="17" s="1"/>
  <c r="M400" i="17"/>
  <c r="Q400" i="17" s="1"/>
  <c r="U400" i="17" s="1"/>
  <c r="N566" i="17"/>
  <c r="M208" i="17"/>
  <c r="Q208" i="17" s="1"/>
  <c r="U208" i="17" s="1"/>
  <c r="M600" i="17"/>
  <c r="X600" i="17" s="1"/>
  <c r="N586" i="17"/>
  <c r="M178" i="17"/>
  <c r="N233" i="17"/>
  <c r="R233" i="17" s="1"/>
  <c r="S233" i="17" s="1"/>
  <c r="N349" i="17"/>
  <c r="R349" i="17" s="1"/>
  <c r="S349" i="17" s="1"/>
  <c r="N108" i="17"/>
  <c r="M479" i="17"/>
  <c r="M540" i="17"/>
  <c r="M76" i="17"/>
  <c r="X76" i="17" s="1"/>
  <c r="N572" i="17"/>
  <c r="Y572" i="17" s="1"/>
  <c r="M406" i="17"/>
  <c r="Q406" i="17" s="1"/>
  <c r="U406" i="17" s="1"/>
  <c r="M312" i="17"/>
  <c r="Q312" i="17" s="1"/>
  <c r="U312" i="17" s="1"/>
  <c r="M468" i="17"/>
  <c r="Q468" i="17" s="1"/>
  <c r="U468" i="17" s="1"/>
  <c r="M517" i="17"/>
  <c r="N181" i="17"/>
  <c r="Y181" i="17" s="1"/>
  <c r="M515" i="17"/>
  <c r="M383" i="17"/>
  <c r="Q383" i="17" s="1"/>
  <c r="U383" i="17" s="1"/>
  <c r="N244" i="17"/>
  <c r="N79" i="17"/>
  <c r="M58" i="17"/>
  <c r="X58" i="17" s="1"/>
  <c r="N399" i="17"/>
  <c r="R399" i="17" s="1"/>
  <c r="S399" i="17" s="1"/>
  <c r="M488" i="17"/>
  <c r="X488" i="17" s="1"/>
  <c r="N368" i="17"/>
  <c r="R368" i="17" s="1"/>
  <c r="S368" i="17" s="1"/>
  <c r="N565" i="17"/>
  <c r="R565" i="17" s="1"/>
  <c r="S565" i="17" s="1"/>
  <c r="N203" i="17"/>
  <c r="R203" i="17" s="1"/>
  <c r="S203" i="17" s="1"/>
  <c r="N480" i="17"/>
  <c r="Y480" i="17" s="1"/>
  <c r="N340" i="17"/>
  <c r="R340" i="17" s="1"/>
  <c r="S340" i="17" s="1"/>
  <c r="M172" i="17"/>
  <c r="Q172" i="17" s="1"/>
  <c r="U172" i="17" s="1"/>
  <c r="M607" i="17"/>
  <c r="Q607" i="17" s="1"/>
  <c r="U607" i="17" s="1"/>
  <c r="M218" i="17"/>
  <c r="M385" i="17"/>
  <c r="Q385" i="17" s="1"/>
  <c r="U385" i="17" s="1"/>
  <c r="N218" i="17"/>
  <c r="M259" i="17"/>
  <c r="N449" i="17"/>
  <c r="N207" i="17"/>
  <c r="M125" i="17"/>
  <c r="M63" i="17"/>
  <c r="X63" i="17" s="1"/>
  <c r="M45" i="17"/>
  <c r="Q45" i="17" s="1"/>
  <c r="U45" i="17" s="1"/>
  <c r="M543" i="17"/>
  <c r="X543" i="17" s="1"/>
  <c r="M246" i="17"/>
  <c r="M561" i="17"/>
  <c r="Q561" i="17" s="1"/>
  <c r="U561" i="17" s="1"/>
  <c r="M482" i="17"/>
  <c r="N486" i="17"/>
  <c r="N294" i="17"/>
  <c r="Y294" i="17" s="1"/>
  <c r="N227" i="17"/>
  <c r="Y227" i="17" s="1"/>
  <c r="M24" i="17"/>
  <c r="X24" i="17" s="1"/>
  <c r="M123" i="17"/>
  <c r="N571" i="17"/>
  <c r="N432" i="17"/>
  <c r="M366" i="17"/>
  <c r="M300" i="17"/>
  <c r="N544" i="17"/>
  <c r="M152" i="17"/>
  <c r="Q152" i="17" s="1"/>
  <c r="U152" i="17" s="1"/>
  <c r="N546" i="17"/>
  <c r="M372" i="17"/>
  <c r="X372" i="17" s="1"/>
  <c r="M138" i="17"/>
  <c r="Q138" i="17" s="1"/>
  <c r="U138" i="17" s="1"/>
  <c r="M437" i="17"/>
  <c r="Q437" i="17" s="1"/>
  <c r="U437" i="17" s="1"/>
  <c r="N309" i="17"/>
  <c r="N141" i="17"/>
  <c r="R141" i="17" s="1"/>
  <c r="S141" i="17" s="1"/>
  <c r="N178" i="17"/>
  <c r="R178" i="17" s="1"/>
  <c r="S178" i="17" s="1"/>
  <c r="N595" i="17"/>
  <c r="R595" i="17" s="1"/>
  <c r="S595" i="17" s="1"/>
  <c r="M475" i="17"/>
  <c r="N409" i="17"/>
  <c r="R409" i="17" s="1"/>
  <c r="S409" i="17" s="1"/>
  <c r="M335" i="17"/>
  <c r="X335" i="17" s="1"/>
  <c r="N167" i="17"/>
  <c r="R167" i="17" s="1"/>
  <c r="S167" i="17" s="1"/>
  <c r="N204" i="17"/>
  <c r="N15" i="17"/>
  <c r="N99" i="17"/>
  <c r="R99" i="17" s="1"/>
  <c r="S99" i="17" s="1"/>
  <c r="N622" i="17"/>
  <c r="M90" i="17"/>
  <c r="M333" i="17"/>
  <c r="Q333" i="17" s="1"/>
  <c r="U333" i="17" s="1"/>
  <c r="N455" i="17"/>
  <c r="R455" i="17" s="1"/>
  <c r="S455" i="17" s="1"/>
  <c r="M559" i="17"/>
  <c r="N334" i="17"/>
  <c r="N474" i="17"/>
  <c r="M209" i="17"/>
  <c r="Q209" i="17" s="1"/>
  <c r="U209" i="17" s="1"/>
  <c r="M442" i="17"/>
  <c r="Q442" i="17" s="1"/>
  <c r="U442" i="17" s="1"/>
  <c r="M232" i="17"/>
  <c r="M428" i="17"/>
  <c r="X428" i="17" s="1"/>
  <c r="N483" i="17"/>
  <c r="R483" i="17" s="1"/>
  <c r="S483" i="17" s="1"/>
  <c r="M179" i="17"/>
  <c r="Q179" i="17" s="1"/>
  <c r="U179" i="17" s="1"/>
  <c r="N208" i="17"/>
  <c r="N82" i="17"/>
  <c r="Y82" i="17" s="1"/>
  <c r="N49" i="17"/>
  <c r="R49" i="17" s="1"/>
  <c r="S49" i="17" s="1"/>
  <c r="N628" i="17"/>
  <c r="R628" i="17" s="1"/>
  <c r="S628" i="17" s="1"/>
  <c r="M199" i="17"/>
  <c r="Q199" i="17" s="1"/>
  <c r="U199" i="17" s="1"/>
  <c r="N123" i="17"/>
  <c r="Y123" i="17" s="1"/>
  <c r="M41" i="17"/>
  <c r="Q41" i="17" s="1"/>
  <c r="U41" i="17" s="1"/>
  <c r="N100" i="17"/>
  <c r="N264" i="17"/>
  <c r="N469" i="17"/>
  <c r="M555" i="17"/>
  <c r="Q555" i="17" s="1"/>
  <c r="U555" i="17" s="1"/>
  <c r="N110" i="17"/>
  <c r="Y110" i="17" s="1"/>
  <c r="M92" i="17"/>
  <c r="Q92" i="17" s="1"/>
  <c r="U92" i="17" s="1"/>
  <c r="M99" i="17"/>
  <c r="Q99" i="17" s="1"/>
  <c r="U99" i="17" s="1"/>
  <c r="N73" i="17"/>
  <c r="N168" i="17"/>
  <c r="Y168" i="17" s="1"/>
  <c r="N219" i="17"/>
  <c r="N373" i="17"/>
  <c r="R373" i="17" s="1"/>
  <c r="S373" i="17" s="1"/>
  <c r="M525" i="17"/>
  <c r="X525" i="17" s="1"/>
  <c r="N142" i="17"/>
  <c r="Y142" i="17" s="1"/>
  <c r="N90" i="17"/>
  <c r="M84" i="17"/>
  <c r="M20" i="17"/>
  <c r="M83" i="17"/>
  <c r="Q83" i="17" s="1"/>
  <c r="U83" i="17" s="1"/>
  <c r="N52" i="17"/>
  <c r="N65" i="17"/>
  <c r="M155" i="17"/>
  <c r="N184" i="17"/>
  <c r="R184" i="17" s="1"/>
  <c r="S184" i="17" s="1"/>
  <c r="N312" i="17"/>
  <c r="N235" i="17"/>
  <c r="M363" i="17"/>
  <c r="Q363" i="17" s="1"/>
  <c r="U363" i="17" s="1"/>
  <c r="N389" i="17"/>
  <c r="R389" i="17" s="1"/>
  <c r="S389" i="17" s="1"/>
  <c r="N517" i="17"/>
  <c r="M541" i="17"/>
  <c r="M219" i="17"/>
  <c r="X219" i="17" s="1"/>
  <c r="N158" i="17"/>
  <c r="N222" i="17"/>
  <c r="Y222" i="17" s="1"/>
  <c r="N286" i="17"/>
  <c r="R286" i="17" s="1"/>
  <c r="S286" i="17" s="1"/>
  <c r="M97" i="17"/>
  <c r="M17" i="17"/>
  <c r="N50" i="17"/>
  <c r="M96" i="17"/>
  <c r="M64" i="17"/>
  <c r="M32" i="17"/>
  <c r="Q32" i="17" s="1"/>
  <c r="U32" i="17" s="1"/>
  <c r="M159" i="17"/>
  <c r="M107" i="17"/>
  <c r="Q107" i="17" s="1"/>
  <c r="U107" i="17" s="1"/>
  <c r="M43" i="17"/>
  <c r="Q43" i="17" s="1"/>
  <c r="U43" i="17" s="1"/>
  <c r="N76" i="17"/>
  <c r="N109" i="17"/>
  <c r="N77" i="17"/>
  <c r="R77" i="17" s="1"/>
  <c r="S77" i="17" s="1"/>
  <c r="N45" i="17"/>
  <c r="R45" i="17" s="1"/>
  <c r="S45" i="17" s="1"/>
  <c r="N13" i="17"/>
  <c r="Y13" i="17" s="1"/>
  <c r="M173" i="17"/>
  <c r="N160" i="17"/>
  <c r="N224" i="17"/>
  <c r="R224" i="17" s="1"/>
  <c r="S224" i="17" s="1"/>
  <c r="N288" i="17"/>
  <c r="Y288" i="17" s="1"/>
  <c r="N147" i="17"/>
  <c r="N211" i="17"/>
  <c r="R211" i="17" s="1"/>
  <c r="S211" i="17" s="1"/>
  <c r="N275" i="17"/>
  <c r="R275" i="17" s="1"/>
  <c r="S275" i="17" s="1"/>
  <c r="M339" i="17"/>
  <c r="X339" i="17" s="1"/>
  <c r="M403" i="17"/>
  <c r="N365" i="17"/>
  <c r="N429" i="17"/>
  <c r="R429" i="17" s="1"/>
  <c r="S429" i="17" s="1"/>
  <c r="N493" i="17"/>
  <c r="R493" i="17" s="1"/>
  <c r="S493" i="17" s="1"/>
  <c r="M455" i="17"/>
  <c r="M520" i="17"/>
  <c r="Q520" i="17" s="1"/>
  <c r="U520" i="17" s="1"/>
  <c r="M532" i="17"/>
  <c r="N603" i="17"/>
  <c r="R603" i="17" s="1"/>
  <c r="S603" i="17" s="1"/>
  <c r="M121" i="17"/>
  <c r="N134" i="17"/>
  <c r="R134" i="17" s="1"/>
  <c r="S134" i="17" s="1"/>
  <c r="N198" i="17"/>
  <c r="N262" i="17"/>
  <c r="Y262" i="17" s="1"/>
  <c r="N121" i="17"/>
  <c r="N161" i="17"/>
  <c r="Y161" i="17" s="1"/>
  <c r="N193" i="17"/>
  <c r="N225" i="17"/>
  <c r="R225" i="17" s="1"/>
  <c r="S225" i="17" s="1"/>
  <c r="N257" i="17"/>
  <c r="R257" i="17" s="1"/>
  <c r="S257" i="17" s="1"/>
  <c r="N289" i="17"/>
  <c r="M321" i="17"/>
  <c r="Q321" i="17" s="1"/>
  <c r="U321" i="17" s="1"/>
  <c r="M377" i="17"/>
  <c r="X377" i="17" s="1"/>
  <c r="N339" i="17"/>
  <c r="Y339" i="17" s="1"/>
  <c r="N403" i="17"/>
  <c r="N467" i="17"/>
  <c r="R467" i="17" s="1"/>
  <c r="S467" i="17" s="1"/>
  <c r="M429" i="17"/>
  <c r="Q429" i="17" s="1"/>
  <c r="U429" i="17" s="1"/>
  <c r="M493" i="17"/>
  <c r="M566" i="17"/>
  <c r="Q566" i="17" s="1"/>
  <c r="U566" i="17" s="1"/>
  <c r="M551" i="17"/>
  <c r="M247" i="17"/>
  <c r="X247" i="17" s="1"/>
  <c r="M114" i="17"/>
  <c r="N74" i="17"/>
  <c r="N200" i="17"/>
  <c r="R200" i="17" s="1"/>
  <c r="S200" i="17" s="1"/>
  <c r="M85" i="17"/>
  <c r="N187" i="17"/>
  <c r="N405" i="17"/>
  <c r="M251" i="17"/>
  <c r="M60" i="17"/>
  <c r="N68" i="17"/>
  <c r="M189" i="17"/>
  <c r="Q189" i="17" s="1"/>
  <c r="U189" i="17" s="1"/>
  <c r="N283" i="17"/>
  <c r="R283" i="17" s="1"/>
  <c r="S283" i="17" s="1"/>
  <c r="N501" i="17"/>
  <c r="R501" i="17" s="1"/>
  <c r="S501" i="17" s="1"/>
  <c r="M137" i="17"/>
  <c r="N58" i="17"/>
  <c r="Y58" i="17" s="1"/>
  <c r="M52" i="17"/>
  <c r="X52" i="17" s="1"/>
  <c r="M626" i="17"/>
  <c r="N20" i="17"/>
  <c r="Y20" i="17" s="1"/>
  <c r="N33" i="17"/>
  <c r="N152" i="17"/>
  <c r="R152" i="17" s="1"/>
  <c r="S152" i="17" s="1"/>
  <c r="N139" i="17"/>
  <c r="N299" i="17"/>
  <c r="N357" i="17"/>
  <c r="M447" i="17"/>
  <c r="N569" i="17"/>
  <c r="N126" i="17"/>
  <c r="N238" i="17"/>
  <c r="N113" i="17"/>
  <c r="M33" i="17"/>
  <c r="N34" i="17"/>
  <c r="M80" i="17"/>
  <c r="M40" i="17"/>
  <c r="Q40" i="17" s="1"/>
  <c r="U40" i="17" s="1"/>
  <c r="M117" i="17"/>
  <c r="M75" i="17"/>
  <c r="Q75" i="17" s="1"/>
  <c r="U75" i="17" s="1"/>
  <c r="N92" i="17"/>
  <c r="R92" i="17" s="1"/>
  <c r="S92" i="17" s="1"/>
  <c r="N101" i="17"/>
  <c r="Y101" i="17" s="1"/>
  <c r="N61" i="17"/>
  <c r="N21" i="17"/>
  <c r="R21" i="17" s="1"/>
  <c r="S21" i="17" s="1"/>
  <c r="N112" i="17"/>
  <c r="N192" i="17"/>
  <c r="Y192" i="17" s="1"/>
  <c r="N272" i="17"/>
  <c r="R272" i="17" s="1"/>
  <c r="S272" i="17" s="1"/>
  <c r="N163" i="17"/>
  <c r="N243" i="17"/>
  <c r="M323" i="17"/>
  <c r="Q323" i="17" s="1"/>
  <c r="U323" i="17" s="1"/>
  <c r="N317" i="17"/>
  <c r="R317" i="17" s="1"/>
  <c r="S317" i="17" s="1"/>
  <c r="N397" i="17"/>
  <c r="N477" i="17"/>
  <c r="Y477" i="17" s="1"/>
  <c r="M471" i="17"/>
  <c r="Q471" i="17" s="1"/>
  <c r="U471" i="17" s="1"/>
  <c r="M554" i="17"/>
  <c r="M571" i="17"/>
  <c r="M153" i="17"/>
  <c r="Q153" i="17" s="1"/>
  <c r="U153" i="17" s="1"/>
  <c r="N166" i="17"/>
  <c r="R166" i="17" s="1"/>
  <c r="S166" i="17" s="1"/>
  <c r="N246" i="17"/>
  <c r="N137" i="17"/>
  <c r="N177" i="17"/>
  <c r="R177" i="17" s="1"/>
  <c r="S177" i="17" s="1"/>
  <c r="N217" i="17"/>
  <c r="R217" i="17" s="1"/>
  <c r="S217" i="17" s="1"/>
  <c r="N265" i="17"/>
  <c r="R265" i="17" s="1"/>
  <c r="S265" i="17" s="1"/>
  <c r="N305" i="17"/>
  <c r="M361" i="17"/>
  <c r="Q361" i="17" s="1"/>
  <c r="U361" i="17" s="1"/>
  <c r="N355" i="17"/>
  <c r="R355" i="17" s="1"/>
  <c r="S355" i="17" s="1"/>
  <c r="N435" i="17"/>
  <c r="N515" i="17"/>
  <c r="M509" i="17"/>
  <c r="M538" i="17"/>
  <c r="X538" i="17" s="1"/>
  <c r="M215" i="17"/>
  <c r="Q215" i="17" s="1"/>
  <c r="U215" i="17" s="1"/>
  <c r="M130" i="17"/>
  <c r="M194" i="17"/>
  <c r="Q194" i="17" s="1"/>
  <c r="U194" i="17" s="1"/>
  <c r="M258" i="17"/>
  <c r="N322" i="17"/>
  <c r="R322" i="17" s="1"/>
  <c r="S322" i="17" s="1"/>
  <c r="N386" i="17"/>
  <c r="Y386" i="17" s="1"/>
  <c r="M348" i="17"/>
  <c r="M412" i="17"/>
  <c r="M476" i="17"/>
  <c r="N438" i="17"/>
  <c r="R438" i="17" s="1"/>
  <c r="S438" i="17" s="1"/>
  <c r="N502" i="17"/>
  <c r="Y502" i="17" s="1"/>
  <c r="M584" i="17"/>
  <c r="Q584" i="17" s="1"/>
  <c r="N554" i="17"/>
  <c r="Y554" i="17" s="1"/>
  <c r="M599" i="17"/>
  <c r="Q599" i="17" s="1"/>
  <c r="U599" i="17" s="1"/>
  <c r="M589" i="17"/>
  <c r="Q589" i="17" s="1"/>
  <c r="U589" i="17" s="1"/>
  <c r="M221" i="17"/>
  <c r="Q221" i="17" s="1"/>
  <c r="U221" i="17" s="1"/>
  <c r="M285" i="17"/>
  <c r="M144" i="17"/>
  <c r="M264" i="17"/>
  <c r="N392" i="17"/>
  <c r="M418" i="17"/>
  <c r="Q418" i="17" s="1"/>
  <c r="U418" i="17" s="1"/>
  <c r="N444" i="17"/>
  <c r="N521" i="17"/>
  <c r="Y521" i="17" s="1"/>
  <c r="M597" i="17"/>
  <c r="X597" i="17" s="1"/>
  <c r="N552" i="17"/>
  <c r="Y552" i="17" s="1"/>
  <c r="M580" i="17"/>
  <c r="Q580" i="17" s="1"/>
  <c r="U580" i="17" s="1"/>
  <c r="N500" i="17"/>
  <c r="R500" i="17" s="1"/>
  <c r="S500" i="17" s="1"/>
  <c r="N436" i="17"/>
  <c r="R436" i="17" s="1"/>
  <c r="S436" i="17" s="1"/>
  <c r="M474" i="17"/>
  <c r="M410" i="17"/>
  <c r="M346" i="17"/>
  <c r="N384" i="17"/>
  <c r="Y384" i="17" s="1"/>
  <c r="N320" i="17"/>
  <c r="R320" i="17" s="1"/>
  <c r="S320" i="17" s="1"/>
  <c r="M256" i="17"/>
  <c r="M192" i="17"/>
  <c r="M140" i="17"/>
  <c r="Q140" i="17" s="1"/>
  <c r="U140" i="17" s="1"/>
  <c r="M313" i="17"/>
  <c r="X313" i="17" s="1"/>
  <c r="M281" i="17"/>
  <c r="M249" i="17"/>
  <c r="X249" i="17" s="1"/>
  <c r="M217" i="17"/>
  <c r="Q217" i="17" s="1"/>
  <c r="U217" i="17" s="1"/>
  <c r="N598" i="17"/>
  <c r="R598" i="17" s="1"/>
  <c r="S598" i="17" s="1"/>
  <c r="M585" i="17"/>
  <c r="Q585" i="17" s="1"/>
  <c r="U585" i="17" s="1"/>
  <c r="M553" i="17"/>
  <c r="M595" i="17"/>
  <c r="Q595" i="17" s="1"/>
  <c r="U595" i="17" s="1"/>
  <c r="N582" i="17"/>
  <c r="N550" i="17"/>
  <c r="N543" i="17"/>
  <c r="R543" i="17" s="1"/>
  <c r="S543" i="17" s="1"/>
  <c r="M576" i="17"/>
  <c r="X576" i="17" s="1"/>
  <c r="N528" i="17"/>
  <c r="N498" i="17"/>
  <c r="N466" i="17"/>
  <c r="N434" i="17"/>
  <c r="R434" i="17" s="1"/>
  <c r="S434" i="17" s="1"/>
  <c r="M504" i="17"/>
  <c r="M472" i="17"/>
  <c r="M440" i="17"/>
  <c r="M408" i="17"/>
  <c r="Q408" i="17" s="1"/>
  <c r="U408" i="17" s="1"/>
  <c r="M376" i="17"/>
  <c r="M344" i="17"/>
  <c r="Q344" i="17" s="1"/>
  <c r="U344" i="17" s="1"/>
  <c r="N414" i="17"/>
  <c r="R414" i="17" s="1"/>
  <c r="S414" i="17" s="1"/>
  <c r="N382" i="17"/>
  <c r="R382" i="17" s="1"/>
  <c r="S382" i="17" s="1"/>
  <c r="N350" i="17"/>
  <c r="Y350" i="17" s="1"/>
  <c r="N318" i="17"/>
  <c r="M286" i="17"/>
  <c r="Q286" i="17" s="1"/>
  <c r="U286" i="17" s="1"/>
  <c r="M254" i="17"/>
  <c r="M222" i="17"/>
  <c r="X222" i="17" s="1"/>
  <c r="M190" i="17"/>
  <c r="M158" i="17"/>
  <c r="Q158" i="17" s="1"/>
  <c r="U158" i="17" s="1"/>
  <c r="M126" i="17"/>
  <c r="M299" i="17"/>
  <c r="Q299" i="17" s="1"/>
  <c r="U299" i="17" s="1"/>
  <c r="M267" i="17"/>
  <c r="M207" i="17"/>
  <c r="Q207" i="17" s="1"/>
  <c r="U207" i="17" s="1"/>
  <c r="M575" i="17"/>
  <c r="N557" i="17"/>
  <c r="M590" i="17"/>
  <c r="M535" i="17"/>
  <c r="Q535" i="17" s="1"/>
  <c r="U535" i="17" s="1"/>
  <c r="M505" i="17"/>
  <c r="Q505" i="17" s="1"/>
  <c r="U505" i="17" s="1"/>
  <c r="M473" i="17"/>
  <c r="Q473" i="17" s="1"/>
  <c r="U473" i="17" s="1"/>
  <c r="M441" i="17"/>
  <c r="N511" i="17"/>
  <c r="N479" i="17"/>
  <c r="R479" i="17" s="1"/>
  <c r="S479" i="17" s="1"/>
  <c r="N447" i="17"/>
  <c r="N415" i="17"/>
  <c r="N383" i="17"/>
  <c r="R383" i="17" s="1"/>
  <c r="S383" i="17" s="1"/>
  <c r="N351" i="17"/>
  <c r="N319" i="17"/>
  <c r="M389" i="17"/>
  <c r="Q389" i="17" s="1"/>
  <c r="U389" i="17" s="1"/>
  <c r="M357" i="17"/>
  <c r="Q357" i="17" s="1"/>
  <c r="U357" i="17" s="1"/>
  <c r="N623" i="17"/>
  <c r="R623" i="17" s="1"/>
  <c r="S623" i="17" s="1"/>
  <c r="M61" i="17"/>
  <c r="M29" i="17"/>
  <c r="N94" i="17"/>
  <c r="N62" i="17"/>
  <c r="R62" i="17" s="1"/>
  <c r="S62" i="17" s="1"/>
  <c r="N30" i="17"/>
  <c r="R30" i="17" s="1"/>
  <c r="S30" i="17" s="1"/>
  <c r="M102" i="17"/>
  <c r="M86" i="17"/>
  <c r="M70" i="17"/>
  <c r="Q70" i="17" s="1"/>
  <c r="U70" i="17" s="1"/>
  <c r="M54" i="17"/>
  <c r="M38" i="17"/>
  <c r="Q38" i="17" s="1"/>
  <c r="U38" i="17" s="1"/>
  <c r="M22" i="17"/>
  <c r="Q22" i="17" s="1"/>
  <c r="M135" i="17"/>
  <c r="Q135" i="17" s="1"/>
  <c r="U135" i="17" s="1"/>
  <c r="M133" i="17"/>
  <c r="Q133" i="17" s="1"/>
  <c r="U133" i="17" s="1"/>
  <c r="M623" i="17"/>
  <c r="M87" i="17"/>
  <c r="Q87" i="17" s="1"/>
  <c r="U87" i="17" s="1"/>
  <c r="M55" i="17"/>
  <c r="X55" i="17" s="1"/>
  <c r="M23" i="17"/>
  <c r="X23" i="17" s="1"/>
  <c r="N88" i="17"/>
  <c r="R88" i="17" s="1"/>
  <c r="S88" i="17" s="1"/>
  <c r="N56" i="17"/>
  <c r="R56" i="17" s="1"/>
  <c r="S56" i="17" s="1"/>
  <c r="N24" i="17"/>
  <c r="Y24" i="17" s="1"/>
  <c r="M111" i="17"/>
  <c r="Q111" i="17" s="1"/>
  <c r="U111" i="17" s="1"/>
  <c r="M108" i="17"/>
  <c r="N136" i="17"/>
  <c r="Y136" i="17" s="1"/>
  <c r="M495" i="17"/>
  <c r="Q495" i="17" s="1"/>
  <c r="U495" i="17" s="1"/>
  <c r="N106" i="17"/>
  <c r="M35" i="17"/>
  <c r="N232" i="17"/>
  <c r="R232" i="17" s="1"/>
  <c r="S232" i="17" s="1"/>
  <c r="M411" i="17"/>
  <c r="Q411" i="17" s="1"/>
  <c r="U411" i="17" s="1"/>
  <c r="N600" i="17"/>
  <c r="N26" i="17"/>
  <c r="M143" i="17"/>
  <c r="N84" i="17"/>
  <c r="R84" i="17" s="1"/>
  <c r="S84" i="17" s="1"/>
  <c r="N17" i="17"/>
  <c r="R17" i="17" s="1"/>
  <c r="S17" i="17" s="1"/>
  <c r="N248" i="17"/>
  <c r="N267" i="17"/>
  <c r="R267" i="17" s="1"/>
  <c r="S267" i="17" s="1"/>
  <c r="N421" i="17"/>
  <c r="R421" i="17" s="1"/>
  <c r="S421" i="17" s="1"/>
  <c r="M511" i="17"/>
  <c r="M169" i="17"/>
  <c r="Q169" i="17" s="1"/>
  <c r="U169" i="17" s="1"/>
  <c r="N254" i="17"/>
  <c r="M65" i="17"/>
  <c r="X65" i="17" s="1"/>
  <c r="N66" i="17"/>
  <c r="R66" i="17" s="1"/>
  <c r="S66" i="17" s="1"/>
  <c r="M72" i="17"/>
  <c r="M16" i="17"/>
  <c r="Q16" i="17" s="1"/>
  <c r="U16" i="17" s="1"/>
  <c r="M91" i="17"/>
  <c r="Q91" i="17" s="1"/>
  <c r="U91" i="17" s="1"/>
  <c r="N60" i="17"/>
  <c r="Y60" i="17" s="1"/>
  <c r="N85" i="17"/>
  <c r="N29" i="17"/>
  <c r="R29" i="17" s="1"/>
  <c r="S29" i="17" s="1"/>
  <c r="N128" i="17"/>
  <c r="N240" i="17"/>
  <c r="Y240" i="17" s="1"/>
  <c r="N131" i="17"/>
  <c r="N259" i="17"/>
  <c r="R259" i="17" s="1"/>
  <c r="S259" i="17" s="1"/>
  <c r="M371" i="17"/>
  <c r="Q371" i="17" s="1"/>
  <c r="U371" i="17" s="1"/>
  <c r="N381" i="17"/>
  <c r="R381" i="17" s="1"/>
  <c r="S381" i="17" s="1"/>
  <c r="N509" i="17"/>
  <c r="R509" i="17" s="1"/>
  <c r="S509" i="17" s="1"/>
  <c r="M503" i="17"/>
  <c r="N585" i="17"/>
  <c r="R585" i="17" s="1"/>
  <c r="S585" i="17" s="1"/>
  <c r="M185" i="17"/>
  <c r="N214" i="17"/>
  <c r="R214" i="17" s="1"/>
  <c r="S214" i="17" s="1"/>
  <c r="N310" i="17"/>
  <c r="R310" i="17" s="1"/>
  <c r="S310" i="17" s="1"/>
  <c r="N185" i="17"/>
  <c r="N241" i="17"/>
  <c r="R241" i="17" s="1"/>
  <c r="S241" i="17" s="1"/>
  <c r="N297" i="17"/>
  <c r="R297" i="17" s="1"/>
  <c r="S297" i="17" s="1"/>
  <c r="M393" i="17"/>
  <c r="N387" i="17"/>
  <c r="N499" i="17"/>
  <c r="R499" i="17" s="1"/>
  <c r="S499" i="17" s="1"/>
  <c r="M523" i="17"/>
  <c r="M583" i="17"/>
  <c r="Q583" i="17" s="1"/>
  <c r="U583" i="17" s="1"/>
  <c r="M303" i="17"/>
  <c r="M210" i="17"/>
  <c r="X210" i="17" s="1"/>
  <c r="M290" i="17"/>
  <c r="N370" i="17"/>
  <c r="R370" i="17" s="1"/>
  <c r="S370" i="17" s="1"/>
  <c r="M364" i="17"/>
  <c r="Q364" i="17" s="1"/>
  <c r="U364" i="17" s="1"/>
  <c r="M444" i="17"/>
  <c r="N422" i="17"/>
  <c r="R422" i="17" s="1"/>
  <c r="S422" i="17" s="1"/>
  <c r="M518" i="17"/>
  <c r="Q518" i="17" s="1"/>
  <c r="U518" i="17" s="1"/>
  <c r="N551" i="17"/>
  <c r="R551" i="17" s="1"/>
  <c r="S551" i="17" s="1"/>
  <c r="M602" i="17"/>
  <c r="X602" i="17" s="1"/>
  <c r="N605" i="17"/>
  <c r="M253" i="17"/>
  <c r="Q253" i="17" s="1"/>
  <c r="U253" i="17" s="1"/>
  <c r="M128" i="17"/>
  <c r="Q128" i="17" s="1"/>
  <c r="U128" i="17" s="1"/>
  <c r="M296" i="17"/>
  <c r="M354" i="17"/>
  <c r="M514" i="17"/>
  <c r="Q514" i="17" s="1"/>
  <c r="U514" i="17" s="1"/>
  <c r="N563" i="17"/>
  <c r="Y563" i="17" s="1"/>
  <c r="N584" i="17"/>
  <c r="N529" i="17"/>
  <c r="N484" i="17"/>
  <c r="M506" i="17"/>
  <c r="M426" i="17"/>
  <c r="Q426" i="17" s="1"/>
  <c r="U426" i="17" s="1"/>
  <c r="M330" i="17"/>
  <c r="N352" i="17"/>
  <c r="M272" i="17"/>
  <c r="Q272" i="17" s="1"/>
  <c r="U272" i="17" s="1"/>
  <c r="M176" i="17"/>
  <c r="M124" i="17"/>
  <c r="Q124" i="17" s="1"/>
  <c r="U124" i="17" s="1"/>
  <c r="M289" i="17"/>
  <c r="M241" i="17"/>
  <c r="M201" i="17"/>
  <c r="Q201" i="17" s="1"/>
  <c r="U201" i="17" s="1"/>
  <c r="M593" i="17"/>
  <c r="M545" i="17"/>
  <c r="M598" i="17"/>
  <c r="N558" i="17"/>
  <c r="Y558" i="17" s="1"/>
  <c r="N535" i="17"/>
  <c r="M544" i="17"/>
  <c r="X544" i="17" s="1"/>
  <c r="N506" i="17"/>
  <c r="N458" i="17"/>
  <c r="R458" i="17" s="1"/>
  <c r="S458" i="17" s="1"/>
  <c r="N418" i="17"/>
  <c r="R418" i="17" s="1"/>
  <c r="S418" i="17" s="1"/>
  <c r="M480" i="17"/>
  <c r="M432" i="17"/>
  <c r="M392" i="17"/>
  <c r="Q392" i="17" s="1"/>
  <c r="U392" i="17" s="1"/>
  <c r="M352" i="17"/>
  <c r="N406" i="17"/>
  <c r="R406" i="17" s="1"/>
  <c r="S406" i="17" s="1"/>
  <c r="N366" i="17"/>
  <c r="Y366" i="17" s="1"/>
  <c r="N326" i="17"/>
  <c r="M278" i="17"/>
  <c r="M238" i="17"/>
  <c r="Q238" i="17" s="1"/>
  <c r="M198" i="17"/>
  <c r="M150" i="17"/>
  <c r="Q150" i="17" s="1"/>
  <c r="U150" i="17" s="1"/>
  <c r="M110" i="17"/>
  <c r="Q110" i="17" s="1"/>
  <c r="M275" i="17"/>
  <c r="N604" i="17"/>
  <c r="N593" i="17"/>
  <c r="M526" i="17"/>
  <c r="Q526" i="17" s="1"/>
  <c r="U526" i="17" s="1"/>
  <c r="M527" i="17"/>
  <c r="M489" i="17"/>
  <c r="M449" i="17"/>
  <c r="X449" i="17" s="1"/>
  <c r="N503" i="17"/>
  <c r="N463" i="17"/>
  <c r="N423" i="17"/>
  <c r="R423" i="17" s="1"/>
  <c r="S423" i="17" s="1"/>
  <c r="N375" i="17"/>
  <c r="Y375" i="17" s="1"/>
  <c r="N335" i="17"/>
  <c r="M397" i="17"/>
  <c r="Q397" i="17" s="1"/>
  <c r="U397" i="17" s="1"/>
  <c r="M349" i="17"/>
  <c r="M89" i="17"/>
  <c r="M37" i="17"/>
  <c r="N86" i="17"/>
  <c r="N46" i="17"/>
  <c r="R46" i="17" s="1"/>
  <c r="S46" i="17" s="1"/>
  <c r="M106" i="17"/>
  <c r="M82" i="17"/>
  <c r="M62" i="17"/>
  <c r="Q62" i="17" s="1"/>
  <c r="U62" i="17" s="1"/>
  <c r="M42" i="17"/>
  <c r="Q42" i="17" s="1"/>
  <c r="U42" i="17" s="1"/>
  <c r="M18" i="17"/>
  <c r="Q18" i="17" s="1"/>
  <c r="M167" i="17"/>
  <c r="M77" i="17"/>
  <c r="Q77" i="17" s="1"/>
  <c r="U77" i="17" s="1"/>
  <c r="M79" i="17"/>
  <c r="Q79" i="17" s="1"/>
  <c r="U79" i="17" s="1"/>
  <c r="M39" i="17"/>
  <c r="Q39" i="17" s="1"/>
  <c r="U39" i="17" s="1"/>
  <c r="N96" i="17"/>
  <c r="R96" i="17" s="1"/>
  <c r="S96" i="17" s="1"/>
  <c r="N48" i="17"/>
  <c r="R48" i="17" s="1"/>
  <c r="S48" i="17" s="1"/>
  <c r="N107" i="17"/>
  <c r="R107" i="17" s="1"/>
  <c r="S107" i="17" s="1"/>
  <c r="N91" i="17"/>
  <c r="Y91" i="17" s="1"/>
  <c r="N75" i="17"/>
  <c r="N59" i="17"/>
  <c r="R59" i="17" s="1"/>
  <c r="S59" i="17" s="1"/>
  <c r="N43" i="17"/>
  <c r="R43" i="17" s="1"/>
  <c r="S43" i="17" s="1"/>
  <c r="N27" i="17"/>
  <c r="R27" i="17" s="1"/>
  <c r="S27" i="17" s="1"/>
  <c r="M115" i="17"/>
  <c r="M183" i="17"/>
  <c r="Q183" i="17" s="1"/>
  <c r="U183" i="17" s="1"/>
  <c r="M181" i="17"/>
  <c r="X181" i="17" s="1"/>
  <c r="N132" i="17"/>
  <c r="N164" i="17"/>
  <c r="R164" i="17" s="1"/>
  <c r="S164" i="17" s="1"/>
  <c r="N196" i="17"/>
  <c r="N228" i="17"/>
  <c r="R228" i="17" s="1"/>
  <c r="S228" i="17" s="1"/>
  <c r="N260" i="17"/>
  <c r="Y260" i="17" s="1"/>
  <c r="N292" i="17"/>
  <c r="N119" i="17"/>
  <c r="N151" i="17"/>
  <c r="R151" i="17" s="1"/>
  <c r="S151" i="17" s="1"/>
  <c r="N183" i="17"/>
  <c r="Y183" i="17" s="1"/>
  <c r="N215" i="17"/>
  <c r="N247" i="17"/>
  <c r="R247" i="17" s="1"/>
  <c r="S247" i="17" s="1"/>
  <c r="N279" i="17"/>
  <c r="R279" i="17" s="1"/>
  <c r="S279" i="17" s="1"/>
  <c r="N311" i="17"/>
  <c r="Y311" i="17" s="1"/>
  <c r="M343" i="17"/>
  <c r="Q343" i="17" s="1"/>
  <c r="U343" i="17" s="1"/>
  <c r="M375" i="17"/>
  <c r="M407" i="17"/>
  <c r="Q407" i="17" s="1"/>
  <c r="U407" i="17" s="1"/>
  <c r="N337" i="17"/>
  <c r="R337" i="17" s="1"/>
  <c r="S337" i="17" s="1"/>
  <c r="N369" i="17"/>
  <c r="R369" i="17" s="1"/>
  <c r="S369" i="17" s="1"/>
  <c r="N401" i="17"/>
  <c r="N433" i="17"/>
  <c r="R433" i="17" s="1"/>
  <c r="S433" i="17" s="1"/>
  <c r="N465" i="17"/>
  <c r="N497" i="17"/>
  <c r="M427" i="17"/>
  <c r="Q427" i="17" s="1"/>
  <c r="U427" i="17" s="1"/>
  <c r="M459" i="17"/>
  <c r="M491" i="17"/>
  <c r="Q491" i="17" s="1"/>
  <c r="U491" i="17" s="1"/>
  <c r="M521" i="17"/>
  <c r="M562" i="17"/>
  <c r="Q562" i="17" s="1"/>
  <c r="U562" i="17" s="1"/>
  <c r="M536" i="17"/>
  <c r="Q536" i="17" s="1"/>
  <c r="U536" i="17" s="1"/>
  <c r="M547" i="17"/>
  <c r="N611" i="17"/>
  <c r="R611" i="17" s="1"/>
  <c r="S611" i="17" s="1"/>
  <c r="M243" i="17"/>
  <c r="X243" i="17" s="1"/>
  <c r="M129" i="17"/>
  <c r="X129" i="17" s="1"/>
  <c r="M193" i="17"/>
  <c r="X193" i="17" s="1"/>
  <c r="N138" i="17"/>
  <c r="R138" i="17" s="1"/>
  <c r="S138" i="17" s="1"/>
  <c r="N170" i="17"/>
  <c r="R170" i="17" s="1"/>
  <c r="S170" i="17" s="1"/>
  <c r="N202" i="17"/>
  <c r="N234" i="17"/>
  <c r="R234" i="17" s="1"/>
  <c r="S234" i="17" s="1"/>
  <c r="N266" i="17"/>
  <c r="N298" i="17"/>
  <c r="R298" i="17" s="1"/>
  <c r="S298" i="17" s="1"/>
  <c r="N125" i="17"/>
  <c r="N157" i="17"/>
  <c r="R157" i="17" s="1"/>
  <c r="S157" i="17" s="1"/>
  <c r="N189" i="17"/>
  <c r="N221" i="17"/>
  <c r="N253" i="17"/>
  <c r="Y253" i="17" s="1"/>
  <c r="N285" i="17"/>
  <c r="R285" i="17" s="1"/>
  <c r="S285" i="17" s="1"/>
  <c r="M317" i="17"/>
  <c r="Q317" i="17" s="1"/>
  <c r="U317" i="17" s="1"/>
  <c r="M369" i="17"/>
  <c r="Q369" i="17" s="1"/>
  <c r="U369" i="17" s="1"/>
  <c r="N331" i="17"/>
  <c r="R331" i="17" s="1"/>
  <c r="S331" i="17" s="1"/>
  <c r="N395" i="17"/>
  <c r="N459" i="17"/>
  <c r="R459" i="17" s="1"/>
  <c r="S459" i="17" s="1"/>
  <c r="M421" i="17"/>
  <c r="Q421" i="17" s="1"/>
  <c r="U421" i="17" s="1"/>
  <c r="M485" i="17"/>
  <c r="X485" i="17" s="1"/>
  <c r="M550" i="17"/>
  <c r="X550" i="17" s="1"/>
  <c r="N581" i="17"/>
  <c r="M231" i="17"/>
  <c r="Q231" i="17" s="1"/>
  <c r="U231" i="17" s="1"/>
  <c r="M311" i="17"/>
  <c r="Q311" i="17" s="1"/>
  <c r="U311" i="17" s="1"/>
  <c r="M170" i="17"/>
  <c r="M234" i="17"/>
  <c r="M298" i="17"/>
  <c r="Q298" i="17" s="1"/>
  <c r="U298" i="17" s="1"/>
  <c r="N362" i="17"/>
  <c r="R362" i="17" s="1"/>
  <c r="S362" i="17" s="1"/>
  <c r="M324" i="17"/>
  <c r="M388" i="17"/>
  <c r="Q388" i="17" s="1"/>
  <c r="U388" i="17" s="1"/>
  <c r="M452" i="17"/>
  <c r="Q452" i="17" s="1"/>
  <c r="U452" i="17" s="1"/>
  <c r="M516" i="17"/>
  <c r="N478" i="17"/>
  <c r="N540" i="17"/>
  <c r="N567" i="17"/>
  <c r="Y567" i="17" s="1"/>
  <c r="N594" i="17"/>
  <c r="R594" i="17" s="1"/>
  <c r="S594" i="17" s="1"/>
  <c r="M565" i="17"/>
  <c r="N610" i="17"/>
  <c r="M261" i="17"/>
  <c r="Q261" i="17" s="1"/>
  <c r="U261" i="17" s="1"/>
  <c r="M120" i="17"/>
  <c r="Q120" i="17" s="1"/>
  <c r="U120" i="17" s="1"/>
  <c r="M216" i="17"/>
  <c r="X216" i="17" s="1"/>
  <c r="N344" i="17"/>
  <c r="M370" i="17"/>
  <c r="M498" i="17"/>
  <c r="N522" i="17"/>
  <c r="R522" i="17" s="1"/>
  <c r="S522" i="17" s="1"/>
  <c r="N576" i="17"/>
  <c r="R576" i="17" s="1"/>
  <c r="S576" i="17" s="1"/>
  <c r="M164" i="17"/>
  <c r="Q164" i="17" s="1"/>
  <c r="U164" i="17" s="1"/>
  <c r="M196" i="17"/>
  <c r="Q196" i="17" s="1"/>
  <c r="U196" i="17" s="1"/>
  <c r="M228" i="17"/>
  <c r="M260" i="17"/>
  <c r="Q260" i="17" s="1"/>
  <c r="U260" i="17" s="1"/>
  <c r="M292" i="17"/>
  <c r="Q292" i="17" s="1"/>
  <c r="U292" i="17" s="1"/>
  <c r="N324" i="17"/>
  <c r="N356" i="17"/>
  <c r="N388" i="17"/>
  <c r="M318" i="17"/>
  <c r="Q318" i="17" s="1"/>
  <c r="U318" i="17" s="1"/>
  <c r="M350" i="17"/>
  <c r="Q350" i="17" s="1"/>
  <c r="U350" i="17" s="1"/>
  <c r="M382" i="17"/>
  <c r="M414" i="17"/>
  <c r="Q414" i="17" s="1"/>
  <c r="U414" i="17" s="1"/>
  <c r="M446" i="17"/>
  <c r="Q446" i="17" s="1"/>
  <c r="U446" i="17" s="1"/>
  <c r="M478" i="17"/>
  <c r="Q478" i="17" s="1"/>
  <c r="U478" i="17" s="1"/>
  <c r="M510" i="17"/>
  <c r="N440" i="17"/>
  <c r="N472" i="17"/>
  <c r="N504" i="17"/>
  <c r="R504" i="17" s="1"/>
  <c r="S504" i="17" s="1"/>
  <c r="N534" i="17"/>
  <c r="M588" i="17"/>
  <c r="N555" i="17"/>
  <c r="R555" i="17" s="1"/>
  <c r="S555" i="17" s="1"/>
  <c r="N556" i="17"/>
  <c r="R556" i="17" s="1"/>
  <c r="S556" i="17" s="1"/>
  <c r="N588" i="17"/>
  <c r="M601" i="17"/>
  <c r="Q601" i="17" s="1"/>
  <c r="U601" i="17" s="1"/>
  <c r="N36" i="17"/>
  <c r="M44" i="17"/>
  <c r="X44" i="17" s="1"/>
  <c r="N341" i="17"/>
  <c r="R341" i="17" s="1"/>
  <c r="S341" i="17" s="1"/>
  <c r="M431" i="17"/>
  <c r="N42" i="17"/>
  <c r="N105" i="17"/>
  <c r="N296" i="17"/>
  <c r="R296" i="17" s="1"/>
  <c r="S296" i="17" s="1"/>
  <c r="N437" i="17"/>
  <c r="R437" i="17" s="1"/>
  <c r="S437" i="17" s="1"/>
  <c r="M622" i="17"/>
  <c r="M100" i="17"/>
  <c r="N626" i="17"/>
  <c r="N97" i="17"/>
  <c r="M157" i="17"/>
  <c r="X157" i="17" s="1"/>
  <c r="N280" i="17"/>
  <c r="R280" i="17" s="1"/>
  <c r="S280" i="17" s="1"/>
  <c r="M331" i="17"/>
  <c r="N453" i="17"/>
  <c r="M524" i="17"/>
  <c r="N174" i="17"/>
  <c r="Y174" i="17" s="1"/>
  <c r="N270" i="17"/>
  <c r="Y270" i="17" s="1"/>
  <c r="M49" i="17"/>
  <c r="N18" i="17"/>
  <c r="R18" i="17" s="1"/>
  <c r="S18" i="17" s="1"/>
  <c r="M56" i="17"/>
  <c r="Q56" i="17" s="1"/>
  <c r="U56" i="17" s="1"/>
  <c r="M127" i="17"/>
  <c r="X127" i="17" s="1"/>
  <c r="M59" i="17"/>
  <c r="Q59" i="17" s="1"/>
  <c r="U59" i="17" s="1"/>
  <c r="N44" i="17"/>
  <c r="N69" i="17"/>
  <c r="Y69" i="17" s="1"/>
  <c r="M139" i="17"/>
  <c r="X139" i="17" s="1"/>
  <c r="N144" i="17"/>
  <c r="R144" i="17" s="1"/>
  <c r="S144" i="17" s="1"/>
  <c r="N256" i="17"/>
  <c r="N179" i="17"/>
  <c r="N291" i="17"/>
  <c r="M387" i="17"/>
  <c r="Q387" i="17" s="1"/>
  <c r="U387" i="17" s="1"/>
  <c r="N413" i="17"/>
  <c r="M423" i="17"/>
  <c r="Q423" i="17" s="1"/>
  <c r="U423" i="17" s="1"/>
  <c r="M533" i="17"/>
  <c r="Q533" i="17" s="1"/>
  <c r="U533" i="17" s="1"/>
  <c r="M203" i="17"/>
  <c r="Q203" i="17" s="1"/>
  <c r="U203" i="17" s="1"/>
  <c r="N118" i="17"/>
  <c r="R118" i="17" s="1"/>
  <c r="S118" i="17" s="1"/>
  <c r="N230" i="17"/>
  <c r="R230" i="17" s="1"/>
  <c r="S230" i="17" s="1"/>
  <c r="N145" i="17"/>
  <c r="N201" i="17"/>
  <c r="R201" i="17" s="1"/>
  <c r="S201" i="17" s="1"/>
  <c r="N249" i="17"/>
  <c r="N313" i="17"/>
  <c r="M409" i="17"/>
  <c r="N419" i="17"/>
  <c r="R419" i="17" s="1"/>
  <c r="S419" i="17" s="1"/>
  <c r="M445" i="17"/>
  <c r="X445" i="17" s="1"/>
  <c r="M539" i="17"/>
  <c r="Q539" i="17" s="1"/>
  <c r="U539" i="17" s="1"/>
  <c r="N596" i="17"/>
  <c r="R596" i="17" s="1"/>
  <c r="S596" i="17" s="1"/>
  <c r="M146" i="17"/>
  <c r="M226" i="17"/>
  <c r="M306" i="17"/>
  <c r="Q306" i="17" s="1"/>
  <c r="U306" i="17" s="1"/>
  <c r="N402" i="17"/>
  <c r="Y402" i="17" s="1"/>
  <c r="M380" i="17"/>
  <c r="Q380" i="17" s="1"/>
  <c r="U380" i="17" s="1"/>
  <c r="M460" i="17"/>
  <c r="Q460" i="17" s="1"/>
  <c r="U460" i="17" s="1"/>
  <c r="N454" i="17"/>
  <c r="R454" i="17" s="1"/>
  <c r="S454" i="17" s="1"/>
  <c r="N532" i="17"/>
  <c r="R532" i="17" s="1"/>
  <c r="S532" i="17" s="1"/>
  <c r="N583" i="17"/>
  <c r="N589" i="17"/>
  <c r="R589" i="17" s="1"/>
  <c r="S589" i="17" s="1"/>
  <c r="N602" i="17"/>
  <c r="Y602" i="17" s="1"/>
  <c r="M269" i="17"/>
  <c r="X269" i="17" s="1"/>
  <c r="M168" i="17"/>
  <c r="N328" i="17"/>
  <c r="Y328" i="17" s="1"/>
  <c r="M386" i="17"/>
  <c r="Q386" i="17" s="1"/>
  <c r="U386" i="17" s="1"/>
  <c r="N476" i="17"/>
  <c r="N560" i="17"/>
  <c r="N568" i="17"/>
  <c r="R568" i="17" s="1"/>
  <c r="S568" i="17" s="1"/>
  <c r="M548" i="17"/>
  <c r="Q548" i="17" s="1"/>
  <c r="U548" i="17" s="1"/>
  <c r="N468" i="17"/>
  <c r="M490" i="17"/>
  <c r="Q490" i="17" s="1"/>
  <c r="U490" i="17" s="1"/>
  <c r="M394" i="17"/>
  <c r="Q394" i="17" s="1"/>
  <c r="U394" i="17" s="1"/>
  <c r="N416" i="17"/>
  <c r="N336" i="17"/>
  <c r="M240" i="17"/>
  <c r="Q240" i="17" s="1"/>
  <c r="U240" i="17" s="1"/>
  <c r="M160" i="17"/>
  <c r="X160" i="17" s="1"/>
  <c r="M116" i="17"/>
  <c r="Q116" i="17" s="1"/>
  <c r="U116" i="17" s="1"/>
  <c r="M273" i="17"/>
  <c r="M233" i="17"/>
  <c r="Q233" i="17" s="1"/>
  <c r="U233" i="17" s="1"/>
  <c r="N606" i="17"/>
  <c r="R606" i="17" s="1"/>
  <c r="S606" i="17" s="1"/>
  <c r="M577" i="17"/>
  <c r="Q577" i="17" s="1"/>
  <c r="U577" i="17" s="1"/>
  <c r="M611" i="17"/>
  <c r="X611" i="17" s="1"/>
  <c r="N590" i="17"/>
  <c r="R590" i="17" s="1"/>
  <c r="S590" i="17" s="1"/>
  <c r="N591" i="17"/>
  <c r="N527" i="17"/>
  <c r="Y527" i="17" s="1"/>
  <c r="N536" i="17"/>
  <c r="Y536" i="17" s="1"/>
  <c r="N490" i="17"/>
  <c r="N450" i="17"/>
  <c r="R450" i="17" s="1"/>
  <c r="S450" i="17" s="1"/>
  <c r="M512" i="17"/>
  <c r="M464" i="17"/>
  <c r="M424" i="17"/>
  <c r="Q424" i="17" s="1"/>
  <c r="U424" i="17" s="1"/>
  <c r="M384" i="17"/>
  <c r="Q384" i="17" s="1"/>
  <c r="U384" i="17" s="1"/>
  <c r="M336" i="17"/>
  <c r="X336" i="17" s="1"/>
  <c r="N398" i="17"/>
  <c r="Y398" i="17" s="1"/>
  <c r="N358" i="17"/>
  <c r="M310" i="17"/>
  <c r="X310" i="17" s="1"/>
  <c r="M270" i="17"/>
  <c r="X270" i="17" s="1"/>
  <c r="M230" i="17"/>
  <c r="Q230" i="17" s="1"/>
  <c r="U230" i="17" s="1"/>
  <c r="M182" i="17"/>
  <c r="Q182" i="17" s="1"/>
  <c r="U182" i="17" s="1"/>
  <c r="M142" i="17"/>
  <c r="M307" i="17"/>
  <c r="Q307" i="17" s="1"/>
  <c r="U307" i="17" s="1"/>
  <c r="M255" i="17"/>
  <c r="Q255" i="17" s="1"/>
  <c r="U255" i="17" s="1"/>
  <c r="N607" i="17"/>
  <c r="R607" i="17" s="1"/>
  <c r="S607" i="17" s="1"/>
  <c r="N573" i="17"/>
  <c r="M574" i="17"/>
  <c r="Q574" i="17" s="1"/>
  <c r="U574" i="17" s="1"/>
  <c r="M519" i="17"/>
  <c r="M604" i="17"/>
  <c r="Q604" i="17" s="1"/>
  <c r="U604" i="17" s="1"/>
  <c r="N564" i="17"/>
  <c r="R564" i="17" s="1"/>
  <c r="S564" i="17" s="1"/>
  <c r="N541" i="17"/>
  <c r="M556" i="17"/>
  <c r="N512" i="17"/>
  <c r="N464" i="17"/>
  <c r="Y464" i="17" s="1"/>
  <c r="N424" i="17"/>
  <c r="R424" i="17" s="1"/>
  <c r="S424" i="17" s="1"/>
  <c r="M486" i="17"/>
  <c r="M438" i="17"/>
  <c r="Q438" i="17" s="1"/>
  <c r="U438" i="17" s="1"/>
  <c r="M398" i="17"/>
  <c r="M358" i="17"/>
  <c r="N412" i="17"/>
  <c r="R412" i="17" s="1"/>
  <c r="S412" i="17" s="1"/>
  <c r="N372" i="17"/>
  <c r="N332" i="17"/>
  <c r="R332" i="17" s="1"/>
  <c r="S332" i="17" s="1"/>
  <c r="M284" i="17"/>
  <c r="M244" i="17"/>
  <c r="Q244" i="17" s="1"/>
  <c r="U244" i="17" s="1"/>
  <c r="M204" i="17"/>
  <c r="M156" i="17"/>
  <c r="Q156" i="17" s="1"/>
  <c r="U156" i="17" s="1"/>
  <c r="N537" i="17"/>
  <c r="Y537" i="17" s="1"/>
  <c r="N428" i="17"/>
  <c r="M338" i="17"/>
  <c r="M280" i="17"/>
  <c r="Q280" i="17" s="1"/>
  <c r="U280" i="17" s="1"/>
  <c r="M136" i="17"/>
  <c r="M245" i="17"/>
  <c r="N597" i="17"/>
  <c r="M610" i="17"/>
  <c r="N539" i="17"/>
  <c r="N510" i="17"/>
  <c r="N430" i="17"/>
  <c r="M436" i="17"/>
  <c r="M356" i="17"/>
  <c r="Q356" i="17" s="1"/>
  <c r="U356" i="17" s="1"/>
  <c r="N378" i="17"/>
  <c r="Y378" i="17" s="1"/>
  <c r="M282" i="17"/>
  <c r="Q282" i="17" s="1"/>
  <c r="U282" i="17" s="1"/>
  <c r="M202" i="17"/>
  <c r="X202" i="17" s="1"/>
  <c r="M122" i="17"/>
  <c r="Q122" i="17" s="1"/>
  <c r="U122" i="17" s="1"/>
  <c r="N612" i="17"/>
  <c r="Y612" i="17" s="1"/>
  <c r="M530" i="17"/>
  <c r="M501" i="17"/>
  <c r="Q501" i="17" s="1"/>
  <c r="U501" i="17" s="1"/>
  <c r="N507" i="17"/>
  <c r="R507" i="17" s="1"/>
  <c r="S507" i="17" s="1"/>
  <c r="N427" i="17"/>
  <c r="R427" i="17" s="1"/>
  <c r="S427" i="17" s="1"/>
  <c r="N347" i="17"/>
  <c r="M353" i="17"/>
  <c r="N301" i="17"/>
  <c r="Y301" i="17" s="1"/>
  <c r="N261" i="17"/>
  <c r="R261" i="17" s="1"/>
  <c r="S261" i="17" s="1"/>
  <c r="N213" i="17"/>
  <c r="Y213" i="17" s="1"/>
  <c r="N173" i="17"/>
  <c r="N133" i="17"/>
  <c r="N290" i="17"/>
  <c r="Y290" i="17" s="1"/>
  <c r="N250" i="17"/>
  <c r="N210" i="17"/>
  <c r="N162" i="17"/>
  <c r="Y162" i="17" s="1"/>
  <c r="N122" i="17"/>
  <c r="Y122" i="17" s="1"/>
  <c r="M145" i="17"/>
  <c r="Q145" i="17" s="1"/>
  <c r="U145" i="17" s="1"/>
  <c r="M227" i="17"/>
  <c r="M579" i="17"/>
  <c r="Q579" i="17" s="1"/>
  <c r="U579" i="17" s="1"/>
  <c r="N545" i="17"/>
  <c r="R545" i="17" s="1"/>
  <c r="S545" i="17" s="1"/>
  <c r="M546" i="17"/>
  <c r="M507" i="17"/>
  <c r="Q507" i="17" s="1"/>
  <c r="U507" i="17" s="1"/>
  <c r="M467" i="17"/>
  <c r="X467" i="17" s="1"/>
  <c r="M419" i="17"/>
  <c r="X419" i="17" s="1"/>
  <c r="N481" i="17"/>
  <c r="R481" i="17" s="1"/>
  <c r="S481" i="17" s="1"/>
  <c r="N441" i="17"/>
  <c r="N393" i="17"/>
  <c r="R393" i="17" s="1"/>
  <c r="S393" i="17" s="1"/>
  <c r="N353" i="17"/>
  <c r="Y353" i="17" s="1"/>
  <c r="M415" i="17"/>
  <c r="M367" i="17"/>
  <c r="Q367" i="17" s="1"/>
  <c r="U367" i="17" s="1"/>
  <c r="M327" i="17"/>
  <c r="Q327" i="17" s="1"/>
  <c r="U327" i="17" s="1"/>
  <c r="N287" i="17"/>
  <c r="Y287" i="17" s="1"/>
  <c r="N239" i="17"/>
  <c r="N199" i="17"/>
  <c r="R199" i="17" s="1"/>
  <c r="S199" i="17" s="1"/>
  <c r="N159" i="17"/>
  <c r="N111" i="17"/>
  <c r="Y111" i="17" s="1"/>
  <c r="N276" i="17"/>
  <c r="R276" i="17" s="1"/>
  <c r="S276" i="17" s="1"/>
  <c r="N236" i="17"/>
  <c r="N188" i="17"/>
  <c r="R188" i="17" s="1"/>
  <c r="S188" i="17" s="1"/>
  <c r="N148" i="17"/>
  <c r="M197" i="17"/>
  <c r="M163" i="17"/>
  <c r="Q163" i="17" s="1"/>
  <c r="U163" i="17" s="1"/>
  <c r="N19" i="17"/>
  <c r="R19" i="17" s="1"/>
  <c r="S19" i="17" s="1"/>
  <c r="N39" i="17"/>
  <c r="R39" i="17" s="1"/>
  <c r="S39" i="17" s="1"/>
  <c r="N63" i="17"/>
  <c r="N83" i="17"/>
  <c r="R83" i="17" s="1"/>
  <c r="S83" i="17" s="1"/>
  <c r="N103" i="17"/>
  <c r="R103" i="17" s="1"/>
  <c r="S103" i="17" s="1"/>
  <c r="N64" i="17"/>
  <c r="M15" i="17"/>
  <c r="M71" i="17"/>
  <c r="Q71" i="17" s="1"/>
  <c r="U71" i="17" s="1"/>
  <c r="M93" i="17"/>
  <c r="X93" i="17" s="1"/>
  <c r="M119" i="17"/>
  <c r="X119" i="17" s="1"/>
  <c r="M34" i="17"/>
  <c r="M66" i="17"/>
  <c r="M94" i="17"/>
  <c r="X94" i="17" s="1"/>
  <c r="N38" i="17"/>
  <c r="Y38" i="17" s="1"/>
  <c r="N102" i="17"/>
  <c r="M53" i="17"/>
  <c r="Q53" i="17" s="1"/>
  <c r="U53" i="17" s="1"/>
  <c r="M341" i="17"/>
  <c r="M405" i="17"/>
  <c r="X405" i="17" s="1"/>
  <c r="N359" i="17"/>
  <c r="N407" i="17"/>
  <c r="R407" i="17" s="1"/>
  <c r="S407" i="17" s="1"/>
  <c r="N471" i="17"/>
  <c r="R471" i="17" s="1"/>
  <c r="S471" i="17" s="1"/>
  <c r="M425" i="17"/>
  <c r="X425" i="17" s="1"/>
  <c r="M481" i="17"/>
  <c r="M558" i="17"/>
  <c r="M591" i="17"/>
  <c r="Q591" i="17" s="1"/>
  <c r="U591" i="17" s="1"/>
  <c r="M291" i="17"/>
  <c r="Q291" i="17" s="1"/>
  <c r="U291" i="17" s="1"/>
  <c r="M174" i="17"/>
  <c r="M262" i="17"/>
  <c r="X262" i="17" s="1"/>
  <c r="N342" i="17"/>
  <c r="R342" i="17" s="1"/>
  <c r="S342" i="17" s="1"/>
  <c r="M328" i="17"/>
  <c r="M416" i="17"/>
  <c r="Q416" i="17" s="1"/>
  <c r="U416" i="17" s="1"/>
  <c r="M496" i="17"/>
  <c r="N482" i="17"/>
  <c r="R482" i="17" s="1"/>
  <c r="S482" i="17" s="1"/>
  <c r="M592" i="17"/>
  <c r="Q592" i="17" s="1"/>
  <c r="U592" i="17" s="1"/>
  <c r="N574" i="17"/>
  <c r="M569" i="17"/>
  <c r="M225" i="17"/>
  <c r="Q225" i="17" s="1"/>
  <c r="U225" i="17" s="1"/>
  <c r="M305" i="17"/>
  <c r="M224" i="17"/>
  <c r="N400" i="17"/>
  <c r="Y400" i="17" s="1"/>
  <c r="M458" i="17"/>
  <c r="X458" i="17" s="1"/>
  <c r="N530" i="17"/>
  <c r="M613" i="17"/>
  <c r="Q613" i="17" s="1"/>
  <c r="M450" i="17"/>
  <c r="M200" i="17"/>
  <c r="X200" i="17" s="1"/>
  <c r="M205" i="17"/>
  <c r="N570" i="17"/>
  <c r="N470" i="17"/>
  <c r="Y470" i="17" s="1"/>
  <c r="M396" i="17"/>
  <c r="Q396" i="17" s="1"/>
  <c r="U396" i="17" s="1"/>
  <c r="N338" i="17"/>
  <c r="R338" i="17" s="1"/>
  <c r="S338" i="17" s="1"/>
  <c r="M162" i="17"/>
  <c r="X162" i="17" s="1"/>
  <c r="M522" i="17"/>
  <c r="N451" i="17"/>
  <c r="R451" i="17" s="1"/>
  <c r="S451" i="17" s="1"/>
  <c r="M329" i="17"/>
  <c r="Q329" i="17" s="1"/>
  <c r="U329" i="17" s="1"/>
  <c r="N209" i="17"/>
  <c r="N278" i="17"/>
  <c r="R278" i="17" s="1"/>
  <c r="S278" i="17" s="1"/>
  <c r="M235" i="17"/>
  <c r="Q235" i="17" s="1"/>
  <c r="U235" i="17" s="1"/>
  <c r="M439" i="17"/>
  <c r="Q439" i="17" s="1"/>
  <c r="U439" i="17" s="1"/>
  <c r="N333" i="17"/>
  <c r="Y333" i="17" s="1"/>
  <c r="N195" i="17"/>
  <c r="Y195" i="17" s="1"/>
  <c r="N176" i="17"/>
  <c r="N53" i="17"/>
  <c r="R53" i="17" s="1"/>
  <c r="S53" i="17" s="1"/>
  <c r="M27" i="17"/>
  <c r="M48" i="17"/>
  <c r="X48" i="17" s="1"/>
  <c r="N98" i="17"/>
  <c r="R98" i="17" s="1"/>
  <c r="S98" i="17" s="1"/>
  <c r="N190" i="17"/>
  <c r="N485" i="17"/>
  <c r="R485" i="17" s="1"/>
  <c r="S485" i="17" s="1"/>
  <c r="N171" i="17"/>
  <c r="R171" i="17" s="1"/>
  <c r="S171" i="17" s="1"/>
  <c r="N81" i="17"/>
  <c r="R81" i="17" s="1"/>
  <c r="S81" i="17" s="1"/>
  <c r="M68" i="17"/>
  <c r="Q68" i="17" s="1"/>
  <c r="U68" i="17" s="1"/>
  <c r="M463" i="17"/>
  <c r="N41" i="17"/>
  <c r="M570" i="17"/>
  <c r="Q570" i="17" s="1"/>
  <c r="U570" i="17" s="1"/>
  <c r="N89" i="17"/>
  <c r="R89" i="17" s="1"/>
  <c r="S89" i="17" s="1"/>
  <c r="M67" i="17"/>
  <c r="M596" i="17"/>
  <c r="N548" i="17"/>
  <c r="R548" i="17" s="1"/>
  <c r="S548" i="17" s="1"/>
  <c r="N533" i="17"/>
  <c r="N542" i="17"/>
  <c r="R542" i="17" s="1"/>
  <c r="S542" i="17" s="1"/>
  <c r="N496" i="17"/>
  <c r="Y496" i="17" s="1"/>
  <c r="N456" i="17"/>
  <c r="N519" i="17"/>
  <c r="R519" i="17" s="1"/>
  <c r="S519" i="17" s="1"/>
  <c r="M470" i="17"/>
  <c r="M430" i="17"/>
  <c r="X430" i="17" s="1"/>
  <c r="M390" i="17"/>
  <c r="M342" i="17"/>
  <c r="N404" i="17"/>
  <c r="R404" i="17" s="1"/>
  <c r="S404" i="17" s="1"/>
  <c r="N364" i="17"/>
  <c r="R364" i="17" s="1"/>
  <c r="S364" i="17" s="1"/>
  <c r="N316" i="17"/>
  <c r="R316" i="17" s="1"/>
  <c r="S316" i="17" s="1"/>
  <c r="M276" i="17"/>
  <c r="M236" i="17"/>
  <c r="M188" i="17"/>
  <c r="Q188" i="17" s="1"/>
  <c r="U188" i="17" s="1"/>
  <c r="M605" i="17"/>
  <c r="Q605" i="17" s="1"/>
  <c r="U605" i="17" s="1"/>
  <c r="M564" i="17"/>
  <c r="M466" i="17"/>
  <c r="Q466" i="17" s="1"/>
  <c r="U466" i="17" s="1"/>
  <c r="N408" i="17"/>
  <c r="R408" i="17" s="1"/>
  <c r="S408" i="17" s="1"/>
  <c r="M248" i="17"/>
  <c r="M309" i="17"/>
  <c r="Q309" i="17" s="1"/>
  <c r="U309" i="17" s="1"/>
  <c r="M229" i="17"/>
  <c r="Q229" i="17" s="1"/>
  <c r="U229" i="17" s="1"/>
  <c r="M581" i="17"/>
  <c r="N578" i="17"/>
  <c r="R578" i="17" s="1"/>
  <c r="S578" i="17" s="1"/>
  <c r="N523" i="17"/>
  <c r="R523" i="17" s="1"/>
  <c r="S523" i="17" s="1"/>
  <c r="N494" i="17"/>
  <c r="M500" i="17"/>
  <c r="M420" i="17"/>
  <c r="M340" i="17"/>
  <c r="Q340" i="17" s="1"/>
  <c r="U340" i="17" s="1"/>
  <c r="N346" i="17"/>
  <c r="M266" i="17"/>
  <c r="Q266" i="17" s="1"/>
  <c r="U266" i="17" s="1"/>
  <c r="M186" i="17"/>
  <c r="X186" i="17" s="1"/>
  <c r="M295" i="17"/>
  <c r="Q295" i="17" s="1"/>
  <c r="U295" i="17" s="1"/>
  <c r="N599" i="17"/>
  <c r="R599" i="17" s="1"/>
  <c r="S599" i="17" s="1"/>
  <c r="M582" i="17"/>
  <c r="M469" i="17"/>
  <c r="Q469" i="17" s="1"/>
  <c r="N491" i="17"/>
  <c r="R491" i="17" s="1"/>
  <c r="S491" i="17" s="1"/>
  <c r="N411" i="17"/>
  <c r="N315" i="17"/>
  <c r="M337" i="17"/>
  <c r="N293" i="17"/>
  <c r="Y293" i="17" s="1"/>
  <c r="N245" i="17"/>
  <c r="N205" i="17"/>
  <c r="N165" i="17"/>
  <c r="N117" i="17"/>
  <c r="R117" i="17" s="1"/>
  <c r="S117" i="17" s="1"/>
  <c r="N282" i="17"/>
  <c r="N242" i="17"/>
  <c r="Y242" i="17" s="1"/>
  <c r="N194" i="17"/>
  <c r="N154" i="17"/>
  <c r="N114" i="17"/>
  <c r="M113" i="17"/>
  <c r="Q113" i="17" s="1"/>
  <c r="U113" i="17" s="1"/>
  <c r="M211" i="17"/>
  <c r="X211" i="17" s="1"/>
  <c r="M563" i="17"/>
  <c r="X563" i="17" s="1"/>
  <c r="M528" i="17"/>
  <c r="M537" i="17"/>
  <c r="Q537" i="17" s="1"/>
  <c r="U537" i="17" s="1"/>
  <c r="M499" i="17"/>
  <c r="Q499" i="17" s="1"/>
  <c r="U499" i="17" s="1"/>
  <c r="M451" i="17"/>
  <c r="N513" i="17"/>
  <c r="R513" i="17" s="1"/>
  <c r="S513" i="17" s="1"/>
  <c r="N473" i="17"/>
  <c r="R473" i="17" s="1"/>
  <c r="S473" i="17" s="1"/>
  <c r="N425" i="17"/>
  <c r="Y425" i="17" s="1"/>
  <c r="N385" i="17"/>
  <c r="N345" i="17"/>
  <c r="M399" i="17"/>
  <c r="X399" i="17" s="1"/>
  <c r="M359" i="17"/>
  <c r="M319" i="17"/>
  <c r="Q319" i="17" s="1"/>
  <c r="U319" i="17" s="1"/>
  <c r="N271" i="17"/>
  <c r="N231" i="17"/>
  <c r="N191" i="17"/>
  <c r="R191" i="17" s="1"/>
  <c r="S191" i="17" s="1"/>
  <c r="N143" i="17"/>
  <c r="N308" i="17"/>
  <c r="R308" i="17" s="1"/>
  <c r="S308" i="17" s="1"/>
  <c r="N268" i="17"/>
  <c r="R268" i="17" s="1"/>
  <c r="S268" i="17" s="1"/>
  <c r="N220" i="17"/>
  <c r="R220" i="17" s="1"/>
  <c r="S220" i="17" s="1"/>
  <c r="N180" i="17"/>
  <c r="Y180" i="17" s="1"/>
  <c r="N140" i="17"/>
  <c r="M165" i="17"/>
  <c r="X165" i="17" s="1"/>
  <c r="M147" i="17"/>
  <c r="Q147" i="17" s="1"/>
  <c r="U147" i="17" s="1"/>
  <c r="N23" i="17"/>
  <c r="N47" i="17"/>
  <c r="N67" i="17"/>
  <c r="R67" i="17" s="1"/>
  <c r="S67" i="17" s="1"/>
  <c r="N87" i="17"/>
  <c r="R87" i="17" s="1"/>
  <c r="S87" i="17" s="1"/>
  <c r="N16" i="17"/>
  <c r="Y16" i="17" s="1"/>
  <c r="N72" i="17"/>
  <c r="R72" i="17" s="1"/>
  <c r="S72" i="17" s="1"/>
  <c r="M31" i="17"/>
  <c r="X31" i="17" s="1"/>
  <c r="M95" i="17"/>
  <c r="Q95" i="17" s="1"/>
  <c r="U95" i="17" s="1"/>
  <c r="M109" i="17"/>
  <c r="X109" i="17" s="1"/>
  <c r="M14" i="17"/>
  <c r="M46" i="17"/>
  <c r="M74" i="17"/>
  <c r="Q74" i="17" s="1"/>
  <c r="U74" i="17" s="1"/>
  <c r="M98" i="17"/>
  <c r="Q98" i="17" s="1"/>
  <c r="U98" i="17" s="1"/>
  <c r="N54" i="17"/>
  <c r="M13" i="17"/>
  <c r="Q13" i="17" s="1"/>
  <c r="U13" i="17" s="1"/>
  <c r="M73" i="17"/>
  <c r="Q73" i="17" s="1"/>
  <c r="U73" i="17" s="1"/>
  <c r="M365" i="17"/>
  <c r="X365" i="17" s="1"/>
  <c r="M413" i="17"/>
  <c r="N367" i="17"/>
  <c r="R367" i="17" s="1"/>
  <c r="S367" i="17" s="1"/>
  <c r="N431" i="17"/>
  <c r="R431" i="17" s="1"/>
  <c r="S431" i="17" s="1"/>
  <c r="N487" i="17"/>
  <c r="Y487" i="17" s="1"/>
  <c r="M433" i="17"/>
  <c r="M497" i="17"/>
  <c r="M534" i="17"/>
  <c r="X534" i="17" s="1"/>
  <c r="M223" i="17"/>
  <c r="M118" i="17"/>
  <c r="M206" i="17"/>
  <c r="Q206" i="17" s="1"/>
  <c r="U206" i="17" s="1"/>
  <c r="M294" i="17"/>
  <c r="N374" i="17"/>
  <c r="R374" i="17" s="1"/>
  <c r="S374" i="17" s="1"/>
  <c r="M360" i="17"/>
  <c r="M448" i="17"/>
  <c r="N426" i="17"/>
  <c r="Y426" i="17" s="1"/>
  <c r="N514" i="17"/>
  <c r="N559" i="17"/>
  <c r="M606" i="17"/>
  <c r="N601" i="17"/>
  <c r="R601" i="17" s="1"/>
  <c r="S601" i="17" s="1"/>
  <c r="M257" i="17"/>
  <c r="X257" i="17" s="1"/>
  <c r="M132" i="17"/>
  <c r="M288" i="17"/>
  <c r="Q288" i="17" s="1"/>
  <c r="U288" i="17" s="1"/>
  <c r="M362" i="17"/>
  <c r="Q362" i="17" s="1"/>
  <c r="U362" i="17" s="1"/>
  <c r="N420" i="17"/>
  <c r="N547" i="17"/>
  <c r="R547" i="17" s="1"/>
  <c r="S547" i="17" s="1"/>
  <c r="N538" i="17"/>
  <c r="Y538" i="17" s="1"/>
  <c r="M322" i="17"/>
  <c r="M112" i="17"/>
  <c r="Q112" i="17" s="1"/>
  <c r="U112" i="17" s="1"/>
  <c r="M573" i="17"/>
  <c r="N531" i="17"/>
  <c r="M508" i="17"/>
  <c r="M332" i="17"/>
  <c r="M274" i="17"/>
  <c r="M287" i="17"/>
  <c r="X287" i="17" s="1"/>
  <c r="M477" i="17"/>
  <c r="Q477" i="17" s="1"/>
  <c r="U477" i="17" s="1"/>
  <c r="N371" i="17"/>
  <c r="N281" i="17"/>
  <c r="N169" i="17"/>
  <c r="R169" i="17" s="1"/>
  <c r="S169" i="17" s="1"/>
  <c r="N182" i="17"/>
  <c r="R182" i="17" s="1"/>
  <c r="S182" i="17" s="1"/>
  <c r="N553" i="17"/>
  <c r="N461" i="17"/>
  <c r="M355" i="17"/>
  <c r="N115" i="17"/>
  <c r="Y115" i="17" s="1"/>
  <c r="M141" i="17"/>
  <c r="X141" i="17" s="1"/>
  <c r="N93" i="17"/>
  <c r="M69" i="17"/>
  <c r="Q69" i="17" s="1"/>
  <c r="U69" i="17" s="1"/>
  <c r="M88" i="17"/>
  <c r="X88" i="17" s="1"/>
  <c r="N129" i="17"/>
  <c r="Y129" i="17" s="1"/>
  <c r="M195" i="17"/>
  <c r="N325" i="17"/>
  <c r="Y325" i="17" s="1"/>
  <c r="N216" i="17"/>
  <c r="M19" i="17"/>
  <c r="X19" i="17" s="1"/>
  <c r="M25" i="17"/>
  <c r="X25" i="17" s="1"/>
  <c r="M347" i="17"/>
  <c r="X347" i="17" s="1"/>
  <c r="M175" i="17"/>
  <c r="Q175" i="17" s="1"/>
  <c r="U175" i="17" s="1"/>
  <c r="M379" i="17"/>
  <c r="Q379" i="17" s="1"/>
  <c r="U379" i="17" s="1"/>
  <c r="N251" i="17"/>
  <c r="M609" i="17"/>
  <c r="X609" i="17" s="1"/>
  <c r="N580" i="17"/>
  <c r="Y580" i="17" s="1"/>
  <c r="N587" i="17"/>
  <c r="Y587" i="17" s="1"/>
  <c r="N525" i="17"/>
  <c r="N526" i="17"/>
  <c r="N488" i="17"/>
  <c r="R488" i="17" s="1"/>
  <c r="S488" i="17" s="1"/>
  <c r="N448" i="17"/>
  <c r="M502" i="17"/>
  <c r="M462" i="17"/>
  <c r="M422" i="17"/>
  <c r="Q422" i="17" s="1"/>
  <c r="U422" i="17" s="1"/>
  <c r="M374" i="17"/>
  <c r="Q374" i="17" s="1"/>
  <c r="U374" i="17" s="1"/>
  <c r="M334" i="17"/>
  <c r="Q334" i="17" s="1"/>
  <c r="U334" i="17" s="1"/>
  <c r="N396" i="17"/>
  <c r="N348" i="17"/>
  <c r="M308" i="17"/>
  <c r="M268" i="17"/>
  <c r="M220" i="17"/>
  <c r="Q220" i="17" s="1"/>
  <c r="U220" i="17" s="1"/>
  <c r="M180" i="17"/>
  <c r="M608" i="17"/>
  <c r="N492" i="17"/>
  <c r="R492" i="17" s="1"/>
  <c r="S492" i="17" s="1"/>
  <c r="M434" i="17"/>
  <c r="Q434" i="17" s="1"/>
  <c r="U434" i="17" s="1"/>
  <c r="N376" i="17"/>
  <c r="R376" i="17" s="1"/>
  <c r="S376" i="17" s="1"/>
  <c r="M184" i="17"/>
  <c r="Q184" i="17" s="1"/>
  <c r="U184" i="17" s="1"/>
  <c r="M293" i="17"/>
  <c r="M213" i="17"/>
  <c r="M549" i="17"/>
  <c r="N562" i="17"/>
  <c r="Y562" i="17" s="1"/>
  <c r="M568" i="17"/>
  <c r="N462" i="17"/>
  <c r="M484" i="17"/>
  <c r="X484" i="17" s="1"/>
  <c r="M404" i="17"/>
  <c r="N410" i="17"/>
  <c r="N330" i="17"/>
  <c r="M250" i="17"/>
  <c r="Q250" i="17" s="1"/>
  <c r="U250" i="17" s="1"/>
  <c r="M154" i="17"/>
  <c r="Q154" i="17" s="1"/>
  <c r="U154" i="17" s="1"/>
  <c r="M279" i="17"/>
  <c r="Q279" i="17" s="1"/>
  <c r="U279" i="17" s="1"/>
  <c r="M567" i="17"/>
  <c r="M531" i="17"/>
  <c r="Q531" i="17" s="1"/>
  <c r="U531" i="17" s="1"/>
  <c r="M453" i="17"/>
  <c r="N475" i="17"/>
  <c r="N379" i="17"/>
  <c r="Y379" i="17" s="1"/>
  <c r="M401" i="17"/>
  <c r="Q401" i="17" s="1"/>
  <c r="U401" i="17" s="1"/>
  <c r="M325" i="17"/>
  <c r="Q325" i="17" s="1"/>
  <c r="U325" i="17" s="1"/>
  <c r="N277" i="17"/>
  <c r="Y277" i="17" s="1"/>
  <c r="N237" i="17"/>
  <c r="N197" i="17"/>
  <c r="N149" i="17"/>
  <c r="Y149" i="17" s="1"/>
  <c r="N314" i="17"/>
  <c r="N274" i="17"/>
  <c r="N226" i="17"/>
  <c r="N186" i="17"/>
  <c r="N146" i="17"/>
  <c r="M177" i="17"/>
  <c r="Q177" i="17" s="1"/>
  <c r="U177" i="17" s="1"/>
  <c r="M187" i="17"/>
  <c r="N608" i="17"/>
  <c r="Y608" i="17" s="1"/>
  <c r="N577" i="17"/>
  <c r="R577" i="17" s="1"/>
  <c r="S577" i="17" s="1"/>
  <c r="M594" i="17"/>
  <c r="Q594" i="17" s="1"/>
  <c r="U594" i="17" s="1"/>
  <c r="M529" i="17"/>
  <c r="M483" i="17"/>
  <c r="Q483" i="17" s="1"/>
  <c r="U483" i="17" s="1"/>
  <c r="M443" i="17"/>
  <c r="N505" i="17"/>
  <c r="N457" i="17"/>
  <c r="R457" i="17" s="1"/>
  <c r="S457" i="17" s="1"/>
  <c r="N417" i="17"/>
  <c r="R417" i="17" s="1"/>
  <c r="S417" i="17" s="1"/>
  <c r="N377" i="17"/>
  <c r="N329" i="17"/>
  <c r="R329" i="17" s="1"/>
  <c r="S329" i="17" s="1"/>
  <c r="M391" i="17"/>
  <c r="Q391" i="17" s="1"/>
  <c r="M351" i="17"/>
  <c r="Q351" i="17" s="1"/>
  <c r="U351" i="17" s="1"/>
  <c r="N303" i="17"/>
  <c r="N263" i="17"/>
  <c r="R263" i="17" s="1"/>
  <c r="S263" i="17" s="1"/>
  <c r="N223" i="17"/>
  <c r="N175" i="17"/>
  <c r="N135" i="17"/>
  <c r="N300" i="17"/>
  <c r="R300" i="17" s="1"/>
  <c r="S300" i="17" s="1"/>
  <c r="N252" i="17"/>
  <c r="R252" i="17" s="1"/>
  <c r="S252" i="17" s="1"/>
  <c r="N212" i="17"/>
  <c r="Y212" i="17" s="1"/>
  <c r="N172" i="17"/>
  <c r="R172" i="17" s="1"/>
  <c r="S172" i="17" s="1"/>
  <c r="N124" i="17"/>
  <c r="Y124" i="17" s="1"/>
  <c r="M149" i="17"/>
  <c r="M131" i="17"/>
  <c r="N31" i="17"/>
  <c r="N51" i="17"/>
  <c r="N71" i="17"/>
  <c r="N95" i="17"/>
  <c r="N32" i="17"/>
  <c r="N80" i="17"/>
  <c r="M47" i="17"/>
  <c r="Q47" i="17" s="1"/>
  <c r="U47" i="17" s="1"/>
  <c r="M103" i="17"/>
  <c r="M191" i="17"/>
  <c r="Q191" i="17" s="1"/>
  <c r="U191" i="17" s="1"/>
  <c r="M26" i="17"/>
  <c r="Q26" i="17" s="1"/>
  <c r="U26" i="17" s="1"/>
  <c r="M50" i="17"/>
  <c r="X50" i="17" s="1"/>
  <c r="M78" i="17"/>
  <c r="Q78" i="17" s="1"/>
  <c r="U78" i="17" s="1"/>
  <c r="N14" i="17"/>
  <c r="N70" i="17"/>
  <c r="M21" i="17"/>
  <c r="Q21" i="17" s="1"/>
  <c r="U21" i="17" s="1"/>
  <c r="M105" i="17"/>
  <c r="M373" i="17"/>
  <c r="Q373" i="17" s="1"/>
  <c r="U373" i="17" s="1"/>
  <c r="N327" i="17"/>
  <c r="Y327" i="17" s="1"/>
  <c r="N391" i="17"/>
  <c r="N439" i="17"/>
  <c r="R439" i="17" s="1"/>
  <c r="S439" i="17" s="1"/>
  <c r="N495" i="17"/>
  <c r="R495" i="17" s="1"/>
  <c r="S495" i="17" s="1"/>
  <c r="M457" i="17"/>
  <c r="Q457" i="17" s="1"/>
  <c r="U457" i="17" s="1"/>
  <c r="M513" i="17"/>
  <c r="Q513" i="17" s="1"/>
  <c r="U513" i="17" s="1"/>
  <c r="M542" i="17"/>
  <c r="X542" i="17" s="1"/>
  <c r="M239" i="17"/>
  <c r="Q239" i="17" s="1"/>
  <c r="U239" i="17" s="1"/>
  <c r="M134" i="17"/>
  <c r="Q134" i="17" s="1"/>
  <c r="U134" i="17" s="1"/>
  <c r="M214" i="17"/>
  <c r="Q214" i="17" s="1"/>
  <c r="U214" i="17" s="1"/>
  <c r="M302" i="17"/>
  <c r="Q302" i="17" s="1"/>
  <c r="U302" i="17" s="1"/>
  <c r="N390" i="17"/>
  <c r="Y390" i="17" s="1"/>
  <c r="M368" i="17"/>
  <c r="Q368" i="17" s="1"/>
  <c r="U368" i="17" s="1"/>
  <c r="M456" i="17"/>
  <c r="X456" i="17" s="1"/>
  <c r="N442" i="17"/>
  <c r="N520" i="17"/>
  <c r="N575" i="17"/>
  <c r="R575" i="17" s="1"/>
  <c r="S575" i="17" s="1"/>
  <c r="M603" i="17"/>
  <c r="Q603" i="17" s="1"/>
  <c r="U603" i="17" s="1"/>
  <c r="N609" i="17"/>
  <c r="R609" i="17" s="1"/>
  <c r="S609" i="17" s="1"/>
  <c r="M265" i="17"/>
  <c r="M148" i="17"/>
  <c r="M304" i="17"/>
  <c r="Q304" i="17" s="1"/>
  <c r="U304" i="17" s="1"/>
  <c r="M378" i="17"/>
  <c r="N452" i="17"/>
  <c r="N579" i="17"/>
  <c r="N508" i="17"/>
  <c r="Y508" i="17" s="1"/>
  <c r="N360" i="17"/>
  <c r="M301" i="17"/>
  <c r="M557" i="17"/>
  <c r="Q557" i="17" s="1"/>
  <c r="U557" i="17" s="1"/>
  <c r="M552" i="17"/>
  <c r="Q552" i="17" s="1"/>
  <c r="U552" i="17" s="1"/>
  <c r="M492" i="17"/>
  <c r="Q492" i="17" s="1"/>
  <c r="U492" i="17" s="1"/>
  <c r="M316" i="17"/>
  <c r="M242" i="17"/>
  <c r="M271" i="17"/>
  <c r="Q271" i="17" s="1"/>
  <c r="U271" i="17" s="1"/>
  <c r="M461" i="17"/>
  <c r="X461" i="17" s="1"/>
  <c r="N323" i="17"/>
  <c r="N273" i="17"/>
  <c r="Y273" i="17" s="1"/>
  <c r="N153" i="17"/>
  <c r="R153" i="17" s="1"/>
  <c r="S153" i="17" s="1"/>
  <c r="N150" i="17"/>
  <c r="R150" i="17" s="1"/>
  <c r="S150" i="17" s="1"/>
  <c r="M586" i="17"/>
  <c r="N445" i="17"/>
  <c r="N307" i="17"/>
  <c r="R307" i="17" s="1"/>
  <c r="S307" i="17" s="1"/>
  <c r="N304" i="17"/>
  <c r="M171" i="17"/>
  <c r="Q171" i="17" s="1"/>
  <c r="U171" i="17" s="1"/>
  <c r="N28" i="17"/>
  <c r="R28" i="17" s="1"/>
  <c r="S28" i="17" s="1"/>
  <c r="M101" i="17"/>
  <c r="Q101" i="17" s="1"/>
  <c r="U101" i="17" s="1"/>
  <c r="M104" i="17"/>
  <c r="N302" i="17"/>
  <c r="R302" i="17" s="1"/>
  <c r="S302" i="17" s="1"/>
  <c r="M587" i="17"/>
  <c r="X587" i="17" s="1"/>
  <c r="M395" i="17"/>
  <c r="N120" i="17"/>
  <c r="R120" i="17" s="1"/>
  <c r="S120" i="17" s="1"/>
  <c r="M51" i="17"/>
  <c r="M57" i="17"/>
  <c r="N155" i="17"/>
  <c r="R155" i="17" s="1"/>
  <c r="S155" i="17" s="1"/>
  <c r="M28" i="17"/>
  <c r="M315" i="17"/>
  <c r="N57" i="17"/>
  <c r="M628" i="17"/>
  <c r="Q628" i="17" s="1"/>
  <c r="F627" i="17"/>
  <c r="E627" i="17"/>
  <c r="N627" i="17"/>
  <c r="M627" i="17"/>
  <c r="J627" i="17"/>
  <c r="D627" i="17"/>
  <c r="L627" i="17"/>
  <c r="K627" i="17"/>
  <c r="I627" i="17"/>
  <c r="P627" i="17"/>
  <c r="O627" i="17"/>
  <c r="C627" i="17"/>
  <c r="G627" i="17"/>
  <c r="H624" i="17"/>
  <c r="G624" i="17"/>
  <c r="M625" i="17"/>
  <c r="H625" i="17"/>
  <c r="G625" i="17"/>
  <c r="Q81" i="17"/>
  <c r="U81" i="17" s="1"/>
  <c r="X81" i="17"/>
  <c r="M624" i="17"/>
  <c r="N624" i="17"/>
  <c r="J625" i="17"/>
  <c r="I625" i="17"/>
  <c r="C625" i="17"/>
  <c r="O625" i="17"/>
  <c r="D625" i="17"/>
  <c r="F625" i="17"/>
  <c r="P625" i="17"/>
  <c r="K625" i="17"/>
  <c r="E625" i="17"/>
  <c r="L625" i="17"/>
  <c r="I624" i="17"/>
  <c r="K624" i="17"/>
  <c r="C624" i="17"/>
  <c r="F624" i="17"/>
  <c r="P624" i="17"/>
  <c r="L624" i="17"/>
  <c r="J624" i="17"/>
  <c r="D624" i="17"/>
  <c r="E624" i="17"/>
  <c r="O624" i="17"/>
  <c r="N625" i="17"/>
  <c r="Q624" i="25" l="1"/>
  <c r="D634" i="25" s="1"/>
  <c r="Y625" i="25"/>
  <c r="Q625" i="25"/>
  <c r="D635" i="25" s="1"/>
  <c r="AA627" i="25"/>
  <c r="Q627" i="25"/>
  <c r="Y623" i="25"/>
  <c r="R623" i="25"/>
  <c r="S623" i="25" s="1"/>
  <c r="Q111" i="25"/>
  <c r="X111" i="25"/>
  <c r="Q33" i="25"/>
  <c r="X33" i="25"/>
  <c r="X110" i="25"/>
  <c r="Q110" i="25"/>
  <c r="Y85" i="25"/>
  <c r="R85" i="25"/>
  <c r="S85" i="25" s="1"/>
  <c r="R45" i="25"/>
  <c r="S45" i="25" s="1"/>
  <c r="Y45" i="25"/>
  <c r="X62" i="25"/>
  <c r="Q62" i="25"/>
  <c r="Q329" i="25"/>
  <c r="X329" i="25"/>
  <c r="R24" i="25"/>
  <c r="S24" i="25" s="1"/>
  <c r="Y24" i="25"/>
  <c r="X53" i="25"/>
  <c r="Q53" i="25"/>
  <c r="R99" i="25"/>
  <c r="S99" i="25" s="1"/>
  <c r="Y99" i="25"/>
  <c r="R135" i="25"/>
  <c r="S135" i="25" s="1"/>
  <c r="Y135" i="25"/>
  <c r="Y199" i="25"/>
  <c r="R199" i="25"/>
  <c r="S199" i="25" s="1"/>
  <c r="Q40" i="25"/>
  <c r="X40" i="25"/>
  <c r="Q72" i="25"/>
  <c r="X72" i="25"/>
  <c r="Q113" i="25"/>
  <c r="X113" i="25"/>
  <c r="Y161" i="25"/>
  <c r="R161" i="25"/>
  <c r="S161" i="25" s="1"/>
  <c r="R193" i="25"/>
  <c r="S193" i="25" s="1"/>
  <c r="Y193" i="25"/>
  <c r="R295" i="25"/>
  <c r="S295" i="25" s="1"/>
  <c r="Y295" i="25"/>
  <c r="Q91" i="25"/>
  <c r="X91" i="25"/>
  <c r="X163" i="25"/>
  <c r="Q163" i="25"/>
  <c r="Y32" i="25"/>
  <c r="R32" i="25"/>
  <c r="S32" i="25" s="1"/>
  <c r="Y56" i="25"/>
  <c r="R56" i="25"/>
  <c r="S56" i="25" s="1"/>
  <c r="R80" i="25"/>
  <c r="S80" i="25" s="1"/>
  <c r="Y80" i="25"/>
  <c r="Y112" i="25"/>
  <c r="R112" i="25"/>
  <c r="S112" i="25" s="1"/>
  <c r="Y136" i="25"/>
  <c r="R136" i="25"/>
  <c r="S136" i="25" s="1"/>
  <c r="Y168" i="25"/>
  <c r="R168" i="25"/>
  <c r="S168" i="25" s="1"/>
  <c r="R200" i="25"/>
  <c r="S200" i="25" s="1"/>
  <c r="Y200" i="25"/>
  <c r="Y224" i="25"/>
  <c r="R224" i="25"/>
  <c r="S224" i="25" s="1"/>
  <c r="Y264" i="25"/>
  <c r="R264" i="25"/>
  <c r="S264" i="25" s="1"/>
  <c r="X241" i="25"/>
  <c r="Q241" i="25"/>
  <c r="X126" i="25"/>
  <c r="Q126" i="25"/>
  <c r="Q150" i="25"/>
  <c r="X150" i="25"/>
  <c r="X182" i="25"/>
  <c r="Q182" i="25"/>
  <c r="X214" i="25"/>
  <c r="Q214" i="25"/>
  <c r="R233" i="25"/>
  <c r="S233" i="25" s="1"/>
  <c r="Y233" i="25"/>
  <c r="Q281" i="25"/>
  <c r="X281" i="25"/>
  <c r="X238" i="25"/>
  <c r="Q238" i="25"/>
  <c r="Q262" i="25"/>
  <c r="X262" i="25"/>
  <c r="R301" i="25"/>
  <c r="S301" i="25" s="1"/>
  <c r="Y301" i="25"/>
  <c r="R333" i="25"/>
  <c r="S333" i="25" s="1"/>
  <c r="Y333" i="25"/>
  <c r="Q364" i="25"/>
  <c r="X364" i="25"/>
  <c r="Q275" i="25"/>
  <c r="X275" i="25"/>
  <c r="Q306" i="25"/>
  <c r="X306" i="25"/>
  <c r="X338" i="25"/>
  <c r="Q338" i="25"/>
  <c r="X379" i="25"/>
  <c r="Q379" i="25"/>
  <c r="Q292" i="25"/>
  <c r="X292" i="25"/>
  <c r="Q333" i="25"/>
  <c r="X333" i="25"/>
  <c r="Q361" i="25"/>
  <c r="X361" i="25"/>
  <c r="X385" i="25"/>
  <c r="Q385" i="25"/>
  <c r="Q380" i="25"/>
  <c r="X380" i="25"/>
  <c r="R404" i="25"/>
  <c r="S404" i="25" s="1"/>
  <c r="Y404" i="25"/>
  <c r="Y304" i="25"/>
  <c r="R304" i="25"/>
  <c r="S304" i="25" s="1"/>
  <c r="Y320" i="25"/>
  <c r="R320" i="25"/>
  <c r="S320" i="25" s="1"/>
  <c r="R352" i="25"/>
  <c r="S352" i="25" s="1"/>
  <c r="Y352" i="25"/>
  <c r="R389" i="25"/>
  <c r="S389" i="25" s="1"/>
  <c r="Y389" i="25"/>
  <c r="Y386" i="25"/>
  <c r="R386" i="25"/>
  <c r="S386" i="25" s="1"/>
  <c r="Q412" i="25"/>
  <c r="X412" i="25"/>
  <c r="Q415" i="25"/>
  <c r="X415" i="25"/>
  <c r="R448" i="25"/>
  <c r="S448" i="25" s="1"/>
  <c r="Y448" i="25"/>
  <c r="X418" i="25"/>
  <c r="Q418" i="25"/>
  <c r="Y479" i="25"/>
  <c r="R479" i="25"/>
  <c r="S479" i="25" s="1"/>
  <c r="Y464" i="25"/>
  <c r="R464" i="25"/>
  <c r="S464" i="25" s="1"/>
  <c r="Q439" i="25"/>
  <c r="X439" i="25"/>
  <c r="Q463" i="25"/>
  <c r="X463" i="25"/>
  <c r="Y407" i="25"/>
  <c r="R407" i="25"/>
  <c r="S407" i="25" s="1"/>
  <c r="Y431" i="25"/>
  <c r="R431" i="25"/>
  <c r="S431" i="25" s="1"/>
  <c r="R455" i="25"/>
  <c r="S455" i="25" s="1"/>
  <c r="Y455" i="25"/>
  <c r="X485" i="25"/>
  <c r="Q485" i="25"/>
  <c r="R515" i="25"/>
  <c r="S515" i="25" s="1"/>
  <c r="Y515" i="25"/>
  <c r="R493" i="25"/>
  <c r="S493" i="25" s="1"/>
  <c r="Y493" i="25"/>
  <c r="Q476" i="25"/>
  <c r="X476" i="25"/>
  <c r="Q500" i="25"/>
  <c r="X500" i="25"/>
  <c r="Q545" i="25"/>
  <c r="X545" i="25"/>
  <c r="Q535" i="25"/>
  <c r="X535" i="25"/>
  <c r="Y546" i="25"/>
  <c r="R546" i="25"/>
  <c r="S546" i="25" s="1"/>
  <c r="Y610" i="25"/>
  <c r="R610" i="25"/>
  <c r="S610" i="25" s="1"/>
  <c r="D633" i="25"/>
  <c r="X623" i="25"/>
  <c r="Q20" i="25"/>
  <c r="X20" i="25"/>
  <c r="R109" i="25"/>
  <c r="S109" i="25" s="1"/>
  <c r="Y109" i="25"/>
  <c r="X217" i="25"/>
  <c r="Q217" i="25"/>
  <c r="X18" i="25"/>
  <c r="Q18" i="25"/>
  <c r="X30" i="25"/>
  <c r="Q30" i="25"/>
  <c r="X70" i="25"/>
  <c r="Q70" i="25"/>
  <c r="X103" i="25"/>
  <c r="Q103" i="25"/>
  <c r="Q173" i="25"/>
  <c r="X173" i="25"/>
  <c r="Q78" i="25"/>
  <c r="X78" i="25"/>
  <c r="X22" i="25"/>
  <c r="Q22" i="25"/>
  <c r="Y37" i="25"/>
  <c r="R37" i="25"/>
  <c r="S37" i="25" s="1"/>
  <c r="Q55" i="25"/>
  <c r="X55" i="25"/>
  <c r="Y117" i="25"/>
  <c r="R117" i="25"/>
  <c r="S117" i="25" s="1"/>
  <c r="Q149" i="25"/>
  <c r="X149" i="25"/>
  <c r="X213" i="25"/>
  <c r="Q213" i="25"/>
  <c r="X31" i="25"/>
  <c r="Q31" i="25"/>
  <c r="X79" i="25"/>
  <c r="Q79" i="25"/>
  <c r="X201" i="25"/>
  <c r="Q201" i="25"/>
  <c r="Y23" i="25"/>
  <c r="R23" i="25"/>
  <c r="S23" i="25" s="1"/>
  <c r="R61" i="25"/>
  <c r="S61" i="25" s="1"/>
  <c r="Y61" i="25"/>
  <c r="X94" i="25"/>
  <c r="Q94" i="25"/>
  <c r="Q161" i="25"/>
  <c r="X161" i="25"/>
  <c r="R248" i="25"/>
  <c r="S248" i="25" s="1"/>
  <c r="Y248" i="25"/>
  <c r="Y33" i="25"/>
  <c r="R33" i="25"/>
  <c r="S33" i="25" s="1"/>
  <c r="X43" i="25"/>
  <c r="Q43" i="25"/>
  <c r="R14" i="25"/>
  <c r="S14" i="25" s="1"/>
  <c r="Y14" i="25"/>
  <c r="Y22" i="25"/>
  <c r="R22" i="25"/>
  <c r="S22" i="25" s="1"/>
  <c r="X29" i="25"/>
  <c r="Q29" i="25"/>
  <c r="Y43" i="25"/>
  <c r="R43" i="25"/>
  <c r="S43" i="25" s="1"/>
  <c r="Q52" i="25"/>
  <c r="X52" i="25"/>
  <c r="X61" i="25"/>
  <c r="Q61" i="25"/>
  <c r="Y75" i="25"/>
  <c r="R75" i="25"/>
  <c r="S75" i="25" s="1"/>
  <c r="X84" i="25"/>
  <c r="Q84" i="25"/>
  <c r="Q93" i="25"/>
  <c r="X93" i="25"/>
  <c r="Y107" i="25"/>
  <c r="R107" i="25"/>
  <c r="S107" i="25" s="1"/>
  <c r="X116" i="25"/>
  <c r="Q116" i="25"/>
  <c r="R131" i="25"/>
  <c r="S131" i="25" s="1"/>
  <c r="Y131" i="25"/>
  <c r="R147" i="25"/>
  <c r="S147" i="25" s="1"/>
  <c r="Y147" i="25"/>
  <c r="R163" i="25"/>
  <c r="S163" i="25" s="1"/>
  <c r="Y163" i="25"/>
  <c r="R179" i="25"/>
  <c r="S179" i="25" s="1"/>
  <c r="Y179" i="25"/>
  <c r="R195" i="25"/>
  <c r="S195" i="25" s="1"/>
  <c r="Y195" i="25"/>
  <c r="R211" i="25"/>
  <c r="S211" i="25" s="1"/>
  <c r="Y211" i="25"/>
  <c r="R240" i="25"/>
  <c r="S240" i="25" s="1"/>
  <c r="Y240" i="25"/>
  <c r="X328" i="25"/>
  <c r="Q328" i="25"/>
  <c r="X48" i="25"/>
  <c r="Q48" i="25"/>
  <c r="X57" i="25"/>
  <c r="Q57" i="25"/>
  <c r="Y71" i="25"/>
  <c r="R71" i="25"/>
  <c r="S71" i="25" s="1"/>
  <c r="X80" i="25"/>
  <c r="Q80" i="25"/>
  <c r="X89" i="25"/>
  <c r="Q89" i="25"/>
  <c r="Y103" i="25"/>
  <c r="R103" i="25"/>
  <c r="S103" i="25" s="1"/>
  <c r="X112" i="25"/>
  <c r="Q112" i="25"/>
  <c r="R125" i="25"/>
  <c r="S125" i="25" s="1"/>
  <c r="Y125" i="25"/>
  <c r="R141" i="25"/>
  <c r="S141" i="25" s="1"/>
  <c r="Y141" i="25"/>
  <c r="R157" i="25"/>
  <c r="S157" i="25" s="1"/>
  <c r="Y157" i="25"/>
  <c r="R173" i="25"/>
  <c r="S173" i="25" s="1"/>
  <c r="Y173" i="25"/>
  <c r="R189" i="25"/>
  <c r="S189" i="25" s="1"/>
  <c r="Y189" i="25"/>
  <c r="R205" i="25"/>
  <c r="S205" i="25" s="1"/>
  <c r="Y205" i="25"/>
  <c r="X223" i="25"/>
  <c r="Q223" i="25"/>
  <c r="Y261" i="25"/>
  <c r="R261" i="25"/>
  <c r="S261" i="25" s="1"/>
  <c r="X58" i="25"/>
  <c r="Q58" i="25"/>
  <c r="X67" i="25"/>
  <c r="Q67" i="25"/>
  <c r="Y81" i="25"/>
  <c r="R81" i="25"/>
  <c r="S81" i="25" s="1"/>
  <c r="X90" i="25"/>
  <c r="Q90" i="25"/>
  <c r="Q99" i="25"/>
  <c r="X99" i="25"/>
  <c r="R113" i="25"/>
  <c r="S113" i="25" s="1"/>
  <c r="Y113" i="25"/>
  <c r="X127" i="25"/>
  <c r="Q127" i="25"/>
  <c r="X143" i="25"/>
  <c r="Q143" i="25"/>
  <c r="X159" i="25"/>
  <c r="Q159" i="25"/>
  <c r="X175" i="25"/>
  <c r="Q175" i="25"/>
  <c r="X191" i="25"/>
  <c r="Q191" i="25"/>
  <c r="X207" i="25"/>
  <c r="Q207" i="25"/>
  <c r="X221" i="25"/>
  <c r="Q221" i="25"/>
  <c r="X263" i="25"/>
  <c r="Q263" i="25"/>
  <c r="Y30" i="25"/>
  <c r="R30" i="25"/>
  <c r="S30" i="25" s="1"/>
  <c r="Y38" i="25"/>
  <c r="R38" i="25"/>
  <c r="S38" i="25" s="1"/>
  <c r="Y46" i="25"/>
  <c r="R46" i="25"/>
  <c r="S46" i="25" s="1"/>
  <c r="Y54" i="25"/>
  <c r="R54" i="25"/>
  <c r="S54" i="25" s="1"/>
  <c r="Y62" i="25"/>
  <c r="R62" i="25"/>
  <c r="S62" i="25" s="1"/>
  <c r="R70" i="25"/>
  <c r="S70" i="25" s="1"/>
  <c r="Y70" i="25"/>
  <c r="R78" i="25"/>
  <c r="S78" i="25" s="1"/>
  <c r="Y78" i="25"/>
  <c r="R86" i="25"/>
  <c r="S86" i="25" s="1"/>
  <c r="Y86" i="25"/>
  <c r="Y94" i="25"/>
  <c r="R94" i="25"/>
  <c r="S94" i="25" s="1"/>
  <c r="Y102" i="25"/>
  <c r="R102" i="25"/>
  <c r="S102" i="25" s="1"/>
  <c r="Y110" i="25"/>
  <c r="R110" i="25"/>
  <c r="S110" i="25" s="1"/>
  <c r="R118" i="25"/>
  <c r="S118" i="25" s="1"/>
  <c r="Y118" i="25"/>
  <c r="Y126" i="25"/>
  <c r="R126" i="25"/>
  <c r="S126" i="25" s="1"/>
  <c r="R134" i="25"/>
  <c r="S134" i="25" s="1"/>
  <c r="Y134" i="25"/>
  <c r="Y142" i="25"/>
  <c r="R142" i="25"/>
  <c r="S142" i="25" s="1"/>
  <c r="Y150" i="25"/>
  <c r="R150" i="25"/>
  <c r="S150" i="25" s="1"/>
  <c r="R158" i="25"/>
  <c r="S158" i="25" s="1"/>
  <c r="Y158" i="25"/>
  <c r="R166" i="25"/>
  <c r="S166" i="25" s="1"/>
  <c r="Y166" i="25"/>
  <c r="Y174" i="25"/>
  <c r="R174" i="25"/>
  <c r="S174" i="25" s="1"/>
  <c r="Y182" i="25"/>
  <c r="R182" i="25"/>
  <c r="S182" i="25" s="1"/>
  <c r="R190" i="25"/>
  <c r="S190" i="25" s="1"/>
  <c r="Y190" i="25"/>
  <c r="R198" i="25"/>
  <c r="S198" i="25" s="1"/>
  <c r="Y198" i="25"/>
  <c r="Y206" i="25"/>
  <c r="R206" i="25"/>
  <c r="S206" i="25" s="1"/>
  <c r="Y214" i="25"/>
  <c r="R214" i="25"/>
  <c r="S214" i="25" s="1"/>
  <c r="Y222" i="25"/>
  <c r="R222" i="25"/>
  <c r="S222" i="25" s="1"/>
  <c r="R230" i="25"/>
  <c r="S230" i="25" s="1"/>
  <c r="Y230" i="25"/>
  <c r="Y243" i="25"/>
  <c r="R243" i="25"/>
  <c r="S243" i="25" s="1"/>
  <c r="Q253" i="25"/>
  <c r="X253" i="25"/>
  <c r="R262" i="25"/>
  <c r="S262" i="25" s="1"/>
  <c r="Y262" i="25"/>
  <c r="Q288" i="25"/>
  <c r="X288" i="25"/>
  <c r="X321" i="25"/>
  <c r="Q321" i="25"/>
  <c r="R226" i="25"/>
  <c r="S226" i="25" s="1"/>
  <c r="Y226" i="25"/>
  <c r="Y239" i="25"/>
  <c r="R239" i="25"/>
  <c r="S239" i="25" s="1"/>
  <c r="X249" i="25"/>
  <c r="Q249" i="25"/>
  <c r="Y258" i="25"/>
  <c r="R258" i="25"/>
  <c r="S258" i="25" s="1"/>
  <c r="Y303" i="25"/>
  <c r="R303" i="25"/>
  <c r="S303" i="25" s="1"/>
  <c r="Q336" i="25"/>
  <c r="X336" i="25"/>
  <c r="X124" i="25"/>
  <c r="Q124" i="25"/>
  <c r="X132" i="25"/>
  <c r="Q132" i="25"/>
  <c r="Q140" i="25"/>
  <c r="X140" i="25"/>
  <c r="Q148" i="25"/>
  <c r="X148" i="25"/>
  <c r="X156" i="25"/>
  <c r="Q156" i="25"/>
  <c r="X164" i="25"/>
  <c r="Q164" i="25"/>
  <c r="X172" i="25"/>
  <c r="Q172" i="25"/>
  <c r="Q180" i="25"/>
  <c r="X180" i="25"/>
  <c r="X188" i="25"/>
  <c r="Q188" i="25"/>
  <c r="X196" i="25"/>
  <c r="Q196" i="25"/>
  <c r="Q204" i="25"/>
  <c r="X204" i="25"/>
  <c r="Q212" i="25"/>
  <c r="X212" i="25"/>
  <c r="X220" i="25"/>
  <c r="Q220" i="25"/>
  <c r="R228" i="25"/>
  <c r="S228" i="25" s="1"/>
  <c r="Y228" i="25"/>
  <c r="R241" i="25"/>
  <c r="S241" i="25" s="1"/>
  <c r="Y241" i="25"/>
  <c r="X251" i="25"/>
  <c r="Q251" i="25"/>
  <c r="Y260" i="25"/>
  <c r="R260" i="25"/>
  <c r="S260" i="25" s="1"/>
  <c r="Q280" i="25"/>
  <c r="X280" i="25"/>
  <c r="Q313" i="25"/>
  <c r="X313" i="25"/>
  <c r="Q228" i="25"/>
  <c r="X228" i="25"/>
  <c r="X236" i="25"/>
  <c r="Q236" i="25"/>
  <c r="Q244" i="25"/>
  <c r="X244" i="25"/>
  <c r="Q252" i="25"/>
  <c r="X252" i="25"/>
  <c r="Q260" i="25"/>
  <c r="X260" i="25"/>
  <c r="Q268" i="25"/>
  <c r="X268" i="25"/>
  <c r="X276" i="25"/>
  <c r="Q276" i="25"/>
  <c r="X286" i="25"/>
  <c r="Q286" i="25"/>
  <c r="Q295" i="25"/>
  <c r="X295" i="25"/>
  <c r="Y309" i="25"/>
  <c r="R309" i="25"/>
  <c r="S309" i="25" s="1"/>
  <c r="X318" i="25"/>
  <c r="Q318" i="25"/>
  <c r="X327" i="25"/>
  <c r="Q327" i="25"/>
  <c r="Y341" i="25"/>
  <c r="R341" i="25"/>
  <c r="S341" i="25" s="1"/>
  <c r="Y347" i="25"/>
  <c r="R347" i="25"/>
  <c r="S347" i="25" s="1"/>
  <c r="R355" i="25"/>
  <c r="S355" i="25" s="1"/>
  <c r="Y355" i="25"/>
  <c r="Y363" i="25"/>
  <c r="R363" i="25"/>
  <c r="S363" i="25" s="1"/>
  <c r="Q394" i="25"/>
  <c r="X394" i="25"/>
  <c r="X265" i="25"/>
  <c r="Q265" i="25"/>
  <c r="X273" i="25"/>
  <c r="Q273" i="25"/>
  <c r="X282" i="25"/>
  <c r="Q282" i="25"/>
  <c r="X291" i="25"/>
  <c r="Q291" i="25"/>
  <c r="Y305" i="25"/>
  <c r="R305" i="25"/>
  <c r="S305" i="25" s="1"/>
  <c r="Q314" i="25"/>
  <c r="X314" i="25"/>
  <c r="X323" i="25"/>
  <c r="Q323" i="25"/>
  <c r="R337" i="25"/>
  <c r="S337" i="25" s="1"/>
  <c r="Y337" i="25"/>
  <c r="X346" i="25"/>
  <c r="Q346" i="25"/>
  <c r="Q354" i="25"/>
  <c r="X354" i="25"/>
  <c r="X362" i="25"/>
  <c r="Q362" i="25"/>
  <c r="X378" i="25"/>
  <c r="Q378" i="25"/>
  <c r="R269" i="25"/>
  <c r="S269" i="25" s="1"/>
  <c r="Y269" i="25"/>
  <c r="Y277" i="25"/>
  <c r="R277" i="25"/>
  <c r="S277" i="25" s="1"/>
  <c r="R291" i="25"/>
  <c r="S291" i="25" s="1"/>
  <c r="Y291" i="25"/>
  <c r="X300" i="25"/>
  <c r="Q300" i="25"/>
  <c r="X309" i="25"/>
  <c r="Q309" i="25"/>
  <c r="R323" i="25"/>
  <c r="S323" i="25" s="1"/>
  <c r="Y323" i="25"/>
  <c r="X332" i="25"/>
  <c r="Q332" i="25"/>
  <c r="Q341" i="25"/>
  <c r="X341" i="25"/>
  <c r="X387" i="25"/>
  <c r="Q387" i="25"/>
  <c r="Q351" i="25"/>
  <c r="X351" i="25"/>
  <c r="X359" i="25"/>
  <c r="Q359" i="25"/>
  <c r="Q367" i="25"/>
  <c r="X367" i="25"/>
  <c r="Y375" i="25"/>
  <c r="R375" i="25"/>
  <c r="S375" i="25" s="1"/>
  <c r="Q384" i="25"/>
  <c r="X384" i="25"/>
  <c r="X393" i="25"/>
  <c r="Q393" i="25"/>
  <c r="X421" i="25"/>
  <c r="Q421" i="25"/>
  <c r="X368" i="25"/>
  <c r="Q368" i="25"/>
  <c r="Y379" i="25"/>
  <c r="R379" i="25"/>
  <c r="S379" i="25" s="1"/>
  <c r="Q388" i="25"/>
  <c r="X388" i="25"/>
  <c r="Q397" i="25"/>
  <c r="X397" i="25"/>
  <c r="R434" i="25"/>
  <c r="S434" i="25" s="1"/>
  <c r="Y434" i="25"/>
  <c r="Y286" i="25"/>
  <c r="R286" i="25"/>
  <c r="S286" i="25" s="1"/>
  <c r="R294" i="25"/>
  <c r="S294" i="25" s="1"/>
  <c r="Y294" i="25"/>
  <c r="Y302" i="25"/>
  <c r="R302" i="25"/>
  <c r="S302" i="25" s="1"/>
  <c r="Y310" i="25"/>
  <c r="R310" i="25"/>
  <c r="S310" i="25" s="1"/>
  <c r="Y318" i="25"/>
  <c r="R318" i="25"/>
  <c r="S318" i="25" s="1"/>
  <c r="Y326" i="25"/>
  <c r="R326" i="25"/>
  <c r="S326" i="25" s="1"/>
  <c r="R334" i="25"/>
  <c r="S334" i="25" s="1"/>
  <c r="Y334" i="25"/>
  <c r="R342" i="25"/>
  <c r="S342" i="25" s="1"/>
  <c r="Y342" i="25"/>
  <c r="R350" i="25"/>
  <c r="S350" i="25" s="1"/>
  <c r="Y350" i="25"/>
  <c r="R358" i="25"/>
  <c r="S358" i="25" s="1"/>
  <c r="Y358" i="25"/>
  <c r="R366" i="25"/>
  <c r="S366" i="25" s="1"/>
  <c r="Y366" i="25"/>
  <c r="Y374" i="25"/>
  <c r="R374" i="25"/>
  <c r="S374" i="25" s="1"/>
  <c r="X383" i="25"/>
  <c r="Q383" i="25"/>
  <c r="Y397" i="25"/>
  <c r="R397" i="25"/>
  <c r="S397" i="25" s="1"/>
  <c r="Y412" i="25"/>
  <c r="R412" i="25"/>
  <c r="S412" i="25" s="1"/>
  <c r="R376" i="25"/>
  <c r="S376" i="25" s="1"/>
  <c r="Y376" i="25"/>
  <c r="R384" i="25"/>
  <c r="S384" i="25" s="1"/>
  <c r="Y384" i="25"/>
  <c r="R392" i="25"/>
  <c r="S392" i="25" s="1"/>
  <c r="Y392" i="25"/>
  <c r="R402" i="25"/>
  <c r="S402" i="25" s="1"/>
  <c r="Y402" i="25"/>
  <c r="X411" i="25"/>
  <c r="Q411" i="25"/>
  <c r="X420" i="25"/>
  <c r="Q420" i="25"/>
  <c r="Y444" i="25"/>
  <c r="R444" i="25"/>
  <c r="S444" i="25" s="1"/>
  <c r="Y482" i="25"/>
  <c r="R482" i="25"/>
  <c r="S482" i="25" s="1"/>
  <c r="R414" i="25"/>
  <c r="S414" i="25" s="1"/>
  <c r="Y414" i="25"/>
  <c r="X423" i="25"/>
  <c r="Q423" i="25"/>
  <c r="Y440" i="25"/>
  <c r="R440" i="25"/>
  <c r="S440" i="25" s="1"/>
  <c r="Y466" i="25"/>
  <c r="R466" i="25"/>
  <c r="S466" i="25" s="1"/>
  <c r="Q516" i="25"/>
  <c r="X516" i="25"/>
  <c r="Y408" i="25"/>
  <c r="R408" i="25"/>
  <c r="S408" i="25" s="1"/>
  <c r="Q417" i="25"/>
  <c r="X417" i="25"/>
  <c r="X426" i="25"/>
  <c r="Q426" i="25"/>
  <c r="R446" i="25"/>
  <c r="S446" i="25" s="1"/>
  <c r="Y446" i="25"/>
  <c r="Y474" i="25"/>
  <c r="R474" i="25"/>
  <c r="S474" i="25" s="1"/>
  <c r="X430" i="25"/>
  <c r="Q430" i="25"/>
  <c r="X438" i="25"/>
  <c r="Q438" i="25"/>
  <c r="Q446" i="25"/>
  <c r="X446" i="25"/>
  <c r="Q454" i="25"/>
  <c r="X454" i="25"/>
  <c r="X462" i="25"/>
  <c r="Q462" i="25"/>
  <c r="Y472" i="25"/>
  <c r="R472" i="25"/>
  <c r="S472" i="25" s="1"/>
  <c r="X491" i="25"/>
  <c r="Q491" i="25"/>
  <c r="X429" i="25"/>
  <c r="Q429" i="25"/>
  <c r="Q437" i="25"/>
  <c r="X437" i="25"/>
  <c r="X445" i="25"/>
  <c r="Q445" i="25"/>
  <c r="Q453" i="25"/>
  <c r="X453" i="25"/>
  <c r="X461" i="25"/>
  <c r="Q461" i="25"/>
  <c r="Y468" i="25"/>
  <c r="R468" i="25"/>
  <c r="S468" i="25" s="1"/>
  <c r="Y481" i="25"/>
  <c r="R481" i="25"/>
  <c r="S481" i="25" s="1"/>
  <c r="X511" i="25"/>
  <c r="Q511" i="25"/>
  <c r="R405" i="25"/>
  <c r="S405" i="25" s="1"/>
  <c r="Y405" i="25"/>
  <c r="Y413" i="25"/>
  <c r="R413" i="25"/>
  <c r="S413" i="25" s="1"/>
  <c r="Y421" i="25"/>
  <c r="R421" i="25"/>
  <c r="S421" i="25" s="1"/>
  <c r="Y429" i="25"/>
  <c r="R429" i="25"/>
  <c r="S429" i="25" s="1"/>
  <c r="Y437" i="25"/>
  <c r="R437" i="25"/>
  <c r="S437" i="25" s="1"/>
  <c r="Y445" i="25"/>
  <c r="R445" i="25"/>
  <c r="S445" i="25" s="1"/>
  <c r="R453" i="25"/>
  <c r="S453" i="25" s="1"/>
  <c r="Y453" i="25"/>
  <c r="Y461" i="25"/>
  <c r="R461" i="25"/>
  <c r="S461" i="25" s="1"/>
  <c r="R470" i="25"/>
  <c r="S470" i="25" s="1"/>
  <c r="Y470" i="25"/>
  <c r="Y484" i="25"/>
  <c r="R484" i="25"/>
  <c r="S484" i="25" s="1"/>
  <c r="X509" i="25"/>
  <c r="Q509" i="25"/>
  <c r="Y490" i="25"/>
  <c r="R490" i="25"/>
  <c r="S490" i="25" s="1"/>
  <c r="Y498" i="25"/>
  <c r="R498" i="25"/>
  <c r="S498" i="25" s="1"/>
  <c r="R506" i="25"/>
  <c r="S506" i="25" s="1"/>
  <c r="Y506" i="25"/>
  <c r="Q514" i="25"/>
  <c r="X514" i="25"/>
  <c r="Y523" i="25"/>
  <c r="R523" i="25"/>
  <c r="S523" i="25" s="1"/>
  <c r="R483" i="25"/>
  <c r="S483" i="25" s="1"/>
  <c r="Y483" i="25"/>
  <c r="Y491" i="25"/>
  <c r="R491" i="25"/>
  <c r="S491" i="25" s="1"/>
  <c r="Y499" i="25"/>
  <c r="R499" i="25"/>
  <c r="S499" i="25" s="1"/>
  <c r="R507" i="25"/>
  <c r="S507" i="25" s="1"/>
  <c r="Y507" i="25"/>
  <c r="X518" i="25"/>
  <c r="Q518" i="25"/>
  <c r="Q466" i="25"/>
  <c r="X466" i="25"/>
  <c r="X474" i="25"/>
  <c r="Q474" i="25"/>
  <c r="Q482" i="25"/>
  <c r="X482" i="25"/>
  <c r="Q490" i="25"/>
  <c r="X490" i="25"/>
  <c r="Q498" i="25"/>
  <c r="X498" i="25"/>
  <c r="X506" i="25"/>
  <c r="Q506" i="25"/>
  <c r="R513" i="25"/>
  <c r="S513" i="25" s="1"/>
  <c r="Y513" i="25"/>
  <c r="Y527" i="25"/>
  <c r="R527" i="25"/>
  <c r="S527" i="25" s="1"/>
  <c r="X515" i="25"/>
  <c r="Q515" i="25"/>
  <c r="X523" i="25"/>
  <c r="Q523" i="25"/>
  <c r="Y533" i="25"/>
  <c r="R533" i="25"/>
  <c r="S533" i="25" s="1"/>
  <c r="Q547" i="25"/>
  <c r="X547" i="25"/>
  <c r="R529" i="25"/>
  <c r="S529" i="25" s="1"/>
  <c r="Y529" i="25"/>
  <c r="X543" i="25"/>
  <c r="Q543" i="25"/>
  <c r="R564" i="25"/>
  <c r="S564" i="25" s="1"/>
  <c r="Y564" i="25"/>
  <c r="R526" i="25"/>
  <c r="S526" i="25" s="1"/>
  <c r="Y526" i="25"/>
  <c r="Q541" i="25"/>
  <c r="X541" i="25"/>
  <c r="R544" i="25"/>
  <c r="S544" i="25" s="1"/>
  <c r="Y544" i="25"/>
  <c r="Y552" i="25"/>
  <c r="R552" i="25"/>
  <c r="S552" i="25" s="1"/>
  <c r="R562" i="25"/>
  <c r="S562" i="25" s="1"/>
  <c r="Y562" i="25"/>
  <c r="X574" i="25"/>
  <c r="Q574" i="25"/>
  <c r="R541" i="25"/>
  <c r="S541" i="25" s="1"/>
  <c r="Y541" i="25"/>
  <c r="Y549" i="25"/>
  <c r="R549" i="25"/>
  <c r="S549" i="25" s="1"/>
  <c r="R558" i="25"/>
  <c r="S558" i="25" s="1"/>
  <c r="Y558" i="25"/>
  <c r="Q526" i="25"/>
  <c r="X526" i="25"/>
  <c r="X534" i="25"/>
  <c r="Q534" i="25"/>
  <c r="X542" i="25"/>
  <c r="Q542" i="25"/>
  <c r="Q550" i="25"/>
  <c r="X550" i="25"/>
  <c r="Y560" i="25"/>
  <c r="R560" i="25"/>
  <c r="S560" i="25" s="1"/>
  <c r="Q576" i="25"/>
  <c r="X576" i="25"/>
  <c r="R571" i="25"/>
  <c r="S571" i="25" s="1"/>
  <c r="Y571" i="25"/>
  <c r="Y579" i="25"/>
  <c r="R579" i="25"/>
  <c r="S579" i="25" s="1"/>
  <c r="Y568" i="25"/>
  <c r="R568" i="25"/>
  <c r="S568" i="25" s="1"/>
  <c r="R576" i="25"/>
  <c r="S576" i="25" s="1"/>
  <c r="Y576" i="25"/>
  <c r="R585" i="25"/>
  <c r="S585" i="25" s="1"/>
  <c r="Y585" i="25"/>
  <c r="X561" i="25"/>
  <c r="Q561" i="25"/>
  <c r="Q569" i="25"/>
  <c r="X569" i="25"/>
  <c r="Y577" i="25"/>
  <c r="R577" i="25"/>
  <c r="S577" i="25" s="1"/>
  <c r="Q577" i="25"/>
  <c r="X577" i="25"/>
  <c r="X585" i="25"/>
  <c r="Q585" i="25"/>
  <c r="Y596" i="25"/>
  <c r="R596" i="25"/>
  <c r="S596" i="25" s="1"/>
  <c r="Q588" i="25"/>
  <c r="X588" i="25"/>
  <c r="Q594" i="25"/>
  <c r="X594" i="25"/>
  <c r="R588" i="25"/>
  <c r="S588" i="25" s="1"/>
  <c r="Y588" i="25"/>
  <c r="Q596" i="25"/>
  <c r="X596" i="25"/>
  <c r="R595" i="25"/>
  <c r="S595" i="25" s="1"/>
  <c r="Y595" i="25"/>
  <c r="Y603" i="25"/>
  <c r="R603" i="25"/>
  <c r="S603" i="25" s="1"/>
  <c r="Y598" i="25"/>
  <c r="R598" i="25"/>
  <c r="S598" i="25" s="1"/>
  <c r="R606" i="25"/>
  <c r="S606" i="25" s="1"/>
  <c r="Y606" i="25"/>
  <c r="X601" i="25"/>
  <c r="Q601" i="25"/>
  <c r="Q610" i="25"/>
  <c r="X610" i="25"/>
  <c r="Q613" i="25"/>
  <c r="X613" i="25"/>
  <c r="R609" i="25"/>
  <c r="S609" i="25" s="1"/>
  <c r="Y609" i="25"/>
  <c r="X21" i="25"/>
  <c r="Q21" i="25"/>
  <c r="X19" i="25"/>
  <c r="Q19" i="25"/>
  <c r="X189" i="25"/>
  <c r="Q189" i="25"/>
  <c r="X118" i="25"/>
  <c r="Q118" i="25"/>
  <c r="X121" i="25"/>
  <c r="Q121" i="25"/>
  <c r="X95" i="25"/>
  <c r="Q95" i="25"/>
  <c r="Y49" i="25"/>
  <c r="R49" i="25"/>
  <c r="S49" i="25" s="1"/>
  <c r="R35" i="25"/>
  <c r="S35" i="25" s="1"/>
  <c r="Y35" i="25"/>
  <c r="R67" i="25"/>
  <c r="S67" i="25" s="1"/>
  <c r="Y67" i="25"/>
  <c r="X108" i="25"/>
  <c r="Q108" i="25"/>
  <c r="Y167" i="25"/>
  <c r="R167" i="25"/>
  <c r="S167" i="25" s="1"/>
  <c r="Y215" i="25"/>
  <c r="R215" i="25"/>
  <c r="S215" i="25" s="1"/>
  <c r="Q49" i="25"/>
  <c r="X49" i="25"/>
  <c r="X81" i="25"/>
  <c r="Q81" i="25"/>
  <c r="X104" i="25"/>
  <c r="Q104" i="25"/>
  <c r="Y129" i="25"/>
  <c r="R129" i="25"/>
  <c r="S129" i="25" s="1"/>
  <c r="Y209" i="25"/>
  <c r="R209" i="25"/>
  <c r="S209" i="25" s="1"/>
  <c r="X59" i="25"/>
  <c r="Q59" i="25"/>
  <c r="Y105" i="25"/>
  <c r="R105" i="25"/>
  <c r="S105" i="25" s="1"/>
  <c r="X147" i="25"/>
  <c r="Q147" i="25"/>
  <c r="X195" i="25"/>
  <c r="Q195" i="25"/>
  <c r="X231" i="25"/>
  <c r="Q231" i="25"/>
  <c r="Y48" i="25"/>
  <c r="R48" i="25"/>
  <c r="S48" i="25" s="1"/>
  <c r="R72" i="25"/>
  <c r="S72" i="25" s="1"/>
  <c r="Y72" i="25"/>
  <c r="R104" i="25"/>
  <c r="S104" i="25" s="1"/>
  <c r="Y104" i="25"/>
  <c r="Y128" i="25"/>
  <c r="R128" i="25"/>
  <c r="S128" i="25" s="1"/>
  <c r="Y160" i="25"/>
  <c r="R160" i="25"/>
  <c r="S160" i="25" s="1"/>
  <c r="Y184" i="25"/>
  <c r="R184" i="25"/>
  <c r="S184" i="25" s="1"/>
  <c r="Y208" i="25"/>
  <c r="R208" i="25"/>
  <c r="S208" i="25" s="1"/>
  <c r="X245" i="25"/>
  <c r="Q245" i="25"/>
  <c r="X289" i="25"/>
  <c r="Q289" i="25"/>
  <c r="Y250" i="25"/>
  <c r="R250" i="25"/>
  <c r="S250" i="25" s="1"/>
  <c r="Q337" i="25"/>
  <c r="X337" i="25"/>
  <c r="Q142" i="25"/>
  <c r="X142" i="25"/>
  <c r="Q174" i="25"/>
  <c r="X174" i="25"/>
  <c r="Q206" i="25"/>
  <c r="X206" i="25"/>
  <c r="Y252" i="25"/>
  <c r="R252" i="25"/>
  <c r="S252" i="25" s="1"/>
  <c r="R343" i="25"/>
  <c r="S343" i="25" s="1"/>
  <c r="Y343" i="25"/>
  <c r="Q246" i="25"/>
  <c r="X246" i="25"/>
  <c r="X278" i="25"/>
  <c r="Q278" i="25"/>
  <c r="Q319" i="25"/>
  <c r="X319" i="25"/>
  <c r="Q348" i="25"/>
  <c r="X348" i="25"/>
  <c r="X267" i="25"/>
  <c r="Q267" i="25"/>
  <c r="Y297" i="25"/>
  <c r="R297" i="25"/>
  <c r="S297" i="25" s="1"/>
  <c r="Q315" i="25"/>
  <c r="X315" i="25"/>
  <c r="Y357" i="25"/>
  <c r="R357" i="25"/>
  <c r="S357" i="25" s="1"/>
  <c r="Y271" i="25"/>
  <c r="R271" i="25"/>
  <c r="S271" i="25" s="1"/>
  <c r="Y315" i="25"/>
  <c r="R315" i="25"/>
  <c r="S315" i="25" s="1"/>
  <c r="X345" i="25"/>
  <c r="Q345" i="25"/>
  <c r="X369" i="25"/>
  <c r="Q369" i="25"/>
  <c r="R399" i="25"/>
  <c r="S399" i="25" s="1"/>
  <c r="Y399" i="25"/>
  <c r="Q370" i="25"/>
  <c r="X370" i="25"/>
  <c r="Q389" i="25"/>
  <c r="X389" i="25"/>
  <c r="R296" i="25"/>
  <c r="S296" i="25" s="1"/>
  <c r="Y296" i="25"/>
  <c r="Y328" i="25"/>
  <c r="R328" i="25"/>
  <c r="S328" i="25" s="1"/>
  <c r="Y360" i="25"/>
  <c r="R360" i="25"/>
  <c r="S360" i="25" s="1"/>
  <c r="X375" i="25"/>
  <c r="Q375" i="25"/>
  <c r="R378" i="25"/>
  <c r="S378" i="25" s="1"/>
  <c r="Y378" i="25"/>
  <c r="X403" i="25"/>
  <c r="Q403" i="25"/>
  <c r="Y406" i="25"/>
  <c r="R406" i="25"/>
  <c r="S406" i="25" s="1"/>
  <c r="R471" i="25"/>
  <c r="S471" i="25" s="1"/>
  <c r="Y471" i="25"/>
  <c r="Y428" i="25"/>
  <c r="R428" i="25"/>
  <c r="S428" i="25" s="1"/>
  <c r="X432" i="25"/>
  <c r="Q432" i="25"/>
  <c r="X456" i="25"/>
  <c r="Q456" i="25"/>
  <c r="X499" i="25"/>
  <c r="Q499" i="25"/>
  <c r="X455" i="25"/>
  <c r="Q455" i="25"/>
  <c r="Q487" i="25"/>
  <c r="X487" i="25"/>
  <c r="R423" i="25"/>
  <c r="S423" i="25" s="1"/>
  <c r="Y423" i="25"/>
  <c r="Y463" i="25"/>
  <c r="R463" i="25"/>
  <c r="S463" i="25" s="1"/>
  <c r="Y538" i="25"/>
  <c r="R538" i="25"/>
  <c r="S538" i="25" s="1"/>
  <c r="R508" i="25"/>
  <c r="S508" i="25" s="1"/>
  <c r="Y508" i="25"/>
  <c r="Y501" i="25"/>
  <c r="R501" i="25"/>
  <c r="S501" i="25" s="1"/>
  <c r="Q468" i="25"/>
  <c r="X468" i="25"/>
  <c r="X492" i="25"/>
  <c r="Q492" i="25"/>
  <c r="Q517" i="25"/>
  <c r="X517" i="25"/>
  <c r="X531" i="25"/>
  <c r="Q531" i="25"/>
  <c r="X549" i="25"/>
  <c r="Q549" i="25"/>
  <c r="Q612" i="25"/>
  <c r="X612" i="25"/>
  <c r="Q622" i="25"/>
  <c r="D632" i="25" s="1"/>
  <c r="X622" i="25"/>
  <c r="X626" i="25"/>
  <c r="Q626" i="25"/>
  <c r="D636" i="25" s="1"/>
  <c r="X13" i="25"/>
  <c r="Q13" i="25"/>
  <c r="U13" i="25" s="1"/>
  <c r="R27" i="25"/>
  <c r="S27" i="25" s="1"/>
  <c r="Y27" i="25"/>
  <c r="X153" i="25"/>
  <c r="Q153" i="25"/>
  <c r="R15" i="25"/>
  <c r="S15" i="25" s="1"/>
  <c r="Y15" i="25"/>
  <c r="Q27" i="25"/>
  <c r="X27" i="25"/>
  <c r="Y39" i="25"/>
  <c r="R39" i="25"/>
  <c r="S39" i="25" s="1"/>
  <c r="Y101" i="25"/>
  <c r="R101" i="25"/>
  <c r="S101" i="25" s="1"/>
  <c r="X141" i="25"/>
  <c r="Q141" i="25"/>
  <c r="Q205" i="25"/>
  <c r="X205" i="25"/>
  <c r="X15" i="25"/>
  <c r="Q15" i="25"/>
  <c r="X25" i="25"/>
  <c r="Q25" i="25"/>
  <c r="Y53" i="25"/>
  <c r="R53" i="25"/>
  <c r="S53" i="25" s="1"/>
  <c r="Q86" i="25"/>
  <c r="X86" i="25"/>
  <c r="Q119" i="25"/>
  <c r="X119" i="25"/>
  <c r="X181" i="25"/>
  <c r="Q181" i="25"/>
  <c r="X247" i="25"/>
  <c r="Q247" i="25"/>
  <c r="X46" i="25"/>
  <c r="Q46" i="25"/>
  <c r="X137" i="25"/>
  <c r="Q137" i="25"/>
  <c r="X16" i="25"/>
  <c r="Q16" i="25"/>
  <c r="Y25" i="25"/>
  <c r="R25" i="25"/>
  <c r="S25" i="25" s="1"/>
  <c r="X63" i="25"/>
  <c r="Q63" i="25"/>
  <c r="Q129" i="25"/>
  <c r="X129" i="25"/>
  <c r="Q193" i="25"/>
  <c r="X193" i="25"/>
  <c r="X26" i="25"/>
  <c r="Q26" i="25"/>
  <c r="R41" i="25"/>
  <c r="S41" i="25" s="1"/>
  <c r="Y41" i="25"/>
  <c r="X51" i="25"/>
  <c r="Q51" i="25"/>
  <c r="Y18" i="25"/>
  <c r="R18" i="25"/>
  <c r="S18" i="25" s="1"/>
  <c r="R26" i="25"/>
  <c r="S26" i="25" s="1"/>
  <c r="Y26" i="25"/>
  <c r="X36" i="25"/>
  <c r="Q36" i="25"/>
  <c r="X45" i="25"/>
  <c r="Q45" i="25"/>
  <c r="Y59" i="25"/>
  <c r="R59" i="25"/>
  <c r="S59" i="25" s="1"/>
  <c r="Q68" i="25"/>
  <c r="X68" i="25"/>
  <c r="X77" i="25"/>
  <c r="Q77" i="25"/>
  <c r="Y91" i="25"/>
  <c r="R91" i="25"/>
  <c r="S91" i="25" s="1"/>
  <c r="X100" i="25"/>
  <c r="Q100" i="25"/>
  <c r="Q109" i="25"/>
  <c r="X109" i="25"/>
  <c r="Y123" i="25"/>
  <c r="R123" i="25"/>
  <c r="S123" i="25" s="1"/>
  <c r="Y139" i="25"/>
  <c r="R139" i="25"/>
  <c r="S139" i="25" s="1"/>
  <c r="Y155" i="25"/>
  <c r="R155" i="25"/>
  <c r="S155" i="25" s="1"/>
  <c r="Y171" i="25"/>
  <c r="R171" i="25"/>
  <c r="S171" i="25" s="1"/>
  <c r="Y187" i="25"/>
  <c r="R187" i="25"/>
  <c r="S187" i="25" s="1"/>
  <c r="Y203" i="25"/>
  <c r="R203" i="25"/>
  <c r="S203" i="25" s="1"/>
  <c r="Y219" i="25"/>
  <c r="R219" i="25"/>
  <c r="S219" i="25" s="1"/>
  <c r="Y270" i="25"/>
  <c r="R270" i="25"/>
  <c r="S270" i="25" s="1"/>
  <c r="Q41" i="25"/>
  <c r="X41" i="25"/>
  <c r="R55" i="25"/>
  <c r="S55" i="25" s="1"/>
  <c r="Y55" i="25"/>
  <c r="X64" i="25"/>
  <c r="Q64" i="25"/>
  <c r="Q73" i="25"/>
  <c r="X73" i="25"/>
  <c r="Y87" i="25"/>
  <c r="R87" i="25"/>
  <c r="S87" i="25" s="1"/>
  <c r="Q96" i="25"/>
  <c r="X96" i="25"/>
  <c r="Q105" i="25"/>
  <c r="X105" i="25"/>
  <c r="Y119" i="25"/>
  <c r="R119" i="25"/>
  <c r="S119" i="25" s="1"/>
  <c r="Y133" i="25"/>
  <c r="R133" i="25"/>
  <c r="S133" i="25" s="1"/>
  <c r="Y149" i="25"/>
  <c r="R149" i="25"/>
  <c r="S149" i="25" s="1"/>
  <c r="Y165" i="25"/>
  <c r="R165" i="25"/>
  <c r="S165" i="25" s="1"/>
  <c r="Y181" i="25"/>
  <c r="R181" i="25"/>
  <c r="S181" i="25" s="1"/>
  <c r="Y197" i="25"/>
  <c r="R197" i="25"/>
  <c r="S197" i="25" s="1"/>
  <c r="Y213" i="25"/>
  <c r="R213" i="25"/>
  <c r="S213" i="25" s="1"/>
  <c r="X255" i="25"/>
  <c r="Q255" i="25"/>
  <c r="X35" i="25"/>
  <c r="Q35" i="25"/>
  <c r="R65" i="25"/>
  <c r="S65" i="25" s="1"/>
  <c r="Y65" i="25"/>
  <c r="X74" i="25"/>
  <c r="Q74" i="25"/>
  <c r="X83" i="25"/>
  <c r="Q83" i="25"/>
  <c r="R97" i="25"/>
  <c r="S97" i="25" s="1"/>
  <c r="Y97" i="25"/>
  <c r="X106" i="25"/>
  <c r="Q106" i="25"/>
  <c r="Q115" i="25"/>
  <c r="X115" i="25"/>
  <c r="Q135" i="25"/>
  <c r="X135" i="25"/>
  <c r="Q151" i="25"/>
  <c r="X151" i="25"/>
  <c r="Q167" i="25"/>
  <c r="X167" i="25"/>
  <c r="Q183" i="25"/>
  <c r="X183" i="25"/>
  <c r="Q199" i="25"/>
  <c r="X199" i="25"/>
  <c r="Q215" i="25"/>
  <c r="X215" i="25"/>
  <c r="R232" i="25"/>
  <c r="S232" i="25" s="1"/>
  <c r="Y232" i="25"/>
  <c r="Q296" i="25"/>
  <c r="X296" i="25"/>
  <c r="R34" i="25"/>
  <c r="S34" i="25" s="1"/>
  <c r="Y34" i="25"/>
  <c r="R42" i="25"/>
  <c r="S42" i="25" s="1"/>
  <c r="Y42" i="25"/>
  <c r="R50" i="25"/>
  <c r="S50" i="25" s="1"/>
  <c r="Y50" i="25"/>
  <c r="R58" i="25"/>
  <c r="S58" i="25" s="1"/>
  <c r="Y58" i="25"/>
  <c r="R66" i="25"/>
  <c r="S66" i="25" s="1"/>
  <c r="Y66" i="25"/>
  <c r="Y74" i="25"/>
  <c r="R74" i="25"/>
  <c r="S74" i="25" s="1"/>
  <c r="Y82" i="25"/>
  <c r="R82" i="25"/>
  <c r="S82" i="25" s="1"/>
  <c r="Y90" i="25"/>
  <c r="R90" i="25"/>
  <c r="S90" i="25" s="1"/>
  <c r="R98" i="25"/>
  <c r="S98" i="25" s="1"/>
  <c r="Y98" i="25"/>
  <c r="R106" i="25"/>
  <c r="S106" i="25" s="1"/>
  <c r="Y106" i="25"/>
  <c r="R114" i="25"/>
  <c r="S114" i="25" s="1"/>
  <c r="Y114" i="25"/>
  <c r="R122" i="25"/>
  <c r="S122" i="25" s="1"/>
  <c r="Y122" i="25"/>
  <c r="Y130" i="25"/>
  <c r="R130" i="25"/>
  <c r="S130" i="25" s="1"/>
  <c r="Y138" i="25"/>
  <c r="R138" i="25"/>
  <c r="S138" i="25" s="1"/>
  <c r="Y146" i="25"/>
  <c r="R146" i="25"/>
  <c r="S146" i="25" s="1"/>
  <c r="R154" i="25"/>
  <c r="S154" i="25" s="1"/>
  <c r="Y154" i="25"/>
  <c r="R162" i="25"/>
  <c r="S162" i="25" s="1"/>
  <c r="Y162" i="25"/>
  <c r="Y170" i="25"/>
  <c r="R170" i="25"/>
  <c r="S170" i="25" s="1"/>
  <c r="Y178" i="25"/>
  <c r="R178" i="25"/>
  <c r="S178" i="25" s="1"/>
  <c r="R186" i="25"/>
  <c r="S186" i="25" s="1"/>
  <c r="Y186" i="25"/>
  <c r="Y194" i="25"/>
  <c r="R194" i="25"/>
  <c r="S194" i="25" s="1"/>
  <c r="Y202" i="25"/>
  <c r="R202" i="25"/>
  <c r="S202" i="25" s="1"/>
  <c r="Y210" i="25"/>
  <c r="R210" i="25"/>
  <c r="S210" i="25" s="1"/>
  <c r="R218" i="25"/>
  <c r="S218" i="25" s="1"/>
  <c r="Y218" i="25"/>
  <c r="R227" i="25"/>
  <c r="S227" i="25" s="1"/>
  <c r="Y227" i="25"/>
  <c r="Q237" i="25"/>
  <c r="X237" i="25"/>
  <c r="R246" i="25"/>
  <c r="S246" i="25" s="1"/>
  <c r="Y246" i="25"/>
  <c r="Y259" i="25"/>
  <c r="R259" i="25"/>
  <c r="S259" i="25" s="1"/>
  <c r="R272" i="25"/>
  <c r="S272" i="25" s="1"/>
  <c r="Y272" i="25"/>
  <c r="Y319" i="25"/>
  <c r="R319" i="25"/>
  <c r="S319" i="25" s="1"/>
  <c r="Y223" i="25"/>
  <c r="R223" i="25"/>
  <c r="S223" i="25" s="1"/>
  <c r="Q233" i="25"/>
  <c r="X233" i="25"/>
  <c r="Y242" i="25"/>
  <c r="R242" i="25"/>
  <c r="S242" i="25" s="1"/>
  <c r="Y255" i="25"/>
  <c r="R255" i="25"/>
  <c r="S255" i="25" s="1"/>
  <c r="R268" i="25"/>
  <c r="S268" i="25" s="1"/>
  <c r="Y268" i="25"/>
  <c r="X305" i="25"/>
  <c r="Q305" i="25"/>
  <c r="X120" i="25"/>
  <c r="Q120" i="25"/>
  <c r="Q128" i="25"/>
  <c r="X128" i="25"/>
  <c r="Q136" i="25"/>
  <c r="X136" i="25"/>
  <c r="X144" i="25"/>
  <c r="Q144" i="25"/>
  <c r="X152" i="25"/>
  <c r="Q152" i="25"/>
  <c r="X160" i="25"/>
  <c r="Q160" i="25"/>
  <c r="Q168" i="25"/>
  <c r="X168" i="25"/>
  <c r="Q176" i="25"/>
  <c r="X176" i="25"/>
  <c r="X184" i="25"/>
  <c r="Q184" i="25"/>
  <c r="X192" i="25"/>
  <c r="Q192" i="25"/>
  <c r="Q200" i="25"/>
  <c r="X200" i="25"/>
  <c r="X208" i="25"/>
  <c r="Q208" i="25"/>
  <c r="X216" i="25"/>
  <c r="Q216" i="25"/>
  <c r="X224" i="25"/>
  <c r="Q224" i="25"/>
  <c r="X235" i="25"/>
  <c r="Q235" i="25"/>
  <c r="Y244" i="25"/>
  <c r="R244" i="25"/>
  <c r="S244" i="25" s="1"/>
  <c r="Y257" i="25"/>
  <c r="R257" i="25"/>
  <c r="S257" i="25" s="1"/>
  <c r="Y274" i="25"/>
  <c r="R274" i="25"/>
  <c r="S274" i="25" s="1"/>
  <c r="R311" i="25"/>
  <c r="S311" i="25" s="1"/>
  <c r="Y311" i="25"/>
  <c r="Y367" i="25"/>
  <c r="R367" i="25"/>
  <c r="S367" i="25" s="1"/>
  <c r="Q232" i="25"/>
  <c r="X232" i="25"/>
  <c r="X240" i="25"/>
  <c r="Q240" i="25"/>
  <c r="X248" i="25"/>
  <c r="Q248" i="25"/>
  <c r="X256" i="25"/>
  <c r="Q256" i="25"/>
  <c r="Q264" i="25"/>
  <c r="X264" i="25"/>
  <c r="X272" i="25"/>
  <c r="Q272" i="25"/>
  <c r="X279" i="25"/>
  <c r="Q279" i="25"/>
  <c r="Y293" i="25"/>
  <c r="R293" i="25"/>
  <c r="S293" i="25" s="1"/>
  <c r="Q302" i="25"/>
  <c r="X302" i="25"/>
  <c r="Q311" i="25"/>
  <c r="X311" i="25"/>
  <c r="Y325" i="25"/>
  <c r="R325" i="25"/>
  <c r="S325" i="25" s="1"/>
  <c r="X334" i="25"/>
  <c r="Q334" i="25"/>
  <c r="X343" i="25"/>
  <c r="Q343" i="25"/>
  <c r="Y351" i="25"/>
  <c r="R351" i="25"/>
  <c r="S351" i="25" s="1"/>
  <c r="R359" i="25"/>
  <c r="S359" i="25" s="1"/>
  <c r="Y359" i="25"/>
  <c r="Y369" i="25"/>
  <c r="R369" i="25"/>
  <c r="S369" i="25" s="1"/>
  <c r="Y442" i="25"/>
  <c r="R442" i="25"/>
  <c r="S442" i="25" s="1"/>
  <c r="Q269" i="25"/>
  <c r="X269" i="25"/>
  <c r="X277" i="25"/>
  <c r="Q277" i="25"/>
  <c r="Y289" i="25"/>
  <c r="R289" i="25"/>
  <c r="S289" i="25" s="1"/>
  <c r="X298" i="25"/>
  <c r="Q298" i="25"/>
  <c r="X307" i="25"/>
  <c r="Q307" i="25"/>
  <c r="R321" i="25"/>
  <c r="S321" i="25" s="1"/>
  <c r="Y321" i="25"/>
  <c r="Q330" i="25"/>
  <c r="X330" i="25"/>
  <c r="Q339" i="25"/>
  <c r="X339" i="25"/>
  <c r="Q350" i="25"/>
  <c r="X350" i="25"/>
  <c r="X358" i="25"/>
  <c r="Q358" i="25"/>
  <c r="Y373" i="25"/>
  <c r="R373" i="25"/>
  <c r="S373" i="25" s="1"/>
  <c r="Y265" i="25"/>
  <c r="R265" i="25"/>
  <c r="S265" i="25" s="1"/>
  <c r="Y273" i="25"/>
  <c r="R273" i="25"/>
  <c r="S273" i="25" s="1"/>
  <c r="Q284" i="25"/>
  <c r="X284" i="25"/>
  <c r="X293" i="25"/>
  <c r="Q293" i="25"/>
  <c r="Y307" i="25"/>
  <c r="R307" i="25"/>
  <c r="S307" i="25" s="1"/>
  <c r="X316" i="25"/>
  <c r="Q316" i="25"/>
  <c r="Q325" i="25"/>
  <c r="X325" i="25"/>
  <c r="R339" i="25"/>
  <c r="S339" i="25" s="1"/>
  <c r="Y339" i="25"/>
  <c r="Y385" i="25"/>
  <c r="R385" i="25"/>
  <c r="S385" i="25" s="1"/>
  <c r="X347" i="25"/>
  <c r="Q347" i="25"/>
  <c r="Q355" i="25"/>
  <c r="X355" i="25"/>
  <c r="Q363" i="25"/>
  <c r="X363" i="25"/>
  <c r="X371" i="25"/>
  <c r="Q371" i="25"/>
  <c r="X377" i="25"/>
  <c r="Q377" i="25"/>
  <c r="Y391" i="25"/>
  <c r="R391" i="25"/>
  <c r="S391" i="25" s="1"/>
  <c r="Y400" i="25"/>
  <c r="R400" i="25"/>
  <c r="S400" i="25" s="1"/>
  <c r="Y450" i="25"/>
  <c r="R450" i="25"/>
  <c r="S450" i="25" s="1"/>
  <c r="X372" i="25"/>
  <c r="Q372" i="25"/>
  <c r="X381" i="25"/>
  <c r="Q381" i="25"/>
  <c r="Y395" i="25"/>
  <c r="R395" i="25"/>
  <c r="S395" i="25" s="1"/>
  <c r="X405" i="25"/>
  <c r="Q405" i="25"/>
  <c r="R282" i="25"/>
  <c r="S282" i="25" s="1"/>
  <c r="Y282" i="25"/>
  <c r="Y290" i="25"/>
  <c r="R290" i="25"/>
  <c r="S290" i="25" s="1"/>
  <c r="R298" i="25"/>
  <c r="S298" i="25" s="1"/>
  <c r="Y298" i="25"/>
  <c r="R306" i="25"/>
  <c r="S306" i="25" s="1"/>
  <c r="Y306" i="25"/>
  <c r="R314" i="25"/>
  <c r="S314" i="25" s="1"/>
  <c r="Y314" i="25"/>
  <c r="R322" i="25"/>
  <c r="S322" i="25" s="1"/>
  <c r="Y322" i="25"/>
  <c r="R330" i="25"/>
  <c r="S330" i="25" s="1"/>
  <c r="Y330" i="25"/>
  <c r="Y338" i="25"/>
  <c r="R338" i="25"/>
  <c r="S338" i="25" s="1"/>
  <c r="Y346" i="25"/>
  <c r="R346" i="25"/>
  <c r="S346" i="25" s="1"/>
  <c r="Y354" i="25"/>
  <c r="R354" i="25"/>
  <c r="S354" i="25" s="1"/>
  <c r="R362" i="25"/>
  <c r="S362" i="25" s="1"/>
  <c r="Y362" i="25"/>
  <c r="R370" i="25"/>
  <c r="S370" i="25" s="1"/>
  <c r="Y370" i="25"/>
  <c r="Y381" i="25"/>
  <c r="R381" i="25"/>
  <c r="S381" i="25" s="1"/>
  <c r="X390" i="25"/>
  <c r="Q390" i="25"/>
  <c r="Q399" i="25"/>
  <c r="X399" i="25"/>
  <c r="X414" i="25"/>
  <c r="Q414" i="25"/>
  <c r="Y380" i="25"/>
  <c r="R380" i="25"/>
  <c r="S380" i="25" s="1"/>
  <c r="Y388" i="25"/>
  <c r="R388" i="25"/>
  <c r="S388" i="25" s="1"/>
  <c r="Y396" i="25"/>
  <c r="R396" i="25"/>
  <c r="S396" i="25" s="1"/>
  <c r="X404" i="25"/>
  <c r="Q404" i="25"/>
  <c r="Y418" i="25"/>
  <c r="R418" i="25"/>
  <c r="S418" i="25" s="1"/>
  <c r="X427" i="25"/>
  <c r="Q427" i="25"/>
  <c r="Y460" i="25"/>
  <c r="R460" i="25"/>
  <c r="S460" i="25" s="1"/>
  <c r="Q407" i="25"/>
  <c r="X407" i="25"/>
  <c r="X416" i="25"/>
  <c r="Q416" i="25"/>
  <c r="X428" i="25"/>
  <c r="Q428" i="25"/>
  <c r="Y456" i="25"/>
  <c r="R456" i="25"/>
  <c r="S456" i="25" s="1"/>
  <c r="X483" i="25"/>
  <c r="Q483" i="25"/>
  <c r="X401" i="25"/>
  <c r="Q401" i="25"/>
  <c r="X410" i="25"/>
  <c r="Q410" i="25"/>
  <c r="R424" i="25"/>
  <c r="S424" i="25" s="1"/>
  <c r="Y424" i="25"/>
  <c r="R430" i="25"/>
  <c r="S430" i="25" s="1"/>
  <c r="Y430" i="25"/>
  <c r="R462" i="25"/>
  <c r="S462" i="25" s="1"/>
  <c r="Y462" i="25"/>
  <c r="X489" i="25"/>
  <c r="Q489" i="25"/>
  <c r="X434" i="25"/>
  <c r="Q434" i="25"/>
  <c r="Q442" i="25"/>
  <c r="X442" i="25"/>
  <c r="X450" i="25"/>
  <c r="Q450" i="25"/>
  <c r="Q458" i="25"/>
  <c r="X458" i="25"/>
  <c r="Y469" i="25"/>
  <c r="R469" i="25"/>
  <c r="S469" i="25" s="1"/>
  <c r="X479" i="25"/>
  <c r="Q479" i="25"/>
  <c r="Q507" i="25"/>
  <c r="X507" i="25"/>
  <c r="Q433" i="25"/>
  <c r="X433" i="25"/>
  <c r="X441" i="25"/>
  <c r="Q441" i="25"/>
  <c r="X449" i="25"/>
  <c r="Q449" i="25"/>
  <c r="Q457" i="25"/>
  <c r="X457" i="25"/>
  <c r="Y465" i="25"/>
  <c r="R465" i="25"/>
  <c r="S465" i="25" s="1"/>
  <c r="X475" i="25"/>
  <c r="Q475" i="25"/>
  <c r="X495" i="25"/>
  <c r="Q495" i="25"/>
  <c r="R401" i="25"/>
  <c r="S401" i="25" s="1"/>
  <c r="Y401" i="25"/>
  <c r="Y409" i="25"/>
  <c r="R409" i="25"/>
  <c r="S409" i="25" s="1"/>
  <c r="R417" i="25"/>
  <c r="S417" i="25" s="1"/>
  <c r="Y417" i="25"/>
  <c r="R425" i="25"/>
  <c r="S425" i="25" s="1"/>
  <c r="Y425" i="25"/>
  <c r="Y433" i="25"/>
  <c r="R433" i="25"/>
  <c r="S433" i="25" s="1"/>
  <c r="R441" i="25"/>
  <c r="S441" i="25" s="1"/>
  <c r="Y441" i="25"/>
  <c r="Y449" i="25"/>
  <c r="R449" i="25"/>
  <c r="S449" i="25" s="1"/>
  <c r="R457" i="25"/>
  <c r="S457" i="25" s="1"/>
  <c r="Y457" i="25"/>
  <c r="Y467" i="25"/>
  <c r="R467" i="25"/>
  <c r="S467" i="25" s="1"/>
  <c r="X477" i="25"/>
  <c r="Q477" i="25"/>
  <c r="Q493" i="25"/>
  <c r="X493" i="25"/>
  <c r="R486" i="25"/>
  <c r="S486" i="25" s="1"/>
  <c r="Y486" i="25"/>
  <c r="Y494" i="25"/>
  <c r="R494" i="25"/>
  <c r="S494" i="25" s="1"/>
  <c r="R502" i="25"/>
  <c r="S502" i="25" s="1"/>
  <c r="Y502" i="25"/>
  <c r="Y510" i="25"/>
  <c r="R510" i="25"/>
  <c r="S510" i="25" s="1"/>
  <c r="R520" i="25"/>
  <c r="S520" i="25" s="1"/>
  <c r="Y520" i="25"/>
  <c r="Y530" i="25"/>
  <c r="R530" i="25"/>
  <c r="S530" i="25" s="1"/>
  <c r="R487" i="25"/>
  <c r="S487" i="25" s="1"/>
  <c r="Y487" i="25"/>
  <c r="Y495" i="25"/>
  <c r="R495" i="25"/>
  <c r="S495" i="25" s="1"/>
  <c r="R503" i="25"/>
  <c r="S503" i="25" s="1"/>
  <c r="Y503" i="25"/>
  <c r="Y511" i="25"/>
  <c r="R511" i="25"/>
  <c r="S511" i="25" s="1"/>
  <c r="X553" i="25"/>
  <c r="Q553" i="25"/>
  <c r="Q470" i="25"/>
  <c r="X470" i="25"/>
  <c r="Q478" i="25"/>
  <c r="X478" i="25"/>
  <c r="X486" i="25"/>
  <c r="Q486" i="25"/>
  <c r="Q494" i="25"/>
  <c r="X494" i="25"/>
  <c r="Q502" i="25"/>
  <c r="X502" i="25"/>
  <c r="X510" i="25"/>
  <c r="Q510" i="25"/>
  <c r="X520" i="25"/>
  <c r="Q520" i="25"/>
  <c r="Y581" i="25"/>
  <c r="R581" i="25"/>
  <c r="S581" i="25" s="1"/>
  <c r="X519" i="25"/>
  <c r="Q519" i="25"/>
  <c r="X527" i="25"/>
  <c r="Q527" i="25"/>
  <c r="Y536" i="25"/>
  <c r="R536" i="25"/>
  <c r="S536" i="25" s="1"/>
  <c r="X580" i="25"/>
  <c r="Q580" i="25"/>
  <c r="Y532" i="25"/>
  <c r="R532" i="25"/>
  <c r="S532" i="25" s="1"/>
  <c r="Q558" i="25"/>
  <c r="X558" i="25"/>
  <c r="Y524" i="25"/>
  <c r="R524" i="25"/>
  <c r="S524" i="25" s="1"/>
  <c r="X533" i="25"/>
  <c r="Q533" i="25"/>
  <c r="Y540" i="25"/>
  <c r="R540" i="25"/>
  <c r="S540" i="25" s="1"/>
  <c r="Y548" i="25"/>
  <c r="R548" i="25"/>
  <c r="S548" i="25" s="1"/>
  <c r="R556" i="25"/>
  <c r="S556" i="25" s="1"/>
  <c r="Y556" i="25"/>
  <c r="R565" i="25"/>
  <c r="S565" i="25" s="1"/>
  <c r="Y565" i="25"/>
  <c r="Y587" i="25"/>
  <c r="R587" i="25"/>
  <c r="S587" i="25" s="1"/>
  <c r="Y545" i="25"/>
  <c r="R545" i="25"/>
  <c r="S545" i="25" s="1"/>
  <c r="R553" i="25"/>
  <c r="S553" i="25" s="1"/>
  <c r="Y553" i="25"/>
  <c r="R561" i="25"/>
  <c r="S561" i="25" s="1"/>
  <c r="Y561" i="25"/>
  <c r="Q530" i="25"/>
  <c r="X530" i="25"/>
  <c r="Q538" i="25"/>
  <c r="X538" i="25"/>
  <c r="Q546" i="25"/>
  <c r="X546" i="25"/>
  <c r="X554" i="25"/>
  <c r="Q554" i="25"/>
  <c r="Y563" i="25"/>
  <c r="R563" i="25"/>
  <c r="S563" i="25" s="1"/>
  <c r="Y567" i="25"/>
  <c r="R567" i="25"/>
  <c r="S567" i="25" s="1"/>
  <c r="Y575" i="25"/>
  <c r="R575" i="25"/>
  <c r="S575" i="25" s="1"/>
  <c r="Q592" i="25"/>
  <c r="X592" i="25"/>
  <c r="R572" i="25"/>
  <c r="S572" i="25" s="1"/>
  <c r="Y572" i="25"/>
  <c r="X582" i="25"/>
  <c r="Q582" i="25"/>
  <c r="Q557" i="25"/>
  <c r="X557" i="25"/>
  <c r="X565" i="25"/>
  <c r="Q565" i="25"/>
  <c r="X573" i="25"/>
  <c r="Q573" i="25"/>
  <c r="R591" i="25"/>
  <c r="S591" i="25" s="1"/>
  <c r="Y591" i="25"/>
  <c r="Q581" i="25"/>
  <c r="X581" i="25"/>
  <c r="Q589" i="25"/>
  <c r="X589" i="25"/>
  <c r="X584" i="25"/>
  <c r="Q584" i="25"/>
  <c r="R592" i="25"/>
  <c r="S592" i="25" s="1"/>
  <c r="Y592" i="25"/>
  <c r="X606" i="25"/>
  <c r="Q606" i="25"/>
  <c r="Y594" i="25"/>
  <c r="R594" i="25"/>
  <c r="S594" i="25" s="1"/>
  <c r="R607" i="25"/>
  <c r="S607" i="25" s="1"/>
  <c r="Y607" i="25"/>
  <c r="R599" i="25"/>
  <c r="S599" i="25" s="1"/>
  <c r="Y599" i="25"/>
  <c r="Q607" i="25"/>
  <c r="X607" i="25"/>
  <c r="R602" i="25"/>
  <c r="S602" i="25" s="1"/>
  <c r="Y602" i="25"/>
  <c r="X597" i="25"/>
  <c r="Q597" i="25"/>
  <c r="Q605" i="25"/>
  <c r="X605" i="25"/>
  <c r="X609" i="25"/>
  <c r="Q609" i="25"/>
  <c r="R611" i="25"/>
  <c r="S611" i="25" s="1"/>
  <c r="Y611" i="25"/>
  <c r="R626" i="25"/>
  <c r="S626" i="25" s="1"/>
  <c r="Y626" i="25"/>
  <c r="X14" i="25"/>
  <c r="Q14" i="25"/>
  <c r="Q71" i="25"/>
  <c r="X71" i="25"/>
  <c r="Q125" i="25"/>
  <c r="X125" i="25"/>
  <c r="X23" i="25"/>
  <c r="Q23" i="25"/>
  <c r="X38" i="25"/>
  <c r="Q38" i="25"/>
  <c r="X165" i="25"/>
  <c r="Q165" i="25"/>
  <c r="Q225" i="25"/>
  <c r="X225" i="25"/>
  <c r="R13" i="25"/>
  <c r="S13" i="25" s="1"/>
  <c r="Y13" i="25"/>
  <c r="Q24" i="25"/>
  <c r="X24" i="25"/>
  <c r="Q177" i="25"/>
  <c r="X177" i="25"/>
  <c r="X34" i="25"/>
  <c r="Q34" i="25"/>
  <c r="R16" i="25"/>
  <c r="S16" i="25" s="1"/>
  <c r="Y16" i="25"/>
  <c r="X44" i="25"/>
  <c r="Q44" i="25"/>
  <c r="Q76" i="25"/>
  <c r="X76" i="25"/>
  <c r="Q85" i="25"/>
  <c r="X85" i="25"/>
  <c r="Q117" i="25"/>
  <c r="X117" i="25"/>
  <c r="Y151" i="25"/>
  <c r="R151" i="25"/>
  <c r="S151" i="25" s="1"/>
  <c r="Y183" i="25"/>
  <c r="R183" i="25"/>
  <c r="S183" i="25" s="1"/>
  <c r="Y245" i="25"/>
  <c r="R245" i="25"/>
  <c r="S245" i="25" s="1"/>
  <c r="R63" i="25"/>
  <c r="S63" i="25" s="1"/>
  <c r="Y63" i="25"/>
  <c r="Y95" i="25"/>
  <c r="R95" i="25"/>
  <c r="S95" i="25" s="1"/>
  <c r="Y145" i="25"/>
  <c r="R145" i="25"/>
  <c r="S145" i="25" s="1"/>
  <c r="R177" i="25"/>
  <c r="S177" i="25" s="1"/>
  <c r="Y177" i="25"/>
  <c r="Y229" i="25"/>
  <c r="R229" i="25"/>
  <c r="S229" i="25" s="1"/>
  <c r="Y73" i="25"/>
  <c r="R73" i="25"/>
  <c r="S73" i="25" s="1"/>
  <c r="Q82" i="25"/>
  <c r="X82" i="25"/>
  <c r="Q114" i="25"/>
  <c r="X114" i="25"/>
  <c r="X131" i="25"/>
  <c r="Q131" i="25"/>
  <c r="X179" i="25"/>
  <c r="Q179" i="25"/>
  <c r="X211" i="25"/>
  <c r="Q211" i="25"/>
  <c r="R278" i="25"/>
  <c r="S278" i="25" s="1"/>
  <c r="Y278" i="25"/>
  <c r="R40" i="25"/>
  <c r="S40" i="25" s="1"/>
  <c r="Y40" i="25"/>
  <c r="R64" i="25"/>
  <c r="S64" i="25" s="1"/>
  <c r="Y64" i="25"/>
  <c r="R88" i="25"/>
  <c r="S88" i="25" s="1"/>
  <c r="Y88" i="25"/>
  <c r="Y96" i="25"/>
  <c r="R96" i="25"/>
  <c r="S96" i="25" s="1"/>
  <c r="Y120" i="25"/>
  <c r="R120" i="25"/>
  <c r="S120" i="25" s="1"/>
  <c r="R144" i="25"/>
  <c r="S144" i="25" s="1"/>
  <c r="Y144" i="25"/>
  <c r="R152" i="25"/>
  <c r="S152" i="25" s="1"/>
  <c r="Y152" i="25"/>
  <c r="Y176" i="25"/>
  <c r="R176" i="25"/>
  <c r="S176" i="25" s="1"/>
  <c r="R192" i="25"/>
  <c r="S192" i="25" s="1"/>
  <c r="Y192" i="25"/>
  <c r="Y216" i="25"/>
  <c r="R216" i="25"/>
  <c r="S216" i="25" s="1"/>
  <c r="R235" i="25"/>
  <c r="S235" i="25" s="1"/>
  <c r="Y235" i="25"/>
  <c r="R254" i="25"/>
  <c r="S254" i="25" s="1"/>
  <c r="Y254" i="25"/>
  <c r="R221" i="25"/>
  <c r="S221" i="25" s="1"/>
  <c r="Y221" i="25"/>
  <c r="Y231" i="25"/>
  <c r="R231" i="25"/>
  <c r="S231" i="25" s="1"/>
  <c r="R263" i="25"/>
  <c r="S263" i="25" s="1"/>
  <c r="Y263" i="25"/>
  <c r="X304" i="25"/>
  <c r="Q304" i="25"/>
  <c r="X134" i="25"/>
  <c r="Q134" i="25"/>
  <c r="X158" i="25"/>
  <c r="Q158" i="25"/>
  <c r="Q166" i="25"/>
  <c r="X166" i="25"/>
  <c r="X190" i="25"/>
  <c r="Q190" i="25"/>
  <c r="Q198" i="25"/>
  <c r="X198" i="25"/>
  <c r="X222" i="25"/>
  <c r="Q222" i="25"/>
  <c r="Q243" i="25"/>
  <c r="X243" i="25"/>
  <c r="Y266" i="25"/>
  <c r="R266" i="25"/>
  <c r="S266" i="25" s="1"/>
  <c r="Q230" i="25"/>
  <c r="X230" i="25"/>
  <c r="Q254" i="25"/>
  <c r="X254" i="25"/>
  <c r="Q270" i="25"/>
  <c r="X270" i="25"/>
  <c r="X287" i="25"/>
  <c r="Q287" i="25"/>
  <c r="Q310" i="25"/>
  <c r="X310" i="25"/>
  <c r="X342" i="25"/>
  <c r="Q342" i="25"/>
  <c r="X356" i="25"/>
  <c r="Q356" i="25"/>
  <c r="X395" i="25"/>
  <c r="Q395" i="25"/>
  <c r="Q283" i="25"/>
  <c r="X283" i="25"/>
  <c r="Y329" i="25"/>
  <c r="R329" i="25"/>
  <c r="S329" i="25" s="1"/>
  <c r="R349" i="25"/>
  <c r="S349" i="25" s="1"/>
  <c r="Y349" i="25"/>
  <c r="R365" i="25"/>
  <c r="S365" i="25" s="1"/>
  <c r="Y365" i="25"/>
  <c r="R283" i="25"/>
  <c r="S283" i="25" s="1"/>
  <c r="Y283" i="25"/>
  <c r="X301" i="25"/>
  <c r="Q301" i="25"/>
  <c r="X324" i="25"/>
  <c r="Q324" i="25"/>
  <c r="Y371" i="25"/>
  <c r="R371" i="25"/>
  <c r="S371" i="25" s="1"/>
  <c r="X353" i="25"/>
  <c r="Q353" i="25"/>
  <c r="Q376" i="25"/>
  <c r="X376" i="25"/>
  <c r="Q422" i="25"/>
  <c r="X422" i="25"/>
  <c r="Y280" i="25"/>
  <c r="R280" i="25"/>
  <c r="S280" i="25" s="1"/>
  <c r="R288" i="25"/>
  <c r="S288" i="25" s="1"/>
  <c r="Y288" i="25"/>
  <c r="Y312" i="25"/>
  <c r="R312" i="25"/>
  <c r="S312" i="25" s="1"/>
  <c r="Y336" i="25"/>
  <c r="R336" i="25"/>
  <c r="S336" i="25" s="1"/>
  <c r="Y344" i="25"/>
  <c r="R344" i="25"/>
  <c r="S344" i="25" s="1"/>
  <c r="R368" i="25"/>
  <c r="S368" i="25" s="1"/>
  <c r="Y368" i="25"/>
  <c r="Q398" i="25"/>
  <c r="X398" i="25"/>
  <c r="Q413" i="25"/>
  <c r="X413" i="25"/>
  <c r="Y394" i="25"/>
  <c r="R394" i="25"/>
  <c r="S394" i="25" s="1"/>
  <c r="Y426" i="25"/>
  <c r="R426" i="25"/>
  <c r="S426" i="25" s="1"/>
  <c r="R452" i="25"/>
  <c r="S452" i="25" s="1"/>
  <c r="Y452" i="25"/>
  <c r="X424" i="25"/>
  <c r="Q424" i="25"/>
  <c r="R522" i="25"/>
  <c r="S522" i="25" s="1"/>
  <c r="Y522" i="25"/>
  <c r="X409" i="25"/>
  <c r="Q409" i="25"/>
  <c r="Y454" i="25"/>
  <c r="R454" i="25"/>
  <c r="S454" i="25" s="1"/>
  <c r="Q440" i="25"/>
  <c r="X440" i="25"/>
  <c r="X448" i="25"/>
  <c r="Q448" i="25"/>
  <c r="Y477" i="25"/>
  <c r="R477" i="25"/>
  <c r="S477" i="25" s="1"/>
  <c r="X431" i="25"/>
  <c r="Q431" i="25"/>
  <c r="X447" i="25"/>
  <c r="Q447" i="25"/>
  <c r="Y473" i="25"/>
  <c r="R473" i="25"/>
  <c r="S473" i="25" s="1"/>
  <c r="X537" i="25"/>
  <c r="Q537" i="25"/>
  <c r="R415" i="25"/>
  <c r="S415" i="25" s="1"/>
  <c r="Y415" i="25"/>
  <c r="R439" i="25"/>
  <c r="S439" i="25" s="1"/>
  <c r="Y439" i="25"/>
  <c r="Y447" i="25"/>
  <c r="R447" i="25"/>
  <c r="S447" i="25" s="1"/>
  <c r="Y475" i="25"/>
  <c r="R475" i="25"/>
  <c r="S475" i="25" s="1"/>
  <c r="Y492" i="25"/>
  <c r="R492" i="25"/>
  <c r="S492" i="25" s="1"/>
  <c r="R500" i="25"/>
  <c r="S500" i="25" s="1"/>
  <c r="Y500" i="25"/>
  <c r="Q529" i="25"/>
  <c r="X529" i="25"/>
  <c r="Y485" i="25"/>
  <c r="R485" i="25"/>
  <c r="S485" i="25" s="1"/>
  <c r="R509" i="25"/>
  <c r="S509" i="25" s="1"/>
  <c r="Y509" i="25"/>
  <c r="R519" i="25"/>
  <c r="S519" i="25" s="1"/>
  <c r="Y519" i="25"/>
  <c r="X484" i="25"/>
  <c r="Q484" i="25"/>
  <c r="X508" i="25"/>
  <c r="Q508" i="25"/>
  <c r="Y518" i="25"/>
  <c r="R518" i="25"/>
  <c r="S518" i="25" s="1"/>
  <c r="R525" i="25"/>
  <c r="S525" i="25" s="1"/>
  <c r="Y525" i="25"/>
  <c r="X555" i="25"/>
  <c r="Q555" i="25"/>
  <c r="Q551" i="25"/>
  <c r="X551" i="25"/>
  <c r="X572" i="25"/>
  <c r="Q572" i="25"/>
  <c r="Y531" i="25"/>
  <c r="R531" i="25"/>
  <c r="S531" i="25" s="1"/>
  <c r="R554" i="25"/>
  <c r="S554" i="25" s="1"/>
  <c r="Y554" i="25"/>
  <c r="X564" i="25"/>
  <c r="Q564" i="25"/>
  <c r="Y578" i="25"/>
  <c r="R578" i="25"/>
  <c r="S578" i="25" s="1"/>
  <c r="Y543" i="25"/>
  <c r="R543" i="25"/>
  <c r="S543" i="25" s="1"/>
  <c r="R551" i="25"/>
  <c r="S551" i="25" s="1"/>
  <c r="Y551" i="25"/>
  <c r="Q560" i="25"/>
  <c r="X560" i="25"/>
  <c r="Q528" i="25"/>
  <c r="X528" i="25"/>
  <c r="X536" i="25"/>
  <c r="Q536" i="25"/>
  <c r="X544" i="25"/>
  <c r="Q544" i="25"/>
  <c r="Q552" i="25"/>
  <c r="X552" i="25"/>
  <c r="X562" i="25"/>
  <c r="Q562" i="25"/>
  <c r="Y584" i="25"/>
  <c r="R584" i="25"/>
  <c r="S584" i="25" s="1"/>
  <c r="Y573" i="25"/>
  <c r="R573" i="25"/>
  <c r="S573" i="25" s="1"/>
  <c r="Y589" i="25"/>
  <c r="R589" i="25"/>
  <c r="S589" i="25" s="1"/>
  <c r="R570" i="25"/>
  <c r="S570" i="25" s="1"/>
  <c r="Y570" i="25"/>
  <c r="Y580" i="25"/>
  <c r="R580" i="25"/>
  <c r="S580" i="25" s="1"/>
  <c r="X600" i="25"/>
  <c r="Q600" i="25"/>
  <c r="Q563" i="25"/>
  <c r="X563" i="25"/>
  <c r="X571" i="25"/>
  <c r="Q571" i="25"/>
  <c r="R582" i="25"/>
  <c r="S582" i="25" s="1"/>
  <c r="Y582" i="25"/>
  <c r="X579" i="25"/>
  <c r="Q579" i="25"/>
  <c r="X587" i="25"/>
  <c r="Q587" i="25"/>
  <c r="X602" i="25"/>
  <c r="Q602" i="25"/>
  <c r="X590" i="25"/>
  <c r="Q590" i="25"/>
  <c r="Q598" i="25"/>
  <c r="X598" i="25"/>
  <c r="Y590" i="25"/>
  <c r="R590" i="25"/>
  <c r="S590" i="25" s="1"/>
  <c r="X604" i="25"/>
  <c r="Q604" i="25"/>
  <c r="Y597" i="25"/>
  <c r="R597" i="25"/>
  <c r="S597" i="25" s="1"/>
  <c r="R605" i="25"/>
  <c r="S605" i="25" s="1"/>
  <c r="Y605" i="25"/>
  <c r="Y600" i="25"/>
  <c r="R600" i="25"/>
  <c r="S600" i="25" s="1"/>
  <c r="X603" i="25"/>
  <c r="Q603" i="25"/>
  <c r="R627" i="25"/>
  <c r="S627" i="25" s="1"/>
  <c r="AB627" i="25"/>
  <c r="Y622" i="25"/>
  <c r="R622" i="25"/>
  <c r="S622" i="25" s="1"/>
  <c r="Y19" i="25"/>
  <c r="R19" i="25"/>
  <c r="S19" i="25" s="1"/>
  <c r="Q47" i="25"/>
  <c r="X47" i="25"/>
  <c r="X185" i="25"/>
  <c r="Q185" i="25"/>
  <c r="R17" i="25"/>
  <c r="S17" i="25" s="1"/>
  <c r="Y17" i="25"/>
  <c r="R29" i="25"/>
  <c r="S29" i="25" s="1"/>
  <c r="Y29" i="25"/>
  <c r="Y69" i="25"/>
  <c r="R69" i="25"/>
  <c r="S69" i="25" s="1"/>
  <c r="Q102" i="25"/>
  <c r="X102" i="25"/>
  <c r="X157" i="25"/>
  <c r="Q157" i="25"/>
  <c r="Q32" i="25"/>
  <c r="X32" i="25"/>
  <c r="Y21" i="25"/>
  <c r="R21" i="25"/>
  <c r="S21" i="25" s="1"/>
  <c r="Y31" i="25"/>
  <c r="R31" i="25"/>
  <c r="S31" i="25" s="1"/>
  <c r="Q54" i="25"/>
  <c r="X54" i="25"/>
  <c r="X87" i="25"/>
  <c r="Q87" i="25"/>
  <c r="X133" i="25"/>
  <c r="Q133" i="25"/>
  <c r="Q197" i="25"/>
  <c r="X197" i="25"/>
  <c r="Y253" i="25"/>
  <c r="R253" i="25"/>
  <c r="S253" i="25" s="1"/>
  <c r="R77" i="25"/>
  <c r="S77" i="25" s="1"/>
  <c r="Y77" i="25"/>
  <c r="X169" i="25"/>
  <c r="Q169" i="25"/>
  <c r="X17" i="25"/>
  <c r="Q17" i="25"/>
  <c r="X39" i="25"/>
  <c r="Q39" i="25"/>
  <c r="R93" i="25"/>
  <c r="S93" i="25" s="1"/>
  <c r="Y93" i="25"/>
  <c r="Q145" i="25"/>
  <c r="X145" i="25"/>
  <c r="Q209" i="25"/>
  <c r="X209" i="25"/>
  <c r="Q28" i="25"/>
  <c r="X28" i="25"/>
  <c r="X42" i="25"/>
  <c r="Q42" i="25"/>
  <c r="Y57" i="25"/>
  <c r="R57" i="25"/>
  <c r="S57" i="25" s="1"/>
  <c r="R20" i="25"/>
  <c r="S20" i="25" s="1"/>
  <c r="Y20" i="25"/>
  <c r="Y28" i="25"/>
  <c r="R28" i="25"/>
  <c r="S28" i="25" s="1"/>
  <c r="X37" i="25"/>
  <c r="Q37" i="25"/>
  <c r="R51" i="25"/>
  <c r="S51" i="25" s="1"/>
  <c r="Y51" i="25"/>
  <c r="X60" i="25"/>
  <c r="Q60" i="25"/>
  <c r="X69" i="25"/>
  <c r="Q69" i="25"/>
  <c r="R83" i="25"/>
  <c r="S83" i="25" s="1"/>
  <c r="Y83" i="25"/>
  <c r="X92" i="25"/>
  <c r="Q92" i="25"/>
  <c r="Q101" i="25"/>
  <c r="X101" i="25"/>
  <c r="R115" i="25"/>
  <c r="S115" i="25" s="1"/>
  <c r="Y115" i="25"/>
  <c r="Y127" i="25"/>
  <c r="R127" i="25"/>
  <c r="S127" i="25" s="1"/>
  <c r="R143" i="25"/>
  <c r="S143" i="25" s="1"/>
  <c r="Y143" i="25"/>
  <c r="Y159" i="25"/>
  <c r="R159" i="25"/>
  <c r="S159" i="25" s="1"/>
  <c r="Y175" i="25"/>
  <c r="R175" i="25"/>
  <c r="S175" i="25" s="1"/>
  <c r="R191" i="25"/>
  <c r="S191" i="25" s="1"/>
  <c r="Y191" i="25"/>
  <c r="Y207" i="25"/>
  <c r="R207" i="25"/>
  <c r="S207" i="25" s="1"/>
  <c r="X239" i="25"/>
  <c r="Q239" i="25"/>
  <c r="X297" i="25"/>
  <c r="Q297" i="25"/>
  <c r="Y47" i="25"/>
  <c r="R47" i="25"/>
  <c r="S47" i="25" s="1"/>
  <c r="X56" i="25"/>
  <c r="Q56" i="25"/>
  <c r="X65" i="25"/>
  <c r="Q65" i="25"/>
  <c r="R79" i="25"/>
  <c r="S79" i="25" s="1"/>
  <c r="Y79" i="25"/>
  <c r="Q88" i="25"/>
  <c r="X88" i="25"/>
  <c r="X97" i="25"/>
  <c r="Q97" i="25"/>
  <c r="Y111" i="25"/>
  <c r="R111" i="25"/>
  <c r="S111" i="25" s="1"/>
  <c r="R121" i="25"/>
  <c r="S121" i="25" s="1"/>
  <c r="Y121" i="25"/>
  <c r="Y137" i="25"/>
  <c r="R137" i="25"/>
  <c r="S137" i="25" s="1"/>
  <c r="R153" i="25"/>
  <c r="S153" i="25" s="1"/>
  <c r="Y153" i="25"/>
  <c r="Y169" i="25"/>
  <c r="R169" i="25"/>
  <c r="S169" i="25" s="1"/>
  <c r="Y185" i="25"/>
  <c r="R185" i="25"/>
  <c r="S185" i="25" s="1"/>
  <c r="R201" i="25"/>
  <c r="S201" i="25" s="1"/>
  <c r="Y201" i="25"/>
  <c r="Y217" i="25"/>
  <c r="R217" i="25"/>
  <c r="S217" i="25" s="1"/>
  <c r="Y256" i="25"/>
  <c r="R256" i="25"/>
  <c r="S256" i="25" s="1"/>
  <c r="Q50" i="25"/>
  <c r="X50" i="25"/>
  <c r="X66" i="25"/>
  <c r="Q66" i="25"/>
  <c r="X75" i="25"/>
  <c r="Q75" i="25"/>
  <c r="Y89" i="25"/>
  <c r="R89" i="25"/>
  <c r="S89" i="25" s="1"/>
  <c r="X98" i="25"/>
  <c r="Q98" i="25"/>
  <c r="X107" i="25"/>
  <c r="Q107" i="25"/>
  <c r="X123" i="25"/>
  <c r="Q123" i="25"/>
  <c r="X139" i="25"/>
  <c r="Q139" i="25"/>
  <c r="X155" i="25"/>
  <c r="Q155" i="25"/>
  <c r="Q171" i="25"/>
  <c r="X171" i="25"/>
  <c r="Q187" i="25"/>
  <c r="X187" i="25"/>
  <c r="X203" i="25"/>
  <c r="Q203" i="25"/>
  <c r="Q219" i="25"/>
  <c r="X219" i="25"/>
  <c r="Y237" i="25"/>
  <c r="R237" i="25"/>
  <c r="S237" i="25" s="1"/>
  <c r="R327" i="25"/>
  <c r="S327" i="25" s="1"/>
  <c r="Y327" i="25"/>
  <c r="R36" i="25"/>
  <c r="S36" i="25" s="1"/>
  <c r="Y36" i="25"/>
  <c r="R44" i="25"/>
  <c r="S44" i="25" s="1"/>
  <c r="Y44" i="25"/>
  <c r="Y52" i="25"/>
  <c r="R52" i="25"/>
  <c r="S52" i="25" s="1"/>
  <c r="R60" i="25"/>
  <c r="S60" i="25" s="1"/>
  <c r="Y60" i="25"/>
  <c r="R68" i="25"/>
  <c r="S68" i="25" s="1"/>
  <c r="Y68" i="25"/>
  <c r="Y76" i="25"/>
  <c r="R76" i="25"/>
  <c r="S76" i="25" s="1"/>
  <c r="Y84" i="25"/>
  <c r="R84" i="25"/>
  <c r="S84" i="25" s="1"/>
  <c r="Y92" i="25"/>
  <c r="R92" i="25"/>
  <c r="S92" i="25" s="1"/>
  <c r="Y100" i="25"/>
  <c r="R100" i="25"/>
  <c r="S100" i="25" s="1"/>
  <c r="R108" i="25"/>
  <c r="S108" i="25" s="1"/>
  <c r="Y108" i="25"/>
  <c r="Y116" i="25"/>
  <c r="R116" i="25"/>
  <c r="S116" i="25" s="1"/>
  <c r="Y124" i="25"/>
  <c r="R124" i="25"/>
  <c r="S124" i="25" s="1"/>
  <c r="Y132" i="25"/>
  <c r="R132" i="25"/>
  <c r="S132" i="25" s="1"/>
  <c r="R140" i="25"/>
  <c r="S140" i="25" s="1"/>
  <c r="Y140" i="25"/>
  <c r="Y148" i="25"/>
  <c r="R148" i="25"/>
  <c r="S148" i="25" s="1"/>
  <c r="R156" i="25"/>
  <c r="S156" i="25" s="1"/>
  <c r="Y156" i="25"/>
  <c r="R164" i="25"/>
  <c r="S164" i="25" s="1"/>
  <c r="Y164" i="25"/>
  <c r="R172" i="25"/>
  <c r="S172" i="25" s="1"/>
  <c r="Y172" i="25"/>
  <c r="Y180" i="25"/>
  <c r="R180" i="25"/>
  <c r="S180" i="25" s="1"/>
  <c r="Y188" i="25"/>
  <c r="R188" i="25"/>
  <c r="S188" i="25" s="1"/>
  <c r="Y196" i="25"/>
  <c r="R196" i="25"/>
  <c r="S196" i="25" s="1"/>
  <c r="R204" i="25"/>
  <c r="S204" i="25" s="1"/>
  <c r="Y204" i="25"/>
  <c r="R212" i="25"/>
  <c r="S212" i="25" s="1"/>
  <c r="Y212" i="25"/>
  <c r="Y220" i="25"/>
  <c r="R220" i="25"/>
  <c r="S220" i="25" s="1"/>
  <c r="X229" i="25"/>
  <c r="Q229" i="25"/>
  <c r="Y238" i="25"/>
  <c r="R238" i="25"/>
  <c r="S238" i="25" s="1"/>
  <c r="Y251" i="25"/>
  <c r="R251" i="25"/>
  <c r="S251" i="25" s="1"/>
  <c r="X261" i="25"/>
  <c r="Q261" i="25"/>
  <c r="Y287" i="25"/>
  <c r="R287" i="25"/>
  <c r="S287" i="25" s="1"/>
  <c r="X320" i="25"/>
  <c r="Q320" i="25"/>
  <c r="Y225" i="25"/>
  <c r="R225" i="25"/>
  <c r="S225" i="25" s="1"/>
  <c r="Y234" i="25"/>
  <c r="R234" i="25"/>
  <c r="S234" i="25" s="1"/>
  <c r="Y247" i="25"/>
  <c r="R247" i="25"/>
  <c r="S247" i="25" s="1"/>
  <c r="Q257" i="25"/>
  <c r="X257" i="25"/>
  <c r="Y276" i="25"/>
  <c r="R276" i="25"/>
  <c r="S276" i="25" s="1"/>
  <c r="Y335" i="25"/>
  <c r="R335" i="25"/>
  <c r="S335" i="25" s="1"/>
  <c r="Q122" i="25"/>
  <c r="X122" i="25"/>
  <c r="X130" i="25"/>
  <c r="Q130" i="25"/>
  <c r="X138" i="25"/>
  <c r="Q138" i="25"/>
  <c r="X146" i="25"/>
  <c r="Q146" i="25"/>
  <c r="Q154" i="25"/>
  <c r="X154" i="25"/>
  <c r="X162" i="25"/>
  <c r="Q162" i="25"/>
  <c r="X170" i="25"/>
  <c r="Q170" i="25"/>
  <c r="X178" i="25"/>
  <c r="Q178" i="25"/>
  <c r="Q186" i="25"/>
  <c r="X186" i="25"/>
  <c r="X194" i="25"/>
  <c r="Q194" i="25"/>
  <c r="X202" i="25"/>
  <c r="Q202" i="25"/>
  <c r="X210" i="25"/>
  <c r="Q210" i="25"/>
  <c r="Q218" i="25"/>
  <c r="X218" i="25"/>
  <c r="Q227" i="25"/>
  <c r="X227" i="25"/>
  <c r="Y236" i="25"/>
  <c r="R236" i="25"/>
  <c r="S236" i="25" s="1"/>
  <c r="Y249" i="25"/>
  <c r="R249" i="25"/>
  <c r="S249" i="25" s="1"/>
  <c r="Q259" i="25"/>
  <c r="X259" i="25"/>
  <c r="R279" i="25"/>
  <c r="S279" i="25" s="1"/>
  <c r="Y279" i="25"/>
  <c r="X312" i="25"/>
  <c r="Q312" i="25"/>
  <c r="Q226" i="25"/>
  <c r="X226" i="25"/>
  <c r="Q234" i="25"/>
  <c r="X234" i="25"/>
  <c r="Q242" i="25"/>
  <c r="X242" i="25"/>
  <c r="X250" i="25"/>
  <c r="Q250" i="25"/>
  <c r="X258" i="25"/>
  <c r="Q258" i="25"/>
  <c r="X266" i="25"/>
  <c r="Q266" i="25"/>
  <c r="X274" i="25"/>
  <c r="Q274" i="25"/>
  <c r="R285" i="25"/>
  <c r="S285" i="25" s="1"/>
  <c r="Y285" i="25"/>
  <c r="X294" i="25"/>
  <c r="Q294" i="25"/>
  <c r="X303" i="25"/>
  <c r="Q303" i="25"/>
  <c r="R317" i="25"/>
  <c r="S317" i="25" s="1"/>
  <c r="Y317" i="25"/>
  <c r="X326" i="25"/>
  <c r="Q326" i="25"/>
  <c r="X335" i="25"/>
  <c r="Q335" i="25"/>
  <c r="X344" i="25"/>
  <c r="Q344" i="25"/>
  <c r="Q352" i="25"/>
  <c r="X352" i="25"/>
  <c r="X360" i="25"/>
  <c r="Q360" i="25"/>
  <c r="Y393" i="25"/>
  <c r="R393" i="25"/>
  <c r="S393" i="25" s="1"/>
  <c r="X505" i="25"/>
  <c r="Q505" i="25"/>
  <c r="X271" i="25"/>
  <c r="Q271" i="25"/>
  <c r="Y281" i="25"/>
  <c r="R281" i="25"/>
  <c r="S281" i="25" s="1"/>
  <c r="X290" i="25"/>
  <c r="Q290" i="25"/>
  <c r="X299" i="25"/>
  <c r="Q299" i="25"/>
  <c r="Y313" i="25"/>
  <c r="R313" i="25"/>
  <c r="S313" i="25" s="1"/>
  <c r="Q322" i="25"/>
  <c r="X322" i="25"/>
  <c r="X331" i="25"/>
  <c r="Q331" i="25"/>
  <c r="R345" i="25"/>
  <c r="S345" i="25" s="1"/>
  <c r="Y345" i="25"/>
  <c r="Y353" i="25"/>
  <c r="R353" i="25"/>
  <c r="S353" i="25" s="1"/>
  <c r="Y361" i="25"/>
  <c r="R361" i="25"/>
  <c r="S361" i="25" s="1"/>
  <c r="Y377" i="25"/>
  <c r="R377" i="25"/>
  <c r="S377" i="25" s="1"/>
  <c r="Y267" i="25"/>
  <c r="R267" i="25"/>
  <c r="S267" i="25" s="1"/>
  <c r="R275" i="25"/>
  <c r="S275" i="25" s="1"/>
  <c r="Y275" i="25"/>
  <c r="Q285" i="25"/>
  <c r="X285" i="25"/>
  <c r="Y299" i="25"/>
  <c r="R299" i="25"/>
  <c r="S299" i="25" s="1"/>
  <c r="X308" i="25"/>
  <c r="Q308" i="25"/>
  <c r="Q317" i="25"/>
  <c r="X317" i="25"/>
  <c r="Y331" i="25"/>
  <c r="R331" i="25"/>
  <c r="S331" i="25" s="1"/>
  <c r="X340" i="25"/>
  <c r="Q340" i="25"/>
  <c r="X386" i="25"/>
  <c r="Q386" i="25"/>
  <c r="Q349" i="25"/>
  <c r="X349" i="25"/>
  <c r="Q357" i="25"/>
  <c r="X357" i="25"/>
  <c r="X365" i="25"/>
  <c r="Q365" i="25"/>
  <c r="Q373" i="25"/>
  <c r="X373" i="25"/>
  <c r="R383" i="25"/>
  <c r="S383" i="25" s="1"/>
  <c r="Y383" i="25"/>
  <c r="X392" i="25"/>
  <c r="Q392" i="25"/>
  <c r="R420" i="25"/>
  <c r="S420" i="25" s="1"/>
  <c r="Y420" i="25"/>
  <c r="X366" i="25"/>
  <c r="Q366" i="25"/>
  <c r="Q374" i="25"/>
  <c r="X374" i="25"/>
  <c r="R387" i="25"/>
  <c r="S387" i="25" s="1"/>
  <c r="Y387" i="25"/>
  <c r="X396" i="25"/>
  <c r="Q396" i="25"/>
  <c r="Q406" i="25"/>
  <c r="X406" i="25"/>
  <c r="R284" i="25"/>
  <c r="S284" i="25" s="1"/>
  <c r="Y284" i="25"/>
  <c r="R292" i="25"/>
  <c r="S292" i="25" s="1"/>
  <c r="Y292" i="25"/>
  <c r="R300" i="25"/>
  <c r="S300" i="25" s="1"/>
  <c r="Y300" i="25"/>
  <c r="Y308" i="25"/>
  <c r="R308" i="25"/>
  <c r="S308" i="25" s="1"/>
  <c r="Y316" i="25"/>
  <c r="R316" i="25"/>
  <c r="S316" i="25" s="1"/>
  <c r="Y324" i="25"/>
  <c r="R324" i="25"/>
  <c r="S324" i="25" s="1"/>
  <c r="R332" i="25"/>
  <c r="S332" i="25" s="1"/>
  <c r="Y332" i="25"/>
  <c r="Y340" i="25"/>
  <c r="R340" i="25"/>
  <c r="S340" i="25" s="1"/>
  <c r="Y348" i="25"/>
  <c r="R348" i="25"/>
  <c r="S348" i="25" s="1"/>
  <c r="R356" i="25"/>
  <c r="S356" i="25" s="1"/>
  <c r="Y356" i="25"/>
  <c r="Y364" i="25"/>
  <c r="R364" i="25"/>
  <c r="S364" i="25" s="1"/>
  <c r="Y372" i="25"/>
  <c r="R372" i="25"/>
  <c r="S372" i="25" s="1"/>
  <c r="Q382" i="25"/>
  <c r="X382" i="25"/>
  <c r="Q391" i="25"/>
  <c r="X391" i="25"/>
  <c r="Q400" i="25"/>
  <c r="X400" i="25"/>
  <c r="Y458" i="25"/>
  <c r="R458" i="25"/>
  <c r="S458" i="25" s="1"/>
  <c r="Y382" i="25"/>
  <c r="R382" i="25"/>
  <c r="S382" i="25" s="1"/>
  <c r="Y390" i="25"/>
  <c r="R390" i="25"/>
  <c r="S390" i="25" s="1"/>
  <c r="Y398" i="25"/>
  <c r="R398" i="25"/>
  <c r="S398" i="25" s="1"/>
  <c r="R410" i="25"/>
  <c r="S410" i="25" s="1"/>
  <c r="Y410" i="25"/>
  <c r="X419" i="25"/>
  <c r="Q419" i="25"/>
  <c r="R436" i="25"/>
  <c r="S436" i="25" s="1"/>
  <c r="Y436" i="25"/>
  <c r="Q481" i="25"/>
  <c r="X481" i="25"/>
  <c r="Q408" i="25"/>
  <c r="X408" i="25"/>
  <c r="Y422" i="25"/>
  <c r="R422" i="25"/>
  <c r="S422" i="25" s="1"/>
  <c r="R432" i="25"/>
  <c r="S432" i="25" s="1"/>
  <c r="Y432" i="25"/>
  <c r="Q465" i="25"/>
  <c r="X465" i="25"/>
  <c r="Q497" i="25"/>
  <c r="X497" i="25"/>
  <c r="Q402" i="25"/>
  <c r="X402" i="25"/>
  <c r="Y416" i="25"/>
  <c r="R416" i="25"/>
  <c r="S416" i="25" s="1"/>
  <c r="X425" i="25"/>
  <c r="Q425" i="25"/>
  <c r="Y438" i="25"/>
  <c r="R438" i="25"/>
  <c r="S438" i="25" s="1"/>
  <c r="X473" i="25"/>
  <c r="Q473" i="25"/>
  <c r="Y517" i="25"/>
  <c r="R517" i="25"/>
  <c r="S517" i="25" s="1"/>
  <c r="Q436" i="25"/>
  <c r="X436" i="25"/>
  <c r="X444" i="25"/>
  <c r="Q444" i="25"/>
  <c r="Q452" i="25"/>
  <c r="X452" i="25"/>
  <c r="X460" i="25"/>
  <c r="Q460" i="25"/>
  <c r="Q471" i="25"/>
  <c r="X471" i="25"/>
  <c r="Y480" i="25"/>
  <c r="R480" i="25"/>
  <c r="S480" i="25" s="1"/>
  <c r="R514" i="25"/>
  <c r="S514" i="25" s="1"/>
  <c r="Y514" i="25"/>
  <c r="X435" i="25"/>
  <c r="Q435" i="25"/>
  <c r="Q443" i="25"/>
  <c r="X443" i="25"/>
  <c r="X451" i="25"/>
  <c r="Q451" i="25"/>
  <c r="Q459" i="25"/>
  <c r="X459" i="25"/>
  <c r="X467" i="25"/>
  <c r="Q467" i="25"/>
  <c r="Y476" i="25"/>
  <c r="R476" i="25"/>
  <c r="S476" i="25" s="1"/>
  <c r="Q503" i="25"/>
  <c r="X503" i="25"/>
  <c r="R403" i="25"/>
  <c r="S403" i="25" s="1"/>
  <c r="Y403" i="25"/>
  <c r="R411" i="25"/>
  <c r="S411" i="25" s="1"/>
  <c r="Y411" i="25"/>
  <c r="R419" i="25"/>
  <c r="S419" i="25" s="1"/>
  <c r="Y419" i="25"/>
  <c r="Y427" i="25"/>
  <c r="R427" i="25"/>
  <c r="S427" i="25" s="1"/>
  <c r="R435" i="25"/>
  <c r="S435" i="25" s="1"/>
  <c r="Y435" i="25"/>
  <c r="Y443" i="25"/>
  <c r="R443" i="25"/>
  <c r="S443" i="25" s="1"/>
  <c r="R451" i="25"/>
  <c r="S451" i="25" s="1"/>
  <c r="Y451" i="25"/>
  <c r="Y459" i="25"/>
  <c r="R459" i="25"/>
  <c r="S459" i="25" s="1"/>
  <c r="X469" i="25"/>
  <c r="Q469" i="25"/>
  <c r="R478" i="25"/>
  <c r="S478" i="25" s="1"/>
  <c r="Y478" i="25"/>
  <c r="X501" i="25"/>
  <c r="Q501" i="25"/>
  <c r="Y488" i="25"/>
  <c r="R488" i="25"/>
  <c r="S488" i="25" s="1"/>
  <c r="R496" i="25"/>
  <c r="S496" i="25" s="1"/>
  <c r="Y496" i="25"/>
  <c r="Y504" i="25"/>
  <c r="R504" i="25"/>
  <c r="S504" i="25" s="1"/>
  <c r="R512" i="25"/>
  <c r="S512" i="25" s="1"/>
  <c r="Y512" i="25"/>
  <c r="Q522" i="25"/>
  <c r="X522" i="25"/>
  <c r="Y535" i="25"/>
  <c r="R535" i="25"/>
  <c r="S535" i="25" s="1"/>
  <c r="Y489" i="25"/>
  <c r="R489" i="25"/>
  <c r="S489" i="25" s="1"/>
  <c r="R497" i="25"/>
  <c r="S497" i="25" s="1"/>
  <c r="Y497" i="25"/>
  <c r="R505" i="25"/>
  <c r="S505" i="25" s="1"/>
  <c r="Y505" i="25"/>
  <c r="Y516" i="25"/>
  <c r="R516" i="25"/>
  <c r="S516" i="25" s="1"/>
  <c r="Q464" i="25"/>
  <c r="X464" i="25"/>
  <c r="X472" i="25"/>
  <c r="Q472" i="25"/>
  <c r="X480" i="25"/>
  <c r="Q480" i="25"/>
  <c r="X488" i="25"/>
  <c r="Q488" i="25"/>
  <c r="X496" i="25"/>
  <c r="Q496" i="25"/>
  <c r="Q504" i="25"/>
  <c r="X504" i="25"/>
  <c r="X512" i="25"/>
  <c r="Q512" i="25"/>
  <c r="Y521" i="25"/>
  <c r="R521" i="25"/>
  <c r="S521" i="25" s="1"/>
  <c r="X513" i="25"/>
  <c r="Q513" i="25"/>
  <c r="Q521" i="25"/>
  <c r="X521" i="25"/>
  <c r="Y528" i="25"/>
  <c r="R528" i="25"/>
  <c r="S528" i="25" s="1"/>
  <c r="X539" i="25"/>
  <c r="Q539" i="25"/>
  <c r="X524" i="25"/>
  <c r="Q524" i="25"/>
  <c r="R537" i="25"/>
  <c r="S537" i="25" s="1"/>
  <c r="Y537" i="25"/>
  <c r="Y559" i="25"/>
  <c r="R559" i="25"/>
  <c r="S559" i="25" s="1"/>
  <c r="X525" i="25"/>
  <c r="Q525" i="25"/>
  <c r="Y534" i="25"/>
  <c r="R534" i="25"/>
  <c r="S534" i="25" s="1"/>
  <c r="Y542" i="25"/>
  <c r="R542" i="25"/>
  <c r="S542" i="25" s="1"/>
  <c r="Y550" i="25"/>
  <c r="R550" i="25"/>
  <c r="S550" i="25" s="1"/>
  <c r="Y557" i="25"/>
  <c r="R557" i="25"/>
  <c r="S557" i="25" s="1"/>
  <c r="X566" i="25"/>
  <c r="Q566" i="25"/>
  <c r="Y539" i="25"/>
  <c r="R539" i="25"/>
  <c r="S539" i="25" s="1"/>
  <c r="Y547" i="25"/>
  <c r="R547" i="25"/>
  <c r="S547" i="25" s="1"/>
  <c r="R555" i="25"/>
  <c r="S555" i="25" s="1"/>
  <c r="Y555" i="25"/>
  <c r="Q570" i="25"/>
  <c r="X570" i="25"/>
  <c r="X532" i="25"/>
  <c r="Q532" i="25"/>
  <c r="X540" i="25"/>
  <c r="Q540" i="25"/>
  <c r="X548" i="25"/>
  <c r="Q548" i="25"/>
  <c r="X556" i="25"/>
  <c r="Q556" i="25"/>
  <c r="X568" i="25"/>
  <c r="Q568" i="25"/>
  <c r="Y569" i="25"/>
  <c r="R569" i="25"/>
  <c r="S569" i="25" s="1"/>
  <c r="Q578" i="25"/>
  <c r="X578" i="25"/>
  <c r="R566" i="25"/>
  <c r="S566" i="25" s="1"/>
  <c r="Y566" i="25"/>
  <c r="Y574" i="25"/>
  <c r="R574" i="25"/>
  <c r="S574" i="25" s="1"/>
  <c r="Y583" i="25"/>
  <c r="R583" i="25"/>
  <c r="S583" i="25" s="1"/>
  <c r="X559" i="25"/>
  <c r="Q559" i="25"/>
  <c r="Q567" i="25"/>
  <c r="X567" i="25"/>
  <c r="X575" i="25"/>
  <c r="Q575" i="25"/>
  <c r="Y612" i="25"/>
  <c r="R612" i="25"/>
  <c r="S612" i="25" s="1"/>
  <c r="Q583" i="25"/>
  <c r="X583" i="25"/>
  <c r="X591" i="25"/>
  <c r="Q591" i="25"/>
  <c r="X586" i="25"/>
  <c r="Q586" i="25"/>
  <c r="Q593" i="25"/>
  <c r="X593" i="25"/>
  <c r="Y586" i="25"/>
  <c r="R586" i="25"/>
  <c r="S586" i="25" s="1"/>
  <c r="X595" i="25"/>
  <c r="Q595" i="25"/>
  <c r="R593" i="25"/>
  <c r="S593" i="25" s="1"/>
  <c r="Y593" i="25"/>
  <c r="Y601" i="25"/>
  <c r="R601" i="25"/>
  <c r="S601" i="25" s="1"/>
  <c r="Y608" i="25"/>
  <c r="R608" i="25"/>
  <c r="S608" i="25" s="1"/>
  <c r="Y604" i="25"/>
  <c r="R604" i="25"/>
  <c r="S604" i="25" s="1"/>
  <c r="X599" i="25"/>
  <c r="Q599" i="25"/>
  <c r="X608" i="25"/>
  <c r="Q608" i="25"/>
  <c r="X611" i="25"/>
  <c r="Q611" i="25"/>
  <c r="R613" i="25"/>
  <c r="S613" i="25" s="1"/>
  <c r="Y613" i="25"/>
  <c r="Y592" i="17"/>
  <c r="Y516" i="17"/>
  <c r="R524" i="17"/>
  <c r="S524" i="17" s="1"/>
  <c r="Q129" i="17"/>
  <c r="U129" i="17" s="1"/>
  <c r="Q297" i="17"/>
  <c r="U297" i="17" s="1"/>
  <c r="Y138" i="17"/>
  <c r="X36" i="17"/>
  <c r="Q345" i="17"/>
  <c r="U345" i="17" s="1"/>
  <c r="X110" i="17"/>
  <c r="Q263" i="17"/>
  <c r="U263" i="17" s="1"/>
  <c r="Y467" i="17"/>
  <c r="Y45" i="17"/>
  <c r="Y40" i="17"/>
  <c r="X221" i="17"/>
  <c r="Q200" i="17"/>
  <c r="U200" i="17" s="1"/>
  <c r="X151" i="17"/>
  <c r="X209" i="17"/>
  <c r="Q270" i="17"/>
  <c r="U270" i="17" s="1"/>
  <c r="Y217" i="17"/>
  <c r="X435" i="17"/>
  <c r="X350" i="17"/>
  <c r="Y429" i="17"/>
  <c r="X402" i="17"/>
  <c r="Q52" i="17"/>
  <c r="U52" i="17" s="1"/>
  <c r="Q538" i="17"/>
  <c r="U538" i="17" s="1"/>
  <c r="X147" i="17"/>
  <c r="Y482" i="17"/>
  <c r="Y355" i="17"/>
  <c r="Y393" i="17"/>
  <c r="X128" i="17"/>
  <c r="X196" i="17"/>
  <c r="Y306" i="17"/>
  <c r="Q335" i="17"/>
  <c r="U335" i="17" s="1"/>
  <c r="R384" i="17"/>
  <c r="S384" i="17" s="1"/>
  <c r="X138" i="17"/>
  <c r="X217" i="17"/>
  <c r="X572" i="17"/>
  <c r="X43" i="17"/>
  <c r="Y423" i="17"/>
  <c r="X560" i="17"/>
  <c r="Y283" i="17"/>
  <c r="Y19" i="17"/>
  <c r="Q534" i="17"/>
  <c r="U534" i="17" s="1"/>
  <c r="Y362" i="17"/>
  <c r="Y233" i="17"/>
  <c r="X79" i="17"/>
  <c r="X477" i="17"/>
  <c r="X505" i="17"/>
  <c r="X401" i="17"/>
  <c r="Y455" i="17"/>
  <c r="X321" i="17"/>
  <c r="Y224" i="17"/>
  <c r="X423" i="17"/>
  <c r="X364" i="17"/>
  <c r="Y342" i="17"/>
  <c r="X172" i="17"/>
  <c r="Y84" i="17"/>
  <c r="X225" i="17"/>
  <c r="Y434" i="17"/>
  <c r="Y549" i="17"/>
  <c r="X407" i="17"/>
  <c r="X417" i="17"/>
  <c r="Y483" i="17"/>
  <c r="X208" i="17"/>
  <c r="R366" i="17"/>
  <c r="S366" i="17" s="1"/>
  <c r="R602" i="17"/>
  <c r="S602" i="17" s="1"/>
  <c r="R101" i="17"/>
  <c r="S101" i="17" s="1"/>
  <c r="Q597" i="17"/>
  <c r="U597" i="17" s="1"/>
  <c r="R24" i="17"/>
  <c r="S24" i="17" s="1"/>
  <c r="Q58" i="17"/>
  <c r="U58" i="17" s="1"/>
  <c r="R537" i="17"/>
  <c r="S537" i="17" s="1"/>
  <c r="R294" i="17"/>
  <c r="S294" i="17" s="1"/>
  <c r="X323" i="17"/>
  <c r="Y479" i="17"/>
  <c r="Y98" i="17"/>
  <c r="X391" i="17"/>
  <c r="X135" i="17"/>
  <c r="X478" i="17"/>
  <c r="Y433" i="17"/>
  <c r="Y507" i="17"/>
  <c r="X584" i="17"/>
  <c r="X70" i="17"/>
  <c r="Y331" i="17"/>
  <c r="X465" i="17"/>
  <c r="X539" i="17"/>
  <c r="Y200" i="17"/>
  <c r="Y275" i="17"/>
  <c r="X235" i="17"/>
  <c r="X552" i="17"/>
  <c r="X304" i="17"/>
  <c r="X74" i="17"/>
  <c r="X161" i="17"/>
  <c r="Y49" i="17"/>
  <c r="X312" i="17"/>
  <c r="X499" i="17"/>
  <c r="X277" i="17"/>
  <c r="Y565" i="17"/>
  <c r="X56" i="17"/>
  <c r="R115" i="17"/>
  <c r="S115" i="17" s="1"/>
  <c r="R255" i="17"/>
  <c r="S255" i="17" s="1"/>
  <c r="R527" i="17"/>
  <c r="S527" i="17" s="1"/>
  <c r="Q576" i="17"/>
  <c r="U576" i="17" s="1"/>
  <c r="Q93" i="17"/>
  <c r="U93" i="17" s="1"/>
  <c r="Y62" i="17"/>
  <c r="Y488" i="17"/>
  <c r="Y104" i="17"/>
  <c r="X579" i="17"/>
  <c r="X311" i="17"/>
  <c r="Y504" i="17"/>
  <c r="X40" i="17"/>
  <c r="Y518" i="17"/>
  <c r="X140" i="17"/>
  <c r="Y99" i="17"/>
  <c r="X120" i="17"/>
  <c r="Y252" i="17"/>
  <c r="X122" i="17"/>
  <c r="Y25" i="17"/>
  <c r="X371" i="17"/>
  <c r="Y230" i="17"/>
  <c r="X237" i="17"/>
  <c r="X116" i="17"/>
  <c r="Y103" i="17"/>
  <c r="X356" i="17"/>
  <c r="X306" i="17"/>
  <c r="Y178" i="17"/>
  <c r="Y376" i="17"/>
  <c r="Y81" i="17"/>
  <c r="X555" i="17"/>
  <c r="Q219" i="17"/>
  <c r="U219" i="17" s="1"/>
  <c r="R162" i="17"/>
  <c r="S162" i="17" s="1"/>
  <c r="Q485" i="17"/>
  <c r="U485" i="17" s="1"/>
  <c r="R253" i="17"/>
  <c r="S253" i="17" s="1"/>
  <c r="Y295" i="17"/>
  <c r="X283" i="17"/>
  <c r="Y130" i="17"/>
  <c r="Y167" i="17"/>
  <c r="R443" i="17"/>
  <c r="S443" i="17" s="1"/>
  <c r="Y37" i="17"/>
  <c r="X95" i="17"/>
  <c r="X73" i="17"/>
  <c r="X422" i="17"/>
  <c r="Y354" i="17"/>
  <c r="Y431" i="17"/>
  <c r="Q211" i="17"/>
  <c r="U211" i="17" s="1"/>
  <c r="Q458" i="17"/>
  <c r="U458" i="17" s="1"/>
  <c r="R227" i="17"/>
  <c r="S227" i="17" s="1"/>
  <c r="X152" i="17"/>
  <c r="Y156" i="17"/>
  <c r="Y144" i="17"/>
  <c r="X344" i="17"/>
  <c r="X191" i="17"/>
  <c r="Y513" i="17"/>
  <c r="X124" i="17"/>
  <c r="Y561" i="17"/>
  <c r="X438" i="17"/>
  <c r="X68" i="17"/>
  <c r="Y302" i="17"/>
  <c r="R35" i="17"/>
  <c r="S35" i="17" s="1"/>
  <c r="R508" i="17"/>
  <c r="S508" i="17" s="1"/>
  <c r="Q484" i="17"/>
  <c r="U484" i="17" s="1"/>
  <c r="X454" i="17"/>
  <c r="X244" i="17"/>
  <c r="X179" i="17"/>
  <c r="Y460" i="17"/>
  <c r="Y169" i="17"/>
  <c r="Y127" i="17"/>
  <c r="X487" i="17"/>
  <c r="Y184" i="17"/>
  <c r="R608" i="17"/>
  <c r="S608" i="17" s="1"/>
  <c r="Q326" i="17"/>
  <c r="U326" i="17" s="1"/>
  <c r="Y57" i="17"/>
  <c r="R57" i="17"/>
  <c r="S57" i="17" s="1"/>
  <c r="Y445" i="17"/>
  <c r="R445" i="17"/>
  <c r="S445" i="17" s="1"/>
  <c r="Q242" i="17"/>
  <c r="U242" i="17" s="1"/>
  <c r="X242" i="17"/>
  <c r="Y80" i="17"/>
  <c r="R80" i="17"/>
  <c r="S80" i="17" s="1"/>
  <c r="R51" i="17"/>
  <c r="S51" i="17" s="1"/>
  <c r="Y51" i="17"/>
  <c r="R237" i="17"/>
  <c r="S237" i="17" s="1"/>
  <c r="Y237" i="17"/>
  <c r="Q567" i="17"/>
  <c r="U567" i="17" s="1"/>
  <c r="X567" i="17"/>
  <c r="Q213" i="17"/>
  <c r="U213" i="17" s="1"/>
  <c r="X213" i="17"/>
  <c r="Y526" i="17"/>
  <c r="R526" i="17"/>
  <c r="S526" i="17" s="1"/>
  <c r="X355" i="17"/>
  <c r="Q355" i="17"/>
  <c r="U355" i="17" s="1"/>
  <c r="X497" i="17"/>
  <c r="Q497" i="17"/>
  <c r="U497" i="17" s="1"/>
  <c r="R315" i="17"/>
  <c r="S315" i="17" s="1"/>
  <c r="Y315" i="17"/>
  <c r="Q500" i="17"/>
  <c r="U500" i="17" s="1"/>
  <c r="X500" i="17"/>
  <c r="Q569" i="17"/>
  <c r="U569" i="17" s="1"/>
  <c r="X569" i="17"/>
  <c r="R236" i="17"/>
  <c r="S236" i="17" s="1"/>
  <c r="Y236" i="17"/>
  <c r="R441" i="17"/>
  <c r="S441" i="17" s="1"/>
  <c r="Y441" i="17"/>
  <c r="X610" i="17"/>
  <c r="Q610" i="17"/>
  <c r="U610" i="17" s="1"/>
  <c r="Q398" i="17"/>
  <c r="U398" i="17" s="1"/>
  <c r="X398" i="17"/>
  <c r="R44" i="17"/>
  <c r="S44" i="17" s="1"/>
  <c r="Y44" i="17"/>
  <c r="R472" i="17"/>
  <c r="S472" i="17" s="1"/>
  <c r="Y472" i="17"/>
  <c r="Y401" i="17"/>
  <c r="R401" i="17"/>
  <c r="S401" i="17" s="1"/>
  <c r="R196" i="17"/>
  <c r="S196" i="17" s="1"/>
  <c r="Y196" i="17"/>
  <c r="R463" i="17"/>
  <c r="S463" i="17" s="1"/>
  <c r="Y463" i="17"/>
  <c r="Q289" i="17"/>
  <c r="U289" i="17" s="1"/>
  <c r="X289" i="17"/>
  <c r="R484" i="17"/>
  <c r="S484" i="17" s="1"/>
  <c r="Y484" i="17"/>
  <c r="Q393" i="17"/>
  <c r="U393" i="17" s="1"/>
  <c r="X393" i="17"/>
  <c r="X503" i="17"/>
  <c r="Q503" i="17"/>
  <c r="U503" i="17" s="1"/>
  <c r="Q86" i="17"/>
  <c r="AD86" i="17" s="1"/>
  <c r="AE86" i="17" s="1"/>
  <c r="X86" i="17"/>
  <c r="X440" i="17"/>
  <c r="Q440" i="17"/>
  <c r="U440" i="17" s="1"/>
  <c r="R466" i="17"/>
  <c r="S466" i="17" s="1"/>
  <c r="Y466" i="17"/>
  <c r="Q348" i="17"/>
  <c r="U348" i="17" s="1"/>
  <c r="X348" i="17"/>
  <c r="R74" i="17"/>
  <c r="S74" i="17" s="1"/>
  <c r="Y74" i="17"/>
  <c r="Q541" i="17"/>
  <c r="U541" i="17" s="1"/>
  <c r="X541" i="17"/>
  <c r="Y235" i="17"/>
  <c r="R235" i="17"/>
  <c r="S235" i="17" s="1"/>
  <c r="X300" i="17"/>
  <c r="Q300" i="17"/>
  <c r="U300" i="17" s="1"/>
  <c r="Q123" i="17"/>
  <c r="U123" i="17" s="1"/>
  <c r="X123" i="17"/>
  <c r="Q314" i="17"/>
  <c r="U314" i="17" s="1"/>
  <c r="X314" i="17"/>
  <c r="X212" i="17"/>
  <c r="Q212" i="17"/>
  <c r="U212" i="17" s="1"/>
  <c r="Q612" i="17"/>
  <c r="U612" i="17" s="1"/>
  <c r="X612" i="17"/>
  <c r="Q381" i="17"/>
  <c r="U381" i="17" s="1"/>
  <c r="X381" i="17"/>
  <c r="X320" i="17"/>
  <c r="Q320" i="17"/>
  <c r="U320" i="17" s="1"/>
  <c r="R269" i="17"/>
  <c r="S269" i="17" s="1"/>
  <c r="Y269" i="17"/>
  <c r="Q494" i="17"/>
  <c r="U494" i="17" s="1"/>
  <c r="X494" i="17"/>
  <c r="Y263" i="17"/>
  <c r="X385" i="17"/>
  <c r="X333" i="17"/>
  <c r="Y298" i="17"/>
  <c r="X535" i="17"/>
  <c r="Y500" i="17"/>
  <c r="R394" i="17"/>
  <c r="S394" i="17" s="1"/>
  <c r="R400" i="17"/>
  <c r="S400" i="17" s="1"/>
  <c r="Q310" i="17"/>
  <c r="U310" i="17" s="1"/>
  <c r="X394" i="17"/>
  <c r="R195" i="17"/>
  <c r="S195" i="17" s="1"/>
  <c r="R328" i="17"/>
  <c r="S328" i="17" s="1"/>
  <c r="X580" i="17"/>
  <c r="X252" i="17"/>
  <c r="Y422" i="17"/>
  <c r="X182" i="17"/>
  <c r="R206" i="17"/>
  <c r="S206" i="17" s="1"/>
  <c r="Y459" i="17"/>
  <c r="Y495" i="17"/>
  <c r="Y164" i="17"/>
  <c r="Y214" i="17"/>
  <c r="Y22" i="17"/>
  <c r="Y21" i="17"/>
  <c r="Y361" i="17"/>
  <c r="X199" i="17"/>
  <c r="X240" i="17"/>
  <c r="X295" i="17"/>
  <c r="X166" i="17"/>
  <c r="X561" i="17"/>
  <c r="Q24" i="17"/>
  <c r="U24" i="17" s="1"/>
  <c r="R572" i="17"/>
  <c r="S572" i="17" s="1"/>
  <c r="R222" i="17"/>
  <c r="S222" i="17" s="1"/>
  <c r="R552" i="17"/>
  <c r="S552" i="17" s="1"/>
  <c r="X315" i="17"/>
  <c r="Q315" i="17"/>
  <c r="U315" i="17" s="1"/>
  <c r="R323" i="17"/>
  <c r="S323" i="17" s="1"/>
  <c r="Y323" i="17"/>
  <c r="Q316" i="17"/>
  <c r="U316" i="17" s="1"/>
  <c r="X316" i="17"/>
  <c r="Q265" i="17"/>
  <c r="U265" i="17" s="1"/>
  <c r="X265" i="17"/>
  <c r="R32" i="17"/>
  <c r="S32" i="17" s="1"/>
  <c r="Y32" i="17"/>
  <c r="Y31" i="17"/>
  <c r="R31" i="17"/>
  <c r="S31" i="17" s="1"/>
  <c r="R135" i="17"/>
  <c r="S135" i="17" s="1"/>
  <c r="Y135" i="17"/>
  <c r="Q443" i="17"/>
  <c r="U443" i="17" s="1"/>
  <c r="X443" i="17"/>
  <c r="R146" i="17"/>
  <c r="S146" i="17" s="1"/>
  <c r="Y146" i="17"/>
  <c r="R314" i="17"/>
  <c r="S314" i="17" s="1"/>
  <c r="Y314" i="17"/>
  <c r="Q268" i="17"/>
  <c r="U268" i="17" s="1"/>
  <c r="X268" i="17"/>
  <c r="X502" i="17"/>
  <c r="Q502" i="17"/>
  <c r="U502" i="17" s="1"/>
  <c r="R93" i="17"/>
  <c r="S93" i="17" s="1"/>
  <c r="Y93" i="17"/>
  <c r="Y281" i="17"/>
  <c r="R281" i="17"/>
  <c r="S281" i="17" s="1"/>
  <c r="Q274" i="17"/>
  <c r="U274" i="17" s="1"/>
  <c r="X274" i="17"/>
  <c r="X573" i="17"/>
  <c r="Q573" i="17"/>
  <c r="U573" i="17" s="1"/>
  <c r="X132" i="17"/>
  <c r="Q132" i="17"/>
  <c r="U132" i="17" s="1"/>
  <c r="R559" i="17"/>
  <c r="S559" i="17" s="1"/>
  <c r="Y559" i="17"/>
  <c r="Q433" i="17"/>
  <c r="U433" i="17" s="1"/>
  <c r="X433" i="17"/>
  <c r="R54" i="17"/>
  <c r="S54" i="17" s="1"/>
  <c r="Y54" i="17"/>
  <c r="Q14" i="17"/>
  <c r="U14" i="17" s="1"/>
  <c r="X14" i="17"/>
  <c r="R345" i="17"/>
  <c r="S345" i="17" s="1"/>
  <c r="Y345" i="17"/>
  <c r="R114" i="17"/>
  <c r="S114" i="17" s="1"/>
  <c r="Y114" i="17"/>
  <c r="R411" i="17"/>
  <c r="S411" i="17" s="1"/>
  <c r="Y411" i="17"/>
  <c r="Y346" i="17"/>
  <c r="R346" i="17"/>
  <c r="S346" i="17" s="1"/>
  <c r="R494" i="17"/>
  <c r="S494" i="17" s="1"/>
  <c r="Y494" i="17"/>
  <c r="X236" i="17"/>
  <c r="Q236" i="17"/>
  <c r="U236" i="17" s="1"/>
  <c r="Y570" i="17"/>
  <c r="R570" i="17"/>
  <c r="S570" i="17" s="1"/>
  <c r="Q174" i="17"/>
  <c r="U174" i="17" s="1"/>
  <c r="X174" i="17"/>
  <c r="R359" i="17"/>
  <c r="S359" i="17" s="1"/>
  <c r="Y359" i="17"/>
  <c r="R102" i="17"/>
  <c r="S102" i="17" s="1"/>
  <c r="Y102" i="17"/>
  <c r="Q15" i="17"/>
  <c r="U15" i="17" s="1"/>
  <c r="X15" i="17"/>
  <c r="R63" i="17"/>
  <c r="S63" i="17" s="1"/>
  <c r="Y63" i="17"/>
  <c r="R250" i="17"/>
  <c r="S250" i="17" s="1"/>
  <c r="Y250" i="17"/>
  <c r="R347" i="17"/>
  <c r="S347" i="17" s="1"/>
  <c r="Y347" i="17"/>
  <c r="R597" i="17"/>
  <c r="S597" i="17" s="1"/>
  <c r="Y597" i="17"/>
  <c r="Q338" i="17"/>
  <c r="U338" i="17" s="1"/>
  <c r="X338" i="17"/>
  <c r="Q204" i="17"/>
  <c r="U204" i="17" s="1"/>
  <c r="X204" i="17"/>
  <c r="R372" i="17"/>
  <c r="S372" i="17" s="1"/>
  <c r="Y372" i="17"/>
  <c r="R512" i="17"/>
  <c r="S512" i="17" s="1"/>
  <c r="Y512" i="17"/>
  <c r="Y490" i="17"/>
  <c r="R490" i="17"/>
  <c r="S490" i="17" s="1"/>
  <c r="R560" i="17"/>
  <c r="S560" i="17" s="1"/>
  <c r="Y560" i="17"/>
  <c r="Q49" i="17"/>
  <c r="U49" i="17" s="1"/>
  <c r="X49" i="17"/>
  <c r="Y453" i="17"/>
  <c r="R453" i="17"/>
  <c r="S453" i="17" s="1"/>
  <c r="R97" i="17"/>
  <c r="S97" i="17" s="1"/>
  <c r="Y97" i="17"/>
  <c r="R344" i="17"/>
  <c r="S344" i="17" s="1"/>
  <c r="Y344" i="17"/>
  <c r="Q234" i="17"/>
  <c r="U234" i="17" s="1"/>
  <c r="X234" i="17"/>
  <c r="R581" i="17"/>
  <c r="S581" i="17" s="1"/>
  <c r="Y581" i="17"/>
  <c r="R189" i="17"/>
  <c r="S189" i="17" s="1"/>
  <c r="Y189" i="17"/>
  <c r="R266" i="17"/>
  <c r="S266" i="17" s="1"/>
  <c r="Y266" i="17"/>
  <c r="Q521" i="17"/>
  <c r="U521" i="17" s="1"/>
  <c r="X521" i="17"/>
  <c r="R497" i="17"/>
  <c r="S497" i="17" s="1"/>
  <c r="Y497" i="17"/>
  <c r="R292" i="17"/>
  <c r="S292" i="17" s="1"/>
  <c r="Y292" i="17"/>
  <c r="Q115" i="17"/>
  <c r="U115" i="17" s="1"/>
  <c r="X115" i="17"/>
  <c r="R75" i="17"/>
  <c r="S75" i="17" s="1"/>
  <c r="Y75" i="17"/>
  <c r="Q167" i="17"/>
  <c r="U167" i="17" s="1"/>
  <c r="X167" i="17"/>
  <c r="Q82" i="17"/>
  <c r="U82" i="17" s="1"/>
  <c r="X82" i="17"/>
  <c r="R335" i="17"/>
  <c r="S335" i="17" s="1"/>
  <c r="Y335" i="17"/>
  <c r="R503" i="17"/>
  <c r="S503" i="17" s="1"/>
  <c r="Y503" i="17"/>
  <c r="Q278" i="17"/>
  <c r="U278" i="17" s="1"/>
  <c r="X278" i="17"/>
  <c r="X352" i="17"/>
  <c r="Q352" i="17"/>
  <c r="U352" i="17" s="1"/>
  <c r="R535" i="17"/>
  <c r="S535" i="17" s="1"/>
  <c r="Y535" i="17"/>
  <c r="Q593" i="17"/>
  <c r="U593" i="17" s="1"/>
  <c r="X593" i="17"/>
  <c r="Q330" i="17"/>
  <c r="U330" i="17" s="1"/>
  <c r="X330" i="17"/>
  <c r="R529" i="17"/>
  <c r="S529" i="17" s="1"/>
  <c r="Y529" i="17"/>
  <c r="Q354" i="17"/>
  <c r="U354" i="17" s="1"/>
  <c r="X354" i="17"/>
  <c r="Y605" i="17"/>
  <c r="R605" i="17"/>
  <c r="S605" i="17" s="1"/>
  <c r="Q290" i="17"/>
  <c r="U290" i="17" s="1"/>
  <c r="X290" i="17"/>
  <c r="R131" i="17"/>
  <c r="S131" i="17" s="1"/>
  <c r="Y131" i="17"/>
  <c r="R26" i="17"/>
  <c r="S26" i="17" s="1"/>
  <c r="Y26" i="17"/>
  <c r="Q35" i="17"/>
  <c r="U35" i="17" s="1"/>
  <c r="X35" i="17"/>
  <c r="Q623" i="17"/>
  <c r="D633" i="17" s="1"/>
  <c r="X623" i="17"/>
  <c r="Q102" i="17"/>
  <c r="U102" i="17" s="1"/>
  <c r="X102" i="17"/>
  <c r="Y415" i="17"/>
  <c r="R415" i="17"/>
  <c r="S415" i="17" s="1"/>
  <c r="Q590" i="17"/>
  <c r="U590" i="17" s="1"/>
  <c r="X590" i="17"/>
  <c r="Q267" i="17"/>
  <c r="U267" i="17" s="1"/>
  <c r="X267" i="17"/>
  <c r="Q190" i="17"/>
  <c r="U190" i="17" s="1"/>
  <c r="X190" i="17"/>
  <c r="R318" i="17"/>
  <c r="S318" i="17" s="1"/>
  <c r="Y318" i="17"/>
  <c r="Q472" i="17"/>
  <c r="U472" i="17" s="1"/>
  <c r="X472" i="17"/>
  <c r="R498" i="17"/>
  <c r="S498" i="17" s="1"/>
  <c r="Y498" i="17"/>
  <c r="Q281" i="17"/>
  <c r="U281" i="17" s="1"/>
  <c r="X281" i="17"/>
  <c r="Q256" i="17"/>
  <c r="U256" i="17" s="1"/>
  <c r="X256" i="17"/>
  <c r="Q410" i="17"/>
  <c r="U410" i="17" s="1"/>
  <c r="X410" i="17"/>
  <c r="R444" i="17"/>
  <c r="S444" i="17" s="1"/>
  <c r="Y444" i="17"/>
  <c r="Q144" i="17"/>
  <c r="U144" i="17" s="1"/>
  <c r="X144" i="17"/>
  <c r="Q130" i="17"/>
  <c r="X130" i="17"/>
  <c r="R305" i="17"/>
  <c r="S305" i="17" s="1"/>
  <c r="Y305" i="17"/>
  <c r="R137" i="17"/>
  <c r="S137" i="17" s="1"/>
  <c r="Y137" i="17"/>
  <c r="R397" i="17"/>
  <c r="S397" i="17" s="1"/>
  <c r="Y397" i="17"/>
  <c r="Y163" i="17"/>
  <c r="R163" i="17"/>
  <c r="S163" i="17" s="1"/>
  <c r="Y34" i="17"/>
  <c r="R34" i="17"/>
  <c r="S34" i="17" s="1"/>
  <c r="R299" i="17"/>
  <c r="S299" i="17" s="1"/>
  <c r="Y299" i="17"/>
  <c r="Q137" i="17"/>
  <c r="U137" i="17" s="1"/>
  <c r="X137" i="17"/>
  <c r="R68" i="17"/>
  <c r="S68" i="17" s="1"/>
  <c r="Y68" i="17"/>
  <c r="Q114" i="17"/>
  <c r="U114" i="17" s="1"/>
  <c r="X114" i="17"/>
  <c r="Q121" i="17"/>
  <c r="U121" i="17" s="1"/>
  <c r="X121" i="17"/>
  <c r="Q455" i="17"/>
  <c r="U455" i="17" s="1"/>
  <c r="X455" i="17"/>
  <c r="R147" i="17"/>
  <c r="S147" i="17" s="1"/>
  <c r="Y147" i="17"/>
  <c r="Q173" i="17"/>
  <c r="U173" i="17" s="1"/>
  <c r="X173" i="17"/>
  <c r="Q159" i="17"/>
  <c r="U159" i="17" s="1"/>
  <c r="X159" i="17"/>
  <c r="Y50" i="17"/>
  <c r="R50" i="17"/>
  <c r="S50" i="17" s="1"/>
  <c r="R517" i="17"/>
  <c r="S517" i="17" s="1"/>
  <c r="Y517" i="17"/>
  <c r="R312" i="17"/>
  <c r="S312" i="17" s="1"/>
  <c r="Y312" i="17"/>
  <c r="R90" i="17"/>
  <c r="S90" i="17" s="1"/>
  <c r="Y90" i="17"/>
  <c r="R219" i="17"/>
  <c r="S219" i="17" s="1"/>
  <c r="Y219" i="17"/>
  <c r="Y264" i="17"/>
  <c r="R264" i="17"/>
  <c r="S264" i="17" s="1"/>
  <c r="R208" i="17"/>
  <c r="S208" i="17" s="1"/>
  <c r="Y208" i="17"/>
  <c r="R334" i="17"/>
  <c r="S334" i="17" s="1"/>
  <c r="Y334" i="17"/>
  <c r="Q90" i="17"/>
  <c r="U90" i="17" s="1"/>
  <c r="X90" i="17"/>
  <c r="Q475" i="17"/>
  <c r="U475" i="17" s="1"/>
  <c r="X475" i="17"/>
  <c r="R546" i="17"/>
  <c r="S546" i="17" s="1"/>
  <c r="Y546" i="17"/>
  <c r="X366" i="17"/>
  <c r="Q366" i="17"/>
  <c r="U366" i="17" s="1"/>
  <c r="R449" i="17"/>
  <c r="S449" i="17" s="1"/>
  <c r="Y449" i="17"/>
  <c r="R244" i="17"/>
  <c r="S244" i="17" s="1"/>
  <c r="Y244" i="17"/>
  <c r="Q517" i="17"/>
  <c r="U517" i="17" s="1"/>
  <c r="X517" i="17"/>
  <c r="R108" i="17"/>
  <c r="S108" i="17" s="1"/>
  <c r="Y108" i="17"/>
  <c r="R116" i="17"/>
  <c r="S116" i="17" s="1"/>
  <c r="Y116" i="17"/>
  <c r="R489" i="17"/>
  <c r="S489" i="17" s="1"/>
  <c r="Y489" i="17"/>
  <c r="R229" i="17"/>
  <c r="S229" i="17" s="1"/>
  <c r="Y229" i="17"/>
  <c r="R380" i="17"/>
  <c r="S380" i="17" s="1"/>
  <c r="Y380" i="17"/>
  <c r="Y276" i="17"/>
  <c r="Y446" i="17"/>
  <c r="Y547" i="17"/>
  <c r="Y418" i="17"/>
  <c r="Y297" i="17"/>
  <c r="X599" i="17"/>
  <c r="Y257" i="17"/>
  <c r="Y577" i="17"/>
  <c r="X585" i="17"/>
  <c r="Y438" i="17"/>
  <c r="X380" i="17"/>
  <c r="R20" i="17"/>
  <c r="S20" i="17" s="1"/>
  <c r="R339" i="17"/>
  <c r="S339" i="17" s="1"/>
  <c r="X45" i="17"/>
  <c r="X387" i="17"/>
  <c r="Y308" i="17"/>
  <c r="Y369" i="17"/>
  <c r="Y607" i="17"/>
  <c r="Y201" i="17"/>
  <c r="Y172" i="17"/>
  <c r="Y419" i="17"/>
  <c r="X233" i="17"/>
  <c r="X389" i="17"/>
  <c r="X38" i="17"/>
  <c r="Y404" i="17"/>
  <c r="X414" i="17"/>
  <c r="Y96" i="17"/>
  <c r="X169" i="17"/>
  <c r="X171" i="17"/>
  <c r="X526" i="17"/>
  <c r="X145" i="17"/>
  <c r="Y485" i="17"/>
  <c r="R480" i="17"/>
  <c r="S480" i="17" s="1"/>
  <c r="R213" i="17"/>
  <c r="S213" i="17" s="1"/>
  <c r="Q488" i="17"/>
  <c r="U488" i="17" s="1"/>
  <c r="Q586" i="17"/>
  <c r="U586" i="17" s="1"/>
  <c r="X586" i="17"/>
  <c r="X301" i="17"/>
  <c r="Q301" i="17"/>
  <c r="U301" i="17" s="1"/>
  <c r="R14" i="17"/>
  <c r="S14" i="17" s="1"/>
  <c r="Y14" i="17"/>
  <c r="Q568" i="17"/>
  <c r="U568" i="17" s="1"/>
  <c r="X568" i="17"/>
  <c r="Q195" i="17"/>
  <c r="U195" i="17" s="1"/>
  <c r="X195" i="17"/>
  <c r="Q528" i="17"/>
  <c r="U528" i="17" s="1"/>
  <c r="X528" i="17"/>
  <c r="Q470" i="17"/>
  <c r="U470" i="17" s="1"/>
  <c r="X470" i="17"/>
  <c r="Q67" i="17"/>
  <c r="U67" i="17" s="1"/>
  <c r="X67" i="17"/>
  <c r="Q463" i="17"/>
  <c r="U463" i="17" s="1"/>
  <c r="X463" i="17"/>
  <c r="Q27" i="17"/>
  <c r="U27" i="17" s="1"/>
  <c r="X27" i="17"/>
  <c r="R209" i="17"/>
  <c r="S209" i="17" s="1"/>
  <c r="Y209" i="17"/>
  <c r="Q224" i="17"/>
  <c r="U224" i="17" s="1"/>
  <c r="X224" i="17"/>
  <c r="R574" i="17"/>
  <c r="S574" i="17" s="1"/>
  <c r="Y574" i="17"/>
  <c r="Q481" i="17"/>
  <c r="U481" i="17" s="1"/>
  <c r="X481" i="17"/>
  <c r="X34" i="17"/>
  <c r="Q34" i="17"/>
  <c r="U34" i="17" s="1"/>
  <c r="Q197" i="17"/>
  <c r="U197" i="17" s="1"/>
  <c r="X197" i="17"/>
  <c r="R239" i="17"/>
  <c r="S239" i="17" s="1"/>
  <c r="Y239" i="17"/>
  <c r="Q415" i="17"/>
  <c r="U415" i="17" s="1"/>
  <c r="X415" i="17"/>
  <c r="X546" i="17"/>
  <c r="Q546" i="17"/>
  <c r="U546" i="17" s="1"/>
  <c r="Q530" i="17"/>
  <c r="U530" i="17" s="1"/>
  <c r="X530" i="17"/>
  <c r="R430" i="17"/>
  <c r="S430" i="17" s="1"/>
  <c r="Y430" i="17"/>
  <c r="R358" i="17"/>
  <c r="S358" i="17" s="1"/>
  <c r="Y358" i="17"/>
  <c r="Q168" i="17"/>
  <c r="U168" i="17" s="1"/>
  <c r="X168" i="17"/>
  <c r="R583" i="17"/>
  <c r="S583" i="17" s="1"/>
  <c r="Y583" i="17"/>
  <c r="Q146" i="17"/>
  <c r="U146" i="17" s="1"/>
  <c r="X146" i="17"/>
  <c r="Q431" i="17"/>
  <c r="U431" i="17" s="1"/>
  <c r="X431" i="17"/>
  <c r="Q588" i="17"/>
  <c r="U588" i="17" s="1"/>
  <c r="X588" i="17"/>
  <c r="R440" i="17"/>
  <c r="S440" i="17" s="1"/>
  <c r="Y440" i="17"/>
  <c r="R388" i="17"/>
  <c r="S388" i="17" s="1"/>
  <c r="Y388" i="17"/>
  <c r="R610" i="17"/>
  <c r="S610" i="17" s="1"/>
  <c r="Y610" i="17"/>
  <c r="R540" i="17"/>
  <c r="S540" i="17" s="1"/>
  <c r="Y540" i="17"/>
  <c r="R215" i="17"/>
  <c r="S215" i="17" s="1"/>
  <c r="Y215" i="17"/>
  <c r="Q37" i="17"/>
  <c r="U37" i="17" s="1"/>
  <c r="X37" i="17"/>
  <c r="X523" i="17"/>
  <c r="Q523" i="17"/>
  <c r="U523" i="17" s="1"/>
  <c r="R85" i="17"/>
  <c r="S85" i="17" s="1"/>
  <c r="Y85" i="17"/>
  <c r="Q72" i="17"/>
  <c r="U72" i="17" s="1"/>
  <c r="X72" i="17"/>
  <c r="R248" i="17"/>
  <c r="S248" i="17" s="1"/>
  <c r="Y248" i="17"/>
  <c r="Q108" i="17"/>
  <c r="U108" i="17" s="1"/>
  <c r="X108" i="17"/>
  <c r="Q29" i="17"/>
  <c r="U29" i="17" s="1"/>
  <c r="X29" i="17"/>
  <c r="Q441" i="17"/>
  <c r="U441" i="17" s="1"/>
  <c r="X441" i="17"/>
  <c r="R550" i="17"/>
  <c r="S550" i="17" s="1"/>
  <c r="Y550" i="17"/>
  <c r="R515" i="17"/>
  <c r="S515" i="17" s="1"/>
  <c r="Y515" i="17"/>
  <c r="Q571" i="17"/>
  <c r="U571" i="17" s="1"/>
  <c r="X571" i="17"/>
  <c r="R126" i="17"/>
  <c r="S126" i="17" s="1"/>
  <c r="Y126" i="17"/>
  <c r="R187" i="17"/>
  <c r="S187" i="17" s="1"/>
  <c r="Y187" i="17"/>
  <c r="Q493" i="17"/>
  <c r="U493" i="17" s="1"/>
  <c r="X493" i="17"/>
  <c r="R121" i="17"/>
  <c r="S121" i="17" s="1"/>
  <c r="Y121" i="17"/>
  <c r="Q403" i="17"/>
  <c r="U403" i="17" s="1"/>
  <c r="X403" i="17"/>
  <c r="R109" i="17"/>
  <c r="S109" i="17" s="1"/>
  <c r="Y109" i="17"/>
  <c r="R52" i="17"/>
  <c r="S52" i="17" s="1"/>
  <c r="Y52" i="17"/>
  <c r="Q232" i="17"/>
  <c r="U232" i="17" s="1"/>
  <c r="X232" i="17"/>
  <c r="R204" i="17"/>
  <c r="S204" i="17" s="1"/>
  <c r="Y204" i="17"/>
  <c r="R309" i="17"/>
  <c r="S309" i="17" s="1"/>
  <c r="Y309" i="17"/>
  <c r="Q482" i="17"/>
  <c r="U482" i="17" s="1"/>
  <c r="X482" i="17"/>
  <c r="Q218" i="17"/>
  <c r="U218" i="17" s="1"/>
  <c r="X218" i="17"/>
  <c r="R586" i="17"/>
  <c r="S586" i="17" s="1"/>
  <c r="Y586" i="17"/>
  <c r="Y72" i="17"/>
  <c r="X279" i="17"/>
  <c r="X343" i="17"/>
  <c r="X604" i="17"/>
  <c r="Y78" i="17"/>
  <c r="X59" i="17"/>
  <c r="Y481" i="17"/>
  <c r="Y88" i="17"/>
  <c r="Y576" i="17"/>
  <c r="X601" i="17"/>
  <c r="Y611" i="17"/>
  <c r="X239" i="17"/>
  <c r="X373" i="17"/>
  <c r="X388" i="17"/>
  <c r="X334" i="17"/>
  <c r="Y492" i="17"/>
  <c r="Y509" i="17"/>
  <c r="X92" i="17"/>
  <c r="X75" i="17"/>
  <c r="X400" i="17"/>
  <c r="X317" i="17"/>
  <c r="X260" i="17"/>
  <c r="R386" i="17"/>
  <c r="S386" i="17" s="1"/>
  <c r="Q162" i="17"/>
  <c r="U162" i="17" s="1"/>
  <c r="Q395" i="17"/>
  <c r="U395" i="17" s="1"/>
  <c r="X395" i="17"/>
  <c r="X529" i="17"/>
  <c r="Q529" i="17"/>
  <c r="U529" i="17" s="1"/>
  <c r="Y226" i="17"/>
  <c r="R226" i="17"/>
  <c r="S226" i="17" s="1"/>
  <c r="R197" i="17"/>
  <c r="S197" i="17" s="1"/>
  <c r="Y197" i="17"/>
  <c r="Q180" i="17"/>
  <c r="U180" i="17" s="1"/>
  <c r="X180" i="17"/>
  <c r="Y348" i="17"/>
  <c r="R348" i="17"/>
  <c r="S348" i="17" s="1"/>
  <c r="Q508" i="17"/>
  <c r="U508" i="17" s="1"/>
  <c r="X508" i="17"/>
  <c r="Q322" i="17"/>
  <c r="U322" i="17" s="1"/>
  <c r="X322" i="17"/>
  <c r="X294" i="17"/>
  <c r="Q294" i="17"/>
  <c r="U294" i="17" s="1"/>
  <c r="X359" i="17"/>
  <c r="Q359" i="17"/>
  <c r="U359" i="17" s="1"/>
  <c r="Y165" i="17"/>
  <c r="R165" i="17"/>
  <c r="S165" i="17" s="1"/>
  <c r="X420" i="17"/>
  <c r="Q420" i="17"/>
  <c r="U420" i="17" s="1"/>
  <c r="Q248" i="17"/>
  <c r="U248" i="17" s="1"/>
  <c r="X248" i="17"/>
  <c r="Q390" i="17"/>
  <c r="U390" i="17" s="1"/>
  <c r="X390" i="17"/>
  <c r="Y176" i="17"/>
  <c r="R176" i="17"/>
  <c r="S176" i="17" s="1"/>
  <c r="Y159" i="17"/>
  <c r="R159" i="17"/>
  <c r="S159" i="17" s="1"/>
  <c r="R133" i="17"/>
  <c r="S133" i="17" s="1"/>
  <c r="Y133" i="17"/>
  <c r="X136" i="17"/>
  <c r="Q136" i="17"/>
  <c r="U136" i="17" s="1"/>
  <c r="X284" i="17"/>
  <c r="Q284" i="17"/>
  <c r="U284" i="17" s="1"/>
  <c r="X358" i="17"/>
  <c r="Q358" i="17"/>
  <c r="U358" i="17" s="1"/>
  <c r="Y541" i="17"/>
  <c r="R541" i="17"/>
  <c r="S541" i="17" s="1"/>
  <c r="X512" i="17"/>
  <c r="Q512" i="17"/>
  <c r="U512" i="17" s="1"/>
  <c r="Y416" i="17"/>
  <c r="R416" i="17"/>
  <c r="S416" i="17" s="1"/>
  <c r="Y313" i="17"/>
  <c r="R313" i="17"/>
  <c r="S313" i="17" s="1"/>
  <c r="Y179" i="17"/>
  <c r="R179" i="17"/>
  <c r="S179" i="17" s="1"/>
  <c r="X100" i="17"/>
  <c r="Q100" i="17"/>
  <c r="U100" i="17" s="1"/>
  <c r="Y105" i="17"/>
  <c r="R105" i="17"/>
  <c r="S105" i="17" s="1"/>
  <c r="R324" i="17"/>
  <c r="S324" i="17" s="1"/>
  <c r="Y324" i="17"/>
  <c r="X498" i="17"/>
  <c r="Q498" i="17"/>
  <c r="U498" i="17" s="1"/>
  <c r="X516" i="17"/>
  <c r="Q516" i="17"/>
  <c r="U516" i="17" s="1"/>
  <c r="Y125" i="17"/>
  <c r="R125" i="17"/>
  <c r="S125" i="17" s="1"/>
  <c r="Y202" i="17"/>
  <c r="R202" i="17"/>
  <c r="S202" i="17" s="1"/>
  <c r="X459" i="17"/>
  <c r="Q459" i="17"/>
  <c r="U459" i="17" s="1"/>
  <c r="Q349" i="17"/>
  <c r="U349" i="17" s="1"/>
  <c r="X349" i="17"/>
  <c r="Q489" i="17"/>
  <c r="U489" i="17" s="1"/>
  <c r="X489" i="17"/>
  <c r="Y604" i="17"/>
  <c r="R604" i="17"/>
  <c r="S604" i="17" s="1"/>
  <c r="Q198" i="17"/>
  <c r="U198" i="17" s="1"/>
  <c r="X198" i="17"/>
  <c r="Q432" i="17"/>
  <c r="U432" i="17" s="1"/>
  <c r="X432" i="17"/>
  <c r="Y506" i="17"/>
  <c r="R506" i="17"/>
  <c r="S506" i="17" s="1"/>
  <c r="Q598" i="17"/>
  <c r="U598" i="17" s="1"/>
  <c r="X598" i="17"/>
  <c r="Q241" i="17"/>
  <c r="U241" i="17" s="1"/>
  <c r="X241" i="17"/>
  <c r="Q506" i="17"/>
  <c r="U506" i="17" s="1"/>
  <c r="X506" i="17"/>
  <c r="X303" i="17"/>
  <c r="Q303" i="17"/>
  <c r="U303" i="17" s="1"/>
  <c r="Y387" i="17"/>
  <c r="R387" i="17"/>
  <c r="S387" i="17" s="1"/>
  <c r="Y185" i="17"/>
  <c r="R185" i="17"/>
  <c r="S185" i="17" s="1"/>
  <c r="Y128" i="17"/>
  <c r="R128" i="17"/>
  <c r="S128" i="17" s="1"/>
  <c r="R351" i="17"/>
  <c r="S351" i="17" s="1"/>
  <c r="Y351" i="17"/>
  <c r="Q575" i="17"/>
  <c r="U575" i="17" s="1"/>
  <c r="X575" i="17"/>
  <c r="Q126" i="17"/>
  <c r="U126" i="17" s="1"/>
  <c r="X126" i="17"/>
  <c r="Q254" i="17"/>
  <c r="U254" i="17" s="1"/>
  <c r="X254" i="17"/>
  <c r="Y392" i="17"/>
  <c r="R392" i="17"/>
  <c r="S392" i="17" s="1"/>
  <c r="X412" i="17"/>
  <c r="Q412" i="17"/>
  <c r="U412" i="17" s="1"/>
  <c r="X258" i="17"/>
  <c r="Q258" i="17"/>
  <c r="U258" i="17" s="1"/>
  <c r="R113" i="17"/>
  <c r="S113" i="17" s="1"/>
  <c r="Y113" i="17"/>
  <c r="Q447" i="17"/>
  <c r="U447" i="17" s="1"/>
  <c r="X447" i="17"/>
  <c r="Q251" i="17"/>
  <c r="U251" i="17" s="1"/>
  <c r="X251" i="17"/>
  <c r="Q551" i="17"/>
  <c r="U551" i="17" s="1"/>
  <c r="X551" i="17"/>
  <c r="Y193" i="17"/>
  <c r="R193" i="17"/>
  <c r="S193" i="17" s="1"/>
  <c r="Y198" i="17"/>
  <c r="R198" i="17"/>
  <c r="S198" i="17" s="1"/>
  <c r="X532" i="17"/>
  <c r="Q532" i="17"/>
  <c r="U532" i="17" s="1"/>
  <c r="X64" i="17"/>
  <c r="Q64" i="17"/>
  <c r="U64" i="17" s="1"/>
  <c r="X97" i="17"/>
  <c r="Q97" i="17"/>
  <c r="U97" i="17" s="1"/>
  <c r="Q155" i="17"/>
  <c r="U155" i="17" s="1"/>
  <c r="X155" i="17"/>
  <c r="X20" i="17"/>
  <c r="Q20" i="17"/>
  <c r="U20" i="17" s="1"/>
  <c r="Y73" i="17"/>
  <c r="R73" i="17"/>
  <c r="S73" i="17" s="1"/>
  <c r="R544" i="17"/>
  <c r="S544" i="17" s="1"/>
  <c r="Y544" i="17"/>
  <c r="Y571" i="17"/>
  <c r="R571" i="17"/>
  <c r="S571" i="17" s="1"/>
  <c r="X246" i="17"/>
  <c r="Q246" i="17"/>
  <c r="U246" i="17" s="1"/>
  <c r="X125" i="17"/>
  <c r="Q125" i="17"/>
  <c r="U125" i="17" s="1"/>
  <c r="R218" i="17"/>
  <c r="S218" i="17" s="1"/>
  <c r="Y218" i="17"/>
  <c r="X515" i="17"/>
  <c r="Q515" i="17"/>
  <c r="U515" i="17" s="1"/>
  <c r="Q540" i="17"/>
  <c r="U540" i="17" s="1"/>
  <c r="X540" i="17"/>
  <c r="R391" i="17"/>
  <c r="S391" i="17" s="1"/>
  <c r="Y391" i="17"/>
  <c r="R71" i="17"/>
  <c r="S71" i="17" s="1"/>
  <c r="Y71" i="17"/>
  <c r="X149" i="17"/>
  <c r="Q149" i="17"/>
  <c r="U149" i="17" s="1"/>
  <c r="R223" i="17"/>
  <c r="S223" i="17" s="1"/>
  <c r="Y223" i="17"/>
  <c r="X187" i="17"/>
  <c r="Q187" i="17"/>
  <c r="U187" i="17" s="1"/>
  <c r="Q549" i="17"/>
  <c r="U549" i="17" s="1"/>
  <c r="X549" i="17"/>
  <c r="R216" i="17"/>
  <c r="S216" i="17" s="1"/>
  <c r="Y216" i="17"/>
  <c r="R194" i="17"/>
  <c r="S194" i="17" s="1"/>
  <c r="Y194" i="17"/>
  <c r="X337" i="17"/>
  <c r="Q337" i="17"/>
  <c r="U337" i="17" s="1"/>
  <c r="Y456" i="17"/>
  <c r="R456" i="17"/>
  <c r="S456" i="17" s="1"/>
  <c r="X341" i="17"/>
  <c r="Q341" i="17"/>
  <c r="U341" i="17" s="1"/>
  <c r="Y539" i="17"/>
  <c r="R539" i="17"/>
  <c r="S539" i="17" s="1"/>
  <c r="Y556" i="17"/>
  <c r="Y424" i="17"/>
  <c r="Y153" i="17"/>
  <c r="X536" i="17"/>
  <c r="Y594" i="17"/>
  <c r="Y307" i="17"/>
  <c r="Y188" i="17"/>
  <c r="Y220" i="17"/>
  <c r="X570" i="17"/>
  <c r="Y585" i="17"/>
  <c r="X396" i="17"/>
  <c r="X386" i="17"/>
  <c r="X272" i="17"/>
  <c r="Y548" i="17"/>
  <c r="Y280" i="17"/>
  <c r="X603" i="17"/>
  <c r="Y191" i="17"/>
  <c r="X495" i="17"/>
  <c r="Q50" i="17"/>
  <c r="U50" i="17" s="1"/>
  <c r="Q186" i="17"/>
  <c r="U186" i="17" s="1"/>
  <c r="R69" i="17"/>
  <c r="S69" i="17" s="1"/>
  <c r="Q94" i="17"/>
  <c r="U94" i="17" s="1"/>
  <c r="R301" i="17"/>
  <c r="S301" i="17" s="1"/>
  <c r="Q542" i="17"/>
  <c r="U542" i="17" s="1"/>
  <c r="Y186" i="17"/>
  <c r="R186" i="17"/>
  <c r="S186" i="17" s="1"/>
  <c r="R154" i="17"/>
  <c r="S154" i="17" s="1"/>
  <c r="Y154" i="17"/>
  <c r="Q464" i="17"/>
  <c r="U464" i="17" s="1"/>
  <c r="X464" i="17"/>
  <c r="Y468" i="17"/>
  <c r="R468" i="17"/>
  <c r="S468" i="17" s="1"/>
  <c r="Y145" i="17"/>
  <c r="R145" i="17"/>
  <c r="S145" i="17" s="1"/>
  <c r="R291" i="17"/>
  <c r="S291" i="17" s="1"/>
  <c r="Y291" i="17"/>
  <c r="Q331" i="17"/>
  <c r="U331" i="17" s="1"/>
  <c r="X331" i="17"/>
  <c r="Q324" i="17"/>
  <c r="U324" i="17" s="1"/>
  <c r="X324" i="17"/>
  <c r="Y341" i="17"/>
  <c r="X429" i="17"/>
  <c r="Y338" i="17"/>
  <c r="X379" i="17"/>
  <c r="X98" i="17"/>
  <c r="Q63" i="17"/>
  <c r="U63" i="17" s="1"/>
  <c r="Q23" i="17"/>
  <c r="U23" i="17" s="1"/>
  <c r="R180" i="17"/>
  <c r="S180" i="17" s="1"/>
  <c r="Q563" i="17"/>
  <c r="U563" i="17" s="1"/>
  <c r="R60" i="17"/>
  <c r="S60" i="17" s="1"/>
  <c r="Q600" i="17"/>
  <c r="U600" i="17" s="1"/>
  <c r="X51" i="17"/>
  <c r="Q51" i="17"/>
  <c r="U51" i="17" s="1"/>
  <c r="R452" i="17"/>
  <c r="S452" i="17" s="1"/>
  <c r="Y452" i="17"/>
  <c r="Y520" i="17"/>
  <c r="R520" i="17"/>
  <c r="S520" i="17" s="1"/>
  <c r="R303" i="17"/>
  <c r="S303" i="17" s="1"/>
  <c r="Y303" i="17"/>
  <c r="R377" i="17"/>
  <c r="S377" i="17" s="1"/>
  <c r="Y377" i="17"/>
  <c r="R475" i="17"/>
  <c r="S475" i="17" s="1"/>
  <c r="Y475" i="17"/>
  <c r="R410" i="17"/>
  <c r="S410" i="17" s="1"/>
  <c r="Y410" i="17"/>
  <c r="X293" i="17"/>
  <c r="Q293" i="17"/>
  <c r="AD292" i="17" s="1"/>
  <c r="AE292" i="17" s="1"/>
  <c r="R525" i="17"/>
  <c r="S525" i="17" s="1"/>
  <c r="Y525" i="17"/>
  <c r="R251" i="17"/>
  <c r="S251" i="17" s="1"/>
  <c r="Y251" i="17"/>
  <c r="R461" i="17"/>
  <c r="S461" i="17" s="1"/>
  <c r="Y461" i="17"/>
  <c r="Q360" i="17"/>
  <c r="U360" i="17" s="1"/>
  <c r="X360" i="17"/>
  <c r="Q118" i="17"/>
  <c r="U118" i="17" s="1"/>
  <c r="X118" i="17"/>
  <c r="Q413" i="17"/>
  <c r="U413" i="17" s="1"/>
  <c r="X413" i="17"/>
  <c r="R47" i="17"/>
  <c r="S47" i="17" s="1"/>
  <c r="Y47" i="17"/>
  <c r="R140" i="17"/>
  <c r="S140" i="17" s="1"/>
  <c r="Y140" i="17"/>
  <c r="R271" i="17"/>
  <c r="S271" i="17" s="1"/>
  <c r="Y271" i="17"/>
  <c r="R282" i="17"/>
  <c r="S282" i="17" s="1"/>
  <c r="Y282" i="17"/>
  <c r="R245" i="17"/>
  <c r="S245" i="17" s="1"/>
  <c r="Y245" i="17"/>
  <c r="Y442" i="17"/>
  <c r="R442" i="17"/>
  <c r="S442" i="17" s="1"/>
  <c r="Q105" i="17"/>
  <c r="U105" i="17" s="1"/>
  <c r="X105" i="17"/>
  <c r="X608" i="17"/>
  <c r="Q608" i="17"/>
  <c r="U608" i="17" s="1"/>
  <c r="R190" i="17"/>
  <c r="S190" i="17" s="1"/>
  <c r="Y190" i="17"/>
  <c r="X205" i="17"/>
  <c r="Q205" i="17"/>
  <c r="U205" i="17" s="1"/>
  <c r="Y428" i="17"/>
  <c r="R428" i="17"/>
  <c r="S428" i="17" s="1"/>
  <c r="X565" i="17"/>
  <c r="Q565" i="17"/>
  <c r="U565" i="17" s="1"/>
  <c r="X89" i="17"/>
  <c r="Q89" i="17"/>
  <c r="U89" i="17" s="1"/>
  <c r="X185" i="17"/>
  <c r="Q185" i="17"/>
  <c r="U185" i="17" s="1"/>
  <c r="Q474" i="17"/>
  <c r="U474" i="17" s="1"/>
  <c r="X474" i="17"/>
  <c r="X554" i="17"/>
  <c r="Q554" i="17"/>
  <c r="U554" i="17" s="1"/>
  <c r="X33" i="17"/>
  <c r="Q33" i="17"/>
  <c r="U33" i="17" s="1"/>
  <c r="X626" i="17"/>
  <c r="Q626" i="17"/>
  <c r="D636" i="17" s="1"/>
  <c r="Q559" i="17"/>
  <c r="U559" i="17" s="1"/>
  <c r="X559" i="17"/>
  <c r="R622" i="17"/>
  <c r="S622" i="17" s="1"/>
  <c r="Y622" i="17"/>
  <c r="Y432" i="17"/>
  <c r="R432" i="17"/>
  <c r="S432" i="17" s="1"/>
  <c r="Q259" i="17"/>
  <c r="U259" i="17" s="1"/>
  <c r="X259" i="17"/>
  <c r="Q30" i="17"/>
  <c r="U30" i="17" s="1"/>
  <c r="X30" i="17"/>
  <c r="R363" i="17"/>
  <c r="S363" i="17" s="1"/>
  <c r="Y363" i="17"/>
  <c r="Y349" i="17"/>
  <c r="Y265" i="17"/>
  <c r="Y427" i="17"/>
  <c r="Y234" i="17"/>
  <c r="X607" i="17"/>
  <c r="Y296" i="17"/>
  <c r="Y17" i="17"/>
  <c r="X383" i="17"/>
  <c r="Y203" i="17"/>
  <c r="Q76" i="17"/>
  <c r="U76" i="17" s="1"/>
  <c r="R398" i="17"/>
  <c r="S398" i="17" s="1"/>
  <c r="Q139" i="17"/>
  <c r="U139" i="17" s="1"/>
  <c r="R284" i="17"/>
  <c r="S284" i="17" s="1"/>
  <c r="R390" i="17"/>
  <c r="S390" i="17" s="1"/>
  <c r="X308" i="17"/>
  <c r="Q308" i="17"/>
  <c r="U308" i="17" s="1"/>
  <c r="Q223" i="17"/>
  <c r="U223" i="17" s="1"/>
  <c r="X223" i="17"/>
  <c r="X564" i="17"/>
  <c r="Q564" i="17"/>
  <c r="U564" i="17" s="1"/>
  <c r="Q409" i="17"/>
  <c r="U409" i="17" s="1"/>
  <c r="X409" i="17"/>
  <c r="Y132" i="17"/>
  <c r="R132" i="17"/>
  <c r="S132" i="17" s="1"/>
  <c r="R319" i="17"/>
  <c r="S319" i="17" s="1"/>
  <c r="Y319" i="17"/>
  <c r="R557" i="17"/>
  <c r="S557" i="17" s="1"/>
  <c r="Y557" i="17"/>
  <c r="R246" i="17"/>
  <c r="S246" i="17" s="1"/>
  <c r="Y246" i="17"/>
  <c r="Y61" i="17"/>
  <c r="R61" i="17"/>
  <c r="S61" i="17" s="1"/>
  <c r="Y158" i="17"/>
  <c r="R158" i="17"/>
  <c r="S158" i="17" s="1"/>
  <c r="X39" i="17"/>
  <c r="X442" i="17"/>
  <c r="Y493" i="17"/>
  <c r="X437" i="17"/>
  <c r="Y595" i="17"/>
  <c r="X468" i="17"/>
  <c r="Y613" i="17"/>
  <c r="X299" i="17"/>
  <c r="X483" i="17"/>
  <c r="X578" i="17"/>
  <c r="Y117" i="17"/>
  <c r="Y399" i="17"/>
  <c r="Q25" i="17"/>
  <c r="U25" i="17" s="1"/>
  <c r="R270" i="17"/>
  <c r="S270" i="17" s="1"/>
  <c r="R110" i="17"/>
  <c r="S110" i="17" s="1"/>
  <c r="R277" i="17"/>
  <c r="S277" i="17" s="1"/>
  <c r="Q405" i="17"/>
  <c r="U405" i="17" s="1"/>
  <c r="R536" i="17"/>
  <c r="S536" i="17" s="1"/>
  <c r="R350" i="17"/>
  <c r="S350" i="17" s="1"/>
  <c r="Y599" i="17"/>
  <c r="X229" i="17"/>
  <c r="Y542" i="17"/>
  <c r="X282" i="17"/>
  <c r="X466" i="17"/>
  <c r="Y437" i="17"/>
  <c r="X424" i="17"/>
  <c r="X613" i="17"/>
  <c r="Y590" i="17"/>
  <c r="X203" i="17"/>
  <c r="X416" i="17"/>
  <c r="R333" i="17"/>
  <c r="S333" i="17" s="1"/>
  <c r="X490" i="17"/>
  <c r="X57" i="17"/>
  <c r="Q57" i="17"/>
  <c r="U57" i="17" s="1"/>
  <c r="Y579" i="17"/>
  <c r="R579" i="17"/>
  <c r="S579" i="17" s="1"/>
  <c r="X148" i="17"/>
  <c r="Q148" i="17"/>
  <c r="U148" i="17" s="1"/>
  <c r="R274" i="17"/>
  <c r="S274" i="17" s="1"/>
  <c r="Y274" i="17"/>
  <c r="R531" i="17"/>
  <c r="S531" i="17" s="1"/>
  <c r="Y531" i="17"/>
  <c r="X46" i="17"/>
  <c r="Q46" i="17"/>
  <c r="U46" i="17" s="1"/>
  <c r="Q522" i="17"/>
  <c r="U522" i="17" s="1"/>
  <c r="X522" i="17"/>
  <c r="R210" i="17"/>
  <c r="S210" i="17" s="1"/>
  <c r="Y210" i="17"/>
  <c r="R591" i="17"/>
  <c r="S591" i="17" s="1"/>
  <c r="Y591" i="17"/>
  <c r="Y413" i="17"/>
  <c r="R413" i="17"/>
  <c r="S413" i="17" s="1"/>
  <c r="Y42" i="17"/>
  <c r="R42" i="17"/>
  <c r="S42" i="17" s="1"/>
  <c r="R221" i="17"/>
  <c r="S221" i="17" s="1"/>
  <c r="Y221" i="17"/>
  <c r="Q480" i="17"/>
  <c r="U480" i="17" s="1"/>
  <c r="X480" i="17"/>
  <c r="X545" i="17"/>
  <c r="Q545" i="17"/>
  <c r="U545" i="17" s="1"/>
  <c r="X553" i="17"/>
  <c r="Q553" i="17"/>
  <c r="U553" i="17" s="1"/>
  <c r="X264" i="17"/>
  <c r="Q264" i="17"/>
  <c r="U264" i="17" s="1"/>
  <c r="Y243" i="17"/>
  <c r="R243" i="17"/>
  <c r="S243" i="17" s="1"/>
  <c r="Q80" i="17"/>
  <c r="U80" i="17" s="1"/>
  <c r="X80" i="17"/>
  <c r="R357" i="17"/>
  <c r="S357" i="17" s="1"/>
  <c r="Y357" i="17"/>
  <c r="Y403" i="17"/>
  <c r="R403" i="17"/>
  <c r="S403" i="17" s="1"/>
  <c r="R365" i="17"/>
  <c r="S365" i="17" s="1"/>
  <c r="Y365" i="17"/>
  <c r="Q84" i="17"/>
  <c r="U84" i="17" s="1"/>
  <c r="X84" i="17"/>
  <c r="R469" i="17"/>
  <c r="S469" i="17" s="1"/>
  <c r="Y469" i="17"/>
  <c r="Y474" i="17"/>
  <c r="R474" i="17"/>
  <c r="S474" i="17" s="1"/>
  <c r="R486" i="17"/>
  <c r="S486" i="17" s="1"/>
  <c r="Y486" i="17"/>
  <c r="R207" i="17"/>
  <c r="S207" i="17" s="1"/>
  <c r="Y207" i="17"/>
  <c r="R79" i="17"/>
  <c r="S79" i="17" s="1"/>
  <c r="Y79" i="17"/>
  <c r="Q479" i="17"/>
  <c r="U479" i="17" s="1"/>
  <c r="X479" i="17"/>
  <c r="Q178" i="17"/>
  <c r="U178" i="17" s="1"/>
  <c r="X178" i="17"/>
  <c r="Y566" i="17"/>
  <c r="R566" i="17"/>
  <c r="S566" i="17" s="1"/>
  <c r="X13" i="17"/>
  <c r="X71" i="17"/>
  <c r="Y92" i="17"/>
  <c r="X507" i="17"/>
  <c r="X87" i="17"/>
  <c r="Y247" i="17"/>
  <c r="X231" i="17"/>
  <c r="Y408" i="17"/>
  <c r="X446" i="17"/>
  <c r="X206" i="17"/>
  <c r="Y450" i="17"/>
  <c r="Y278" i="17"/>
  <c r="Y268" i="17"/>
  <c r="Y83" i="17"/>
  <c r="X421" i="17"/>
  <c r="X280" i="17"/>
  <c r="Y211" i="17"/>
  <c r="Y373" i="17"/>
  <c r="Y18" i="17"/>
  <c r="X156" i="17"/>
  <c r="X220" i="17"/>
  <c r="X62" i="17"/>
  <c r="Y340" i="17"/>
  <c r="Y232" i="17"/>
  <c r="Y267" i="17"/>
  <c r="X107" i="17"/>
  <c r="Y543" i="17"/>
  <c r="X457" i="17"/>
  <c r="X384" i="17"/>
  <c r="Y606" i="17"/>
  <c r="X557" i="17"/>
  <c r="Q347" i="17"/>
  <c r="U347" i="17" s="1"/>
  <c r="R58" i="17"/>
  <c r="S58" i="17" s="1"/>
  <c r="R327" i="17"/>
  <c r="S327" i="17" s="1"/>
  <c r="Q543" i="17"/>
  <c r="U543" i="17" s="1"/>
  <c r="Q31" i="17"/>
  <c r="U31" i="17" s="1"/>
  <c r="R136" i="17"/>
  <c r="S136" i="17" s="1"/>
  <c r="Q287" i="17"/>
  <c r="U287" i="17" s="1"/>
  <c r="Q262" i="17"/>
  <c r="U262" i="17" s="1"/>
  <c r="Q372" i="17"/>
  <c r="U372" i="17" s="1"/>
  <c r="Q430" i="17"/>
  <c r="U430" i="17" s="1"/>
  <c r="R502" i="17"/>
  <c r="S502" i="17" s="1"/>
  <c r="Q249" i="17"/>
  <c r="U249" i="17" s="1"/>
  <c r="R82" i="17"/>
  <c r="S82" i="17" s="1"/>
  <c r="Q399" i="17"/>
  <c r="U399" i="17" s="1"/>
  <c r="R521" i="17"/>
  <c r="S521" i="17" s="1"/>
  <c r="Q157" i="17"/>
  <c r="U157" i="17" s="1"/>
  <c r="Q160" i="17"/>
  <c r="U160" i="17" s="1"/>
  <c r="R567" i="17"/>
  <c r="S567" i="17" s="1"/>
  <c r="Y70" i="17"/>
  <c r="R70" i="17"/>
  <c r="S70" i="17" s="1"/>
  <c r="R505" i="17"/>
  <c r="S505" i="17" s="1"/>
  <c r="Y505" i="17"/>
  <c r="X606" i="17"/>
  <c r="Q606" i="17"/>
  <c r="U606" i="17" s="1"/>
  <c r="Y205" i="17"/>
  <c r="R205" i="17"/>
  <c r="S205" i="17" s="1"/>
  <c r="Q582" i="17"/>
  <c r="U582" i="17" s="1"/>
  <c r="X582" i="17"/>
  <c r="Q596" i="17"/>
  <c r="U596" i="17" s="1"/>
  <c r="X596" i="17"/>
  <c r="Q496" i="17"/>
  <c r="U496" i="17" s="1"/>
  <c r="X496" i="17"/>
  <c r="X558" i="17"/>
  <c r="Q558" i="17"/>
  <c r="U558" i="17" s="1"/>
  <c r="Q66" i="17"/>
  <c r="U66" i="17" s="1"/>
  <c r="X66" i="17"/>
  <c r="Y573" i="17"/>
  <c r="R573" i="17"/>
  <c r="S573" i="17" s="1"/>
  <c r="Q226" i="17"/>
  <c r="U226" i="17" s="1"/>
  <c r="X226" i="17"/>
  <c r="Y249" i="17"/>
  <c r="R249" i="17"/>
  <c r="S249" i="17" s="1"/>
  <c r="R256" i="17"/>
  <c r="S256" i="17" s="1"/>
  <c r="Y256" i="17"/>
  <c r="X524" i="17"/>
  <c r="Q524" i="17"/>
  <c r="U524" i="17" s="1"/>
  <c r="X375" i="17"/>
  <c r="Q375" i="17"/>
  <c r="U375" i="17" s="1"/>
  <c r="Y119" i="17"/>
  <c r="R119" i="17"/>
  <c r="S119" i="17" s="1"/>
  <c r="Q275" i="17"/>
  <c r="U275" i="17" s="1"/>
  <c r="X275" i="17"/>
  <c r="Q143" i="17"/>
  <c r="U143" i="17" s="1"/>
  <c r="X143" i="17"/>
  <c r="Y94" i="17"/>
  <c r="R94" i="17"/>
  <c r="S94" i="17" s="1"/>
  <c r="X192" i="17"/>
  <c r="Q192" i="17"/>
  <c r="U192" i="17" s="1"/>
  <c r="R112" i="17"/>
  <c r="S112" i="17" s="1"/>
  <c r="Y112" i="17"/>
  <c r="Y28" i="17"/>
  <c r="X238" i="17"/>
  <c r="Y300" i="17"/>
  <c r="X357" i="17"/>
  <c r="X452" i="17"/>
  <c r="Y364" i="17"/>
  <c r="X77" i="17"/>
  <c r="Y473" i="17"/>
  <c r="Y409" i="17"/>
  <c r="Y29" i="17"/>
  <c r="X514" i="17"/>
  <c r="Y368" i="17"/>
  <c r="Y343" i="17"/>
  <c r="Y170" i="17"/>
  <c r="Y141" i="17"/>
  <c r="Y589" i="17"/>
  <c r="Y286" i="17"/>
  <c r="X397" i="17"/>
  <c r="Y258" i="17"/>
  <c r="X16" i="17"/>
  <c r="Y568" i="17"/>
  <c r="Y383" i="17"/>
  <c r="X589" i="17"/>
  <c r="X583" i="17"/>
  <c r="Q48" i="17"/>
  <c r="U48" i="17" s="1"/>
  <c r="Q202" i="17"/>
  <c r="U202" i="17" s="1"/>
  <c r="Q428" i="17"/>
  <c r="U428" i="17" s="1"/>
  <c r="Q243" i="17"/>
  <c r="U243" i="17" s="1"/>
  <c r="R464" i="17"/>
  <c r="S464" i="17" s="1"/>
  <c r="R321" i="17"/>
  <c r="S321" i="17" s="1"/>
  <c r="Q544" i="17"/>
  <c r="U544" i="17" s="1"/>
  <c r="R379" i="17"/>
  <c r="S379" i="17" s="1"/>
  <c r="R470" i="17"/>
  <c r="S470" i="17" s="1"/>
  <c r="R477" i="17"/>
  <c r="S477" i="17" s="1"/>
  <c r="R181" i="17"/>
  <c r="S181" i="17" s="1"/>
  <c r="R496" i="17"/>
  <c r="S496" i="17" s="1"/>
  <c r="R538" i="17"/>
  <c r="S538" i="17" s="1"/>
  <c r="Y330" i="17"/>
  <c r="R330" i="17"/>
  <c r="S330" i="17" s="1"/>
  <c r="Y462" i="17"/>
  <c r="R462" i="17"/>
  <c r="S462" i="17" s="1"/>
  <c r="R396" i="17"/>
  <c r="S396" i="17" s="1"/>
  <c r="Y396" i="17"/>
  <c r="X462" i="17"/>
  <c r="Q462" i="17"/>
  <c r="U462" i="17" s="1"/>
  <c r="Q448" i="17"/>
  <c r="U448" i="17" s="1"/>
  <c r="X448" i="17"/>
  <c r="Y231" i="17"/>
  <c r="R231" i="17"/>
  <c r="S231" i="17" s="1"/>
  <c r="Q581" i="17"/>
  <c r="U581" i="17" s="1"/>
  <c r="X581" i="17"/>
  <c r="Y41" i="17"/>
  <c r="R41" i="17"/>
  <c r="S41" i="17" s="1"/>
  <c r="X450" i="17"/>
  <c r="Q450" i="17"/>
  <c r="U450" i="17" s="1"/>
  <c r="Q227" i="17"/>
  <c r="U227" i="17" s="1"/>
  <c r="X227" i="17"/>
  <c r="R173" i="17"/>
  <c r="S173" i="17" s="1"/>
  <c r="Y173" i="17"/>
  <c r="Q353" i="17"/>
  <c r="U353" i="17" s="1"/>
  <c r="X353" i="17"/>
  <c r="X436" i="17"/>
  <c r="Q436" i="17"/>
  <c r="U436" i="17" s="1"/>
  <c r="X142" i="17"/>
  <c r="Q142" i="17"/>
  <c r="U142" i="17" s="1"/>
  <c r="Q622" i="17"/>
  <c r="D632" i="17" s="1"/>
  <c r="X622" i="17"/>
  <c r="Y36" i="17"/>
  <c r="R36" i="17"/>
  <c r="S36" i="17" s="1"/>
  <c r="X370" i="17"/>
  <c r="Q370" i="17"/>
  <c r="U370" i="17" s="1"/>
  <c r="Y86" i="17"/>
  <c r="R86" i="17"/>
  <c r="S86" i="17" s="1"/>
  <c r="X527" i="17"/>
  <c r="Q527" i="17"/>
  <c r="U527" i="17" s="1"/>
  <c r="Y352" i="17"/>
  <c r="R352" i="17"/>
  <c r="S352" i="17" s="1"/>
  <c r="R254" i="17"/>
  <c r="S254" i="17" s="1"/>
  <c r="Y254" i="17"/>
  <c r="Y511" i="17"/>
  <c r="R511" i="17"/>
  <c r="S511" i="17" s="1"/>
  <c r="X346" i="17"/>
  <c r="Q346" i="17"/>
  <c r="U346" i="17" s="1"/>
  <c r="Q509" i="17"/>
  <c r="U509" i="17" s="1"/>
  <c r="X509" i="17"/>
  <c r="Y238" i="17"/>
  <c r="R238" i="17"/>
  <c r="S238" i="17" s="1"/>
  <c r="Y33" i="17"/>
  <c r="R33" i="17"/>
  <c r="S33" i="17" s="1"/>
  <c r="Y405" i="17"/>
  <c r="R405" i="17"/>
  <c r="S405" i="17" s="1"/>
  <c r="Y289" i="17"/>
  <c r="R289" i="17"/>
  <c r="S289" i="17" s="1"/>
  <c r="Y160" i="17"/>
  <c r="R160" i="17"/>
  <c r="S160" i="17" s="1"/>
  <c r="X96" i="17"/>
  <c r="Q96" i="17"/>
  <c r="U96" i="17" s="1"/>
  <c r="R65" i="17"/>
  <c r="S65" i="17" s="1"/>
  <c r="Y65" i="17"/>
  <c r="Y15" i="17"/>
  <c r="R15" i="17"/>
  <c r="S15" i="17" s="1"/>
  <c r="X594" i="17"/>
  <c r="X266" i="17"/>
  <c r="X434" i="17"/>
  <c r="X183" i="17"/>
  <c r="Y118" i="17"/>
  <c r="Y199" i="17"/>
  <c r="X562" i="17"/>
  <c r="X298" i="17"/>
  <c r="Y555" i="17"/>
  <c r="Y575" i="17"/>
  <c r="X361" i="17"/>
  <c r="X53" i="17"/>
  <c r="Y48" i="17"/>
  <c r="Y414" i="17"/>
  <c r="X22" i="17"/>
  <c r="Y59" i="17"/>
  <c r="X99" i="17"/>
  <c r="Y134" i="17"/>
  <c r="X501" i="17"/>
  <c r="Y407" i="17"/>
  <c r="Y55" i="17"/>
  <c r="X367" i="17"/>
  <c r="X177" i="17"/>
  <c r="X188" i="17"/>
  <c r="X406" i="17"/>
  <c r="Y564" i="17"/>
  <c r="X318" i="17"/>
  <c r="X69" i="17"/>
  <c r="X158" i="17"/>
  <c r="X518" i="17"/>
  <c r="X253" i="17"/>
  <c r="X288" i="17"/>
  <c r="X207" i="17"/>
  <c r="X113" i="17"/>
  <c r="X134" i="17"/>
  <c r="X520" i="17"/>
  <c r="Y177" i="17"/>
  <c r="X194" i="17"/>
  <c r="R161" i="17"/>
  <c r="S161" i="17" s="1"/>
  <c r="R273" i="17"/>
  <c r="S273" i="17" s="1"/>
  <c r="Q165" i="17"/>
  <c r="U165" i="17" s="1"/>
  <c r="R242" i="17"/>
  <c r="S242" i="17" s="1"/>
  <c r="R123" i="17"/>
  <c r="S123" i="17" s="1"/>
  <c r="Q445" i="17"/>
  <c r="U445" i="17" s="1"/>
  <c r="Q609" i="17"/>
  <c r="U609" i="17" s="1"/>
  <c r="Q193" i="17"/>
  <c r="U193" i="17" s="1"/>
  <c r="Q456" i="17"/>
  <c r="U456" i="17" s="1"/>
  <c r="Q587" i="17"/>
  <c r="U587" i="17" s="1"/>
  <c r="Q88" i="17"/>
  <c r="U88" i="17" s="1"/>
  <c r="R124" i="17"/>
  <c r="S124" i="17" s="1"/>
  <c r="R425" i="17"/>
  <c r="S425" i="17" s="1"/>
  <c r="R580" i="17"/>
  <c r="S580" i="17" s="1"/>
  <c r="R325" i="17"/>
  <c r="S325" i="17" s="1"/>
  <c r="Q28" i="17"/>
  <c r="U28" i="17" s="1"/>
  <c r="X28" i="17"/>
  <c r="Q104" i="17"/>
  <c r="U104" i="17" s="1"/>
  <c r="X104" i="17"/>
  <c r="Y304" i="17"/>
  <c r="R304" i="17"/>
  <c r="S304" i="17" s="1"/>
  <c r="Y360" i="17"/>
  <c r="R360" i="17"/>
  <c r="S360" i="17" s="1"/>
  <c r="Q378" i="17"/>
  <c r="U378" i="17" s="1"/>
  <c r="X378" i="17"/>
  <c r="Q103" i="17"/>
  <c r="U103" i="17" s="1"/>
  <c r="X103" i="17"/>
  <c r="R95" i="17"/>
  <c r="S95" i="17" s="1"/>
  <c r="Y95" i="17"/>
  <c r="X131" i="17"/>
  <c r="Q131" i="17"/>
  <c r="U131" i="17" s="1"/>
  <c r="R175" i="17"/>
  <c r="S175" i="17" s="1"/>
  <c r="Y175" i="17"/>
  <c r="X453" i="17"/>
  <c r="Q453" i="17"/>
  <c r="U453" i="17" s="1"/>
  <c r="Q404" i="17"/>
  <c r="U404" i="17" s="1"/>
  <c r="X404" i="17"/>
  <c r="R448" i="17"/>
  <c r="S448" i="17" s="1"/>
  <c r="Y448" i="17"/>
  <c r="R553" i="17"/>
  <c r="S553" i="17" s="1"/>
  <c r="Y553" i="17"/>
  <c r="R371" i="17"/>
  <c r="S371" i="17" s="1"/>
  <c r="Y371" i="17"/>
  <c r="X332" i="17"/>
  <c r="Q332" i="17"/>
  <c r="U332" i="17" s="1"/>
  <c r="R420" i="17"/>
  <c r="S420" i="17" s="1"/>
  <c r="Y420" i="17"/>
  <c r="Y514" i="17"/>
  <c r="R514" i="17"/>
  <c r="S514" i="17" s="1"/>
  <c r="R23" i="17"/>
  <c r="S23" i="17" s="1"/>
  <c r="Y23" i="17"/>
  <c r="Y143" i="17"/>
  <c r="R143" i="17"/>
  <c r="S143" i="17" s="1"/>
  <c r="R385" i="17"/>
  <c r="S385" i="17" s="1"/>
  <c r="Y385" i="17"/>
  <c r="Q451" i="17"/>
  <c r="U451" i="17" s="1"/>
  <c r="X451" i="17"/>
  <c r="Q276" i="17"/>
  <c r="U276" i="17" s="1"/>
  <c r="X276" i="17"/>
  <c r="Q342" i="17"/>
  <c r="U342" i="17" s="1"/>
  <c r="X342" i="17"/>
  <c r="Y533" i="17"/>
  <c r="R533" i="17"/>
  <c r="S533" i="17" s="1"/>
  <c r="R530" i="17"/>
  <c r="S530" i="17" s="1"/>
  <c r="Y530" i="17"/>
  <c r="Q305" i="17"/>
  <c r="U305" i="17" s="1"/>
  <c r="X305" i="17"/>
  <c r="Q328" i="17"/>
  <c r="U328" i="17" s="1"/>
  <c r="X328" i="17"/>
  <c r="Y64" i="17"/>
  <c r="R64" i="17"/>
  <c r="S64" i="17" s="1"/>
  <c r="R148" i="17"/>
  <c r="S148" i="17" s="1"/>
  <c r="Y148" i="17"/>
  <c r="R510" i="17"/>
  <c r="S510" i="17" s="1"/>
  <c r="Y510" i="17"/>
  <c r="X245" i="17"/>
  <c r="Q245" i="17"/>
  <c r="U245" i="17" s="1"/>
  <c r="X486" i="17"/>
  <c r="Q486" i="17"/>
  <c r="U486" i="17" s="1"/>
  <c r="Q556" i="17"/>
  <c r="U556" i="17" s="1"/>
  <c r="X556" i="17"/>
  <c r="Q519" i="17"/>
  <c r="U519" i="17" s="1"/>
  <c r="X519" i="17"/>
  <c r="X273" i="17"/>
  <c r="Q273" i="17"/>
  <c r="U273" i="17" s="1"/>
  <c r="Y336" i="17"/>
  <c r="R336" i="17"/>
  <c r="S336" i="17" s="1"/>
  <c r="R476" i="17"/>
  <c r="S476" i="17" s="1"/>
  <c r="Y476" i="17"/>
  <c r="Y626" i="17"/>
  <c r="R626" i="17"/>
  <c r="S626" i="17" s="1"/>
  <c r="R588" i="17"/>
  <c r="S588" i="17" s="1"/>
  <c r="Y588" i="17"/>
  <c r="R534" i="17"/>
  <c r="S534" i="17" s="1"/>
  <c r="Y534" i="17"/>
  <c r="Q510" i="17"/>
  <c r="U510" i="17" s="1"/>
  <c r="X510" i="17"/>
  <c r="Q382" i="17"/>
  <c r="U382" i="17" s="1"/>
  <c r="X382" i="17"/>
  <c r="R356" i="17"/>
  <c r="S356" i="17" s="1"/>
  <c r="Y356" i="17"/>
  <c r="Q228" i="17"/>
  <c r="U228" i="17" s="1"/>
  <c r="X228" i="17"/>
  <c r="Y478" i="17"/>
  <c r="R478" i="17"/>
  <c r="S478" i="17" s="1"/>
  <c r="Q170" i="17"/>
  <c r="U170" i="17" s="1"/>
  <c r="X170" i="17"/>
  <c r="R395" i="17"/>
  <c r="S395" i="17" s="1"/>
  <c r="Y395" i="17"/>
  <c r="Q547" i="17"/>
  <c r="U547" i="17" s="1"/>
  <c r="X547" i="17"/>
  <c r="R465" i="17"/>
  <c r="S465" i="17" s="1"/>
  <c r="Y465" i="17"/>
  <c r="Q106" i="17"/>
  <c r="U106" i="17" s="1"/>
  <c r="X106" i="17"/>
  <c r="Y593" i="17"/>
  <c r="R593" i="17"/>
  <c r="S593" i="17" s="1"/>
  <c r="R326" i="17"/>
  <c r="S326" i="17" s="1"/>
  <c r="Y326" i="17"/>
  <c r="Q176" i="17"/>
  <c r="U176" i="17" s="1"/>
  <c r="X176" i="17"/>
  <c r="R584" i="17"/>
  <c r="S584" i="17" s="1"/>
  <c r="Y584" i="17"/>
  <c r="Q296" i="17"/>
  <c r="U296" i="17" s="1"/>
  <c r="X296" i="17"/>
  <c r="X444" i="17"/>
  <c r="Q444" i="17"/>
  <c r="U444" i="17" s="1"/>
  <c r="X511" i="17"/>
  <c r="Q511" i="17"/>
  <c r="U511" i="17" s="1"/>
  <c r="R600" i="17"/>
  <c r="S600" i="17" s="1"/>
  <c r="Y600" i="17"/>
  <c r="R106" i="17"/>
  <c r="S106" i="17" s="1"/>
  <c r="Y106" i="17"/>
  <c r="Q54" i="17"/>
  <c r="U54" i="17" s="1"/>
  <c r="X54" i="17"/>
  <c r="Q61" i="17"/>
  <c r="U61" i="17" s="1"/>
  <c r="X61" i="17"/>
  <c r="Y447" i="17"/>
  <c r="R447" i="17"/>
  <c r="S447" i="17" s="1"/>
  <c r="X376" i="17"/>
  <c r="Q376" i="17"/>
  <c r="U376" i="17" s="1"/>
  <c r="X504" i="17"/>
  <c r="Q504" i="17"/>
  <c r="U504" i="17" s="1"/>
  <c r="R528" i="17"/>
  <c r="S528" i="17" s="1"/>
  <c r="Y528" i="17"/>
  <c r="Y582" i="17"/>
  <c r="R582" i="17"/>
  <c r="S582" i="17" s="1"/>
  <c r="X285" i="17"/>
  <c r="Q285" i="17"/>
  <c r="U285" i="17" s="1"/>
  <c r="X476" i="17"/>
  <c r="Q476" i="17"/>
  <c r="U476" i="17" s="1"/>
  <c r="Y435" i="17"/>
  <c r="R435" i="17"/>
  <c r="S435" i="17" s="1"/>
  <c r="Q117" i="17"/>
  <c r="AD116" i="17" s="1"/>
  <c r="AE116" i="17" s="1"/>
  <c r="X117" i="17"/>
  <c r="Y569" i="17"/>
  <c r="R569" i="17"/>
  <c r="S569" i="17" s="1"/>
  <c r="Y139" i="17"/>
  <c r="R139" i="17"/>
  <c r="S139" i="17" s="1"/>
  <c r="X60" i="17"/>
  <c r="Q60" i="17"/>
  <c r="U60" i="17" s="1"/>
  <c r="Q85" i="17"/>
  <c r="U85" i="17" s="1"/>
  <c r="X85" i="17"/>
  <c r="R76" i="17"/>
  <c r="S76" i="17" s="1"/>
  <c r="Y76" i="17"/>
  <c r="X17" i="17"/>
  <c r="Q17" i="17"/>
  <c r="U17" i="17" s="1"/>
  <c r="Y100" i="17"/>
  <c r="R100" i="17"/>
  <c r="S100" i="17" s="1"/>
  <c r="Y491" i="17"/>
  <c r="Y30" i="17"/>
  <c r="Y337" i="17"/>
  <c r="Y53" i="17"/>
  <c r="X201" i="17"/>
  <c r="X473" i="17"/>
  <c r="X133" i="17"/>
  <c r="Y27" i="17"/>
  <c r="X111" i="17"/>
  <c r="X309" i="17"/>
  <c r="X184" i="17"/>
  <c r="X83" i="17"/>
  <c r="X32" i="17"/>
  <c r="Y225" i="17"/>
  <c r="Y609" i="17"/>
  <c r="X150" i="17"/>
  <c r="X154" i="17"/>
  <c r="X340" i="17"/>
  <c r="Y412" i="17"/>
  <c r="Y285" i="17"/>
  <c r="Y89" i="17"/>
  <c r="Y598" i="17"/>
  <c r="Y120" i="17"/>
  <c r="Y374" i="17"/>
  <c r="X592" i="17"/>
  <c r="X112" i="17"/>
  <c r="Y320" i="17"/>
  <c r="X319" i="17"/>
  <c r="Y458" i="17"/>
  <c r="X255" i="17"/>
  <c r="Y150" i="17"/>
  <c r="Y241" i="17"/>
  <c r="Y532" i="17"/>
  <c r="Y381" i="17"/>
  <c r="Y322" i="17"/>
  <c r="R402" i="17"/>
  <c r="S402" i="17" s="1"/>
  <c r="R212" i="17"/>
  <c r="S212" i="17" s="1"/>
  <c r="Q210" i="17"/>
  <c r="U210" i="17" s="1"/>
  <c r="Q461" i="17"/>
  <c r="U461" i="17" s="1"/>
  <c r="R375" i="17"/>
  <c r="S375" i="17" s="1"/>
  <c r="R353" i="17"/>
  <c r="S353" i="17" s="1"/>
  <c r="Q216" i="17"/>
  <c r="U216" i="17" s="1"/>
  <c r="Q419" i="17"/>
  <c r="U419" i="17" s="1"/>
  <c r="R91" i="17"/>
  <c r="S91" i="17" s="1"/>
  <c r="Q119" i="17"/>
  <c r="U119" i="17" s="1"/>
  <c r="R290" i="17"/>
  <c r="S290" i="17" s="1"/>
  <c r="R168" i="17"/>
  <c r="S168" i="17" s="1"/>
  <c r="Q247" i="17"/>
  <c r="U247" i="17" s="1"/>
  <c r="R38" i="17"/>
  <c r="S38" i="17" s="1"/>
  <c r="R311" i="17"/>
  <c r="S311" i="17" s="1"/>
  <c r="R562" i="17"/>
  <c r="S562" i="17" s="1"/>
  <c r="R487" i="17"/>
  <c r="S487" i="17" s="1"/>
  <c r="R262" i="17"/>
  <c r="S262" i="17" s="1"/>
  <c r="Q141" i="17"/>
  <c r="U141" i="17" s="1"/>
  <c r="Q449" i="17"/>
  <c r="U449" i="17" s="1"/>
  <c r="X439" i="17"/>
  <c r="Y417" i="17"/>
  <c r="Y522" i="17"/>
  <c r="X302" i="17"/>
  <c r="X492" i="17"/>
  <c r="X291" i="17"/>
  <c r="Y39" i="17"/>
  <c r="Y519" i="17"/>
  <c r="X78" i="17"/>
  <c r="Y596" i="17"/>
  <c r="X533" i="17"/>
  <c r="Y317" i="17"/>
  <c r="Y501" i="17"/>
  <c r="X351" i="17"/>
  <c r="X325" i="17"/>
  <c r="X215" i="17"/>
  <c r="Q602" i="17"/>
  <c r="U602" i="17" s="1"/>
  <c r="Q19" i="17"/>
  <c r="U19" i="17" s="1"/>
  <c r="R287" i="17"/>
  <c r="S287" i="17" s="1"/>
  <c r="R612" i="17"/>
  <c r="S612" i="17" s="1"/>
  <c r="R587" i="17"/>
  <c r="S587" i="17" s="1"/>
  <c r="R293" i="17"/>
  <c r="S293" i="17" s="1"/>
  <c r="Q313" i="17"/>
  <c r="U313" i="17" s="1"/>
  <c r="R558" i="17"/>
  <c r="S558" i="17" s="1"/>
  <c r="R13" i="17"/>
  <c r="S13" i="17" s="1"/>
  <c r="Q127" i="17"/>
  <c r="U127" i="17" s="1"/>
  <c r="R240" i="17"/>
  <c r="S240" i="17" s="1"/>
  <c r="R183" i="17"/>
  <c r="S183" i="17" s="1"/>
  <c r="Q222" i="17"/>
  <c r="U222" i="17" s="1"/>
  <c r="Q339" i="17"/>
  <c r="U339" i="17" s="1"/>
  <c r="R554" i="17"/>
  <c r="S554" i="17" s="1"/>
  <c r="Q377" i="17"/>
  <c r="U377" i="17" s="1"/>
  <c r="Q611" i="17"/>
  <c r="U611" i="17" s="1"/>
  <c r="R122" i="17"/>
  <c r="S122" i="17" s="1"/>
  <c r="Q365" i="17"/>
  <c r="U365" i="17" s="1"/>
  <c r="Q257" i="17"/>
  <c r="U257" i="17" s="1"/>
  <c r="Y272" i="17"/>
  <c r="X491" i="17"/>
  <c r="Y523" i="17"/>
  <c r="X329" i="17"/>
  <c r="X418" i="17"/>
  <c r="Y603" i="17"/>
  <c r="Y499" i="17"/>
  <c r="Y545" i="17"/>
  <c r="Y439" i="17"/>
  <c r="Y389" i="17"/>
  <c r="X18" i="17"/>
  <c r="X374" i="17"/>
  <c r="Y157" i="17"/>
  <c r="Y66" i="17"/>
  <c r="X392" i="17"/>
  <c r="Y261" i="17"/>
  <c r="X230" i="17"/>
  <c r="X426" i="17"/>
  <c r="R378" i="17"/>
  <c r="S378" i="17" s="1"/>
  <c r="R142" i="17"/>
  <c r="S142" i="17" s="1"/>
  <c r="R129" i="17"/>
  <c r="S129" i="17" s="1"/>
  <c r="Q550" i="17"/>
  <c r="U550" i="17" s="1"/>
  <c r="R149" i="17"/>
  <c r="S149" i="17" s="1"/>
  <c r="R260" i="17"/>
  <c r="S260" i="17" s="1"/>
  <c r="R288" i="17"/>
  <c r="S288" i="17" s="1"/>
  <c r="R111" i="17"/>
  <c r="S111" i="17" s="1"/>
  <c r="Q269" i="17"/>
  <c r="U269" i="17" s="1"/>
  <c r="R16" i="17"/>
  <c r="S16" i="17" s="1"/>
  <c r="Q109" i="17"/>
  <c r="U109" i="17" s="1"/>
  <c r="Q425" i="17"/>
  <c r="U425" i="17" s="1"/>
  <c r="Y623" i="17"/>
  <c r="X327" i="17"/>
  <c r="Y436" i="17"/>
  <c r="Y601" i="17"/>
  <c r="Y228" i="17"/>
  <c r="X21" i="17"/>
  <c r="X47" i="17"/>
  <c r="X595" i="17"/>
  <c r="X408" i="17"/>
  <c r="Y107" i="17"/>
  <c r="Y43" i="17"/>
  <c r="Y166" i="17"/>
  <c r="Y451" i="17"/>
  <c r="Y578" i="17"/>
  <c r="X250" i="17"/>
  <c r="Y316" i="17"/>
  <c r="X101" i="17"/>
  <c r="X42" i="17"/>
  <c r="X175" i="17"/>
  <c r="Y454" i="17"/>
  <c r="Y151" i="17"/>
  <c r="X411" i="17"/>
  <c r="X91" i="17"/>
  <c r="X531" i="17"/>
  <c r="X41" i="17"/>
  <c r="X513" i="17"/>
  <c r="X271" i="17"/>
  <c r="X548" i="17"/>
  <c r="X362" i="17"/>
  <c r="Y382" i="17"/>
  <c r="Y551" i="17"/>
  <c r="Y155" i="17"/>
  <c r="Y421" i="17"/>
  <c r="Q44" i="17"/>
  <c r="U44" i="17" s="1"/>
  <c r="R192" i="17"/>
  <c r="S192" i="17" s="1"/>
  <c r="R563" i="17"/>
  <c r="S563" i="17" s="1"/>
  <c r="R426" i="17"/>
  <c r="S426" i="17" s="1"/>
  <c r="R174" i="17"/>
  <c r="S174" i="17" s="1"/>
  <c r="Q181" i="17"/>
  <c r="U181" i="17" s="1"/>
  <c r="Q467" i="17"/>
  <c r="U467" i="17" s="1"/>
  <c r="Q55" i="17"/>
  <c r="U55" i="17" s="1"/>
  <c r="Q65" i="17"/>
  <c r="U65" i="17" s="1"/>
  <c r="Q525" i="17"/>
  <c r="U525" i="17" s="1"/>
  <c r="Q336" i="17"/>
  <c r="U336" i="17" s="1"/>
  <c r="Y46" i="17"/>
  <c r="Y259" i="17"/>
  <c r="X537" i="17"/>
  <c r="Y56" i="17"/>
  <c r="X427" i="17"/>
  <c r="Y182" i="17"/>
  <c r="Y310" i="17"/>
  <c r="Y279" i="17"/>
  <c r="X163" i="17"/>
  <c r="X153" i="17"/>
  <c r="Y67" i="17"/>
  <c r="X369" i="17"/>
  <c r="X261" i="17"/>
  <c r="Y171" i="17"/>
  <c r="Y329" i="17"/>
  <c r="Y457" i="17"/>
  <c r="Y332" i="17"/>
  <c r="X363" i="17"/>
  <c r="Y77" i="17"/>
  <c r="X460" i="17"/>
  <c r="X214" i="17"/>
  <c r="X591" i="17"/>
  <c r="X26" i="17"/>
  <c r="Y87" i="17"/>
  <c r="X469" i="17"/>
  <c r="X164" i="17"/>
  <c r="X292" i="17"/>
  <c r="Y152" i="17"/>
  <c r="X189" i="17"/>
  <c r="Y370" i="17"/>
  <c r="X286" i="17"/>
  <c r="Y471" i="17"/>
  <c r="X605" i="17"/>
  <c r="X577" i="17"/>
  <c r="X574" i="17"/>
  <c r="X307" i="17"/>
  <c r="Y406" i="17"/>
  <c r="Y367" i="17"/>
  <c r="X471" i="17"/>
  <c r="X566" i="17"/>
  <c r="X368" i="17"/>
  <c r="AB627" i="17"/>
  <c r="R627" i="17"/>
  <c r="S627" i="17" s="1"/>
  <c r="AA627" i="17"/>
  <c r="AD468" i="17"/>
  <c r="AE468" i="17" s="1"/>
  <c r="U469" i="17"/>
  <c r="U391" i="17"/>
  <c r="AD21" i="17"/>
  <c r="AE21" i="17" s="1"/>
  <c r="U22" i="17"/>
  <c r="AD613" i="17"/>
  <c r="AE613" i="17" s="1"/>
  <c r="U613" i="17"/>
  <c r="U18" i="17"/>
  <c r="U110" i="17"/>
  <c r="AD237" i="17"/>
  <c r="AE237" i="17" s="1"/>
  <c r="U238" i="17"/>
  <c r="AD584" i="17"/>
  <c r="U584" i="17"/>
  <c r="U487" i="17"/>
  <c r="X625" i="17"/>
  <c r="AD422" i="17"/>
  <c r="AE422" i="17" s="1"/>
  <c r="AD437" i="17"/>
  <c r="AE437" i="17" s="1"/>
  <c r="AD68" i="17"/>
  <c r="AE68" i="17" s="1"/>
  <c r="AD385" i="17"/>
  <c r="AD400" i="17"/>
  <c r="AD333" i="17"/>
  <c r="AE333" i="17" s="1"/>
  <c r="AD490" i="17"/>
  <c r="AE490" i="17" s="1"/>
  <c r="AD383" i="17"/>
  <c r="AE383" i="17" s="1"/>
  <c r="AD151" i="17"/>
  <c r="AE151" i="17" s="1"/>
  <c r="R624" i="17"/>
  <c r="S624" i="17" s="1"/>
  <c r="AA624" i="17"/>
  <c r="E634" i="17" s="1"/>
  <c r="R625" i="17"/>
  <c r="S625" i="17" s="1"/>
  <c r="AA625" i="17"/>
  <c r="E635" i="17" s="1"/>
  <c r="AD73" i="17"/>
  <c r="AE73" i="17" s="1"/>
  <c r="AD111" i="17"/>
  <c r="AE111" i="17" s="1"/>
  <c r="AD298" i="17"/>
  <c r="AE298" i="17" s="1"/>
  <c r="Q627" i="17"/>
  <c r="AB624" i="17"/>
  <c r="Q624" i="17"/>
  <c r="D634" i="17" s="1"/>
  <c r="Q625" i="17"/>
  <c r="D635" i="17" s="1"/>
  <c r="AD477" i="17"/>
  <c r="AD513" i="17"/>
  <c r="AE513" i="17" s="1"/>
  <c r="AD535" i="17"/>
  <c r="AD239" i="17"/>
  <c r="AE239" i="17" s="1"/>
  <c r="AD407" i="17"/>
  <c r="AE407" i="17" s="1"/>
  <c r="AD112" i="17"/>
  <c r="AE112" i="17" s="1"/>
  <c r="AD465" i="17"/>
  <c r="AD208" i="17"/>
  <c r="AE208" i="17" s="1"/>
  <c r="AD379" i="17"/>
  <c r="AE379" i="17" s="1"/>
  <c r="AD560" i="17"/>
  <c r="AE560" i="17" s="1"/>
  <c r="AD583" i="17"/>
  <c r="AE583" i="17" s="1"/>
  <c r="AD594" i="17"/>
  <c r="AE594" i="17" s="1"/>
  <c r="AD591" i="17"/>
  <c r="AD183" i="17"/>
  <c r="AE183" i="17" s="1"/>
  <c r="AD577" i="17"/>
  <c r="AE577" i="17" s="1"/>
  <c r="AD396" i="17"/>
  <c r="AE396" i="17" s="1"/>
  <c r="AD182" i="17"/>
  <c r="AE182" i="17" s="1"/>
  <c r="AD77" i="17"/>
  <c r="AE77" i="17" s="1"/>
  <c r="AD91" i="17"/>
  <c r="AD367" i="17"/>
  <c r="AE367" i="17" s="1"/>
  <c r="AD220" i="17"/>
  <c r="AE220" i="17" s="1"/>
  <c r="AD150" i="17"/>
  <c r="AE150" i="17" s="1"/>
  <c r="AD41" i="17"/>
  <c r="AE41" i="17" s="1"/>
  <c r="AD384" i="17"/>
  <c r="AE384" i="17" s="1"/>
  <c r="AD98" i="17"/>
  <c r="AE98" i="17" s="1"/>
  <c r="AD306" i="17"/>
  <c r="AE306" i="17" s="1"/>
  <c r="AD491" i="17"/>
  <c r="AE491" i="17" s="1"/>
  <c r="AD361" i="17"/>
  <c r="AE361" i="17" s="1"/>
  <c r="AD417" i="17"/>
  <c r="AE417" i="17" s="1"/>
  <c r="AD343" i="17"/>
  <c r="AE343" i="17" s="1"/>
  <c r="AD40" i="17"/>
  <c r="AE40" i="17" s="1"/>
  <c r="AD536" i="17"/>
  <c r="AE536" i="17" s="1"/>
  <c r="AD230" i="17"/>
  <c r="AE230" i="17" s="1"/>
  <c r="AD416" i="17"/>
  <c r="AD311" i="17"/>
  <c r="AE311" i="17" s="1"/>
  <c r="AD171" i="17"/>
  <c r="AE171" i="17" s="1"/>
  <c r="AD271" i="17"/>
  <c r="AE271" i="17" s="1"/>
  <c r="AD363" i="17"/>
  <c r="AE363" i="17" s="1"/>
  <c r="AD604" i="17"/>
  <c r="AE604" i="17" s="1"/>
  <c r="AD110" i="17"/>
  <c r="AE110" i="17" s="1"/>
  <c r="AD386" i="17"/>
  <c r="AE386" i="17" s="1"/>
  <c r="AD426" i="17"/>
  <c r="AD434" i="17"/>
  <c r="AE434" i="17" s="1"/>
  <c r="AD561" i="17"/>
  <c r="AE561" i="17" s="1"/>
  <c r="AD214" i="17"/>
  <c r="AE214" i="17" s="1"/>
  <c r="AD153" i="17"/>
  <c r="AE153" i="17" s="1"/>
  <c r="AD282" i="17"/>
  <c r="AE282" i="17" s="1"/>
  <c r="AD603" i="17"/>
  <c r="AE603" i="17" s="1"/>
  <c r="AD252" i="17"/>
  <c r="AE252" i="17" s="1"/>
  <c r="AD163" i="17"/>
  <c r="AE163" i="17" s="1"/>
  <c r="AD207" i="17"/>
  <c r="AE207" i="17" s="1"/>
  <c r="AD39" i="17"/>
  <c r="AE39" i="17" s="1"/>
  <c r="AD78" i="17"/>
  <c r="AE78" i="17" s="1"/>
  <c r="AD373" i="17"/>
  <c r="AE373" i="17" s="1"/>
  <c r="AD238" i="17"/>
  <c r="AE238" i="17" s="1"/>
  <c r="AD438" i="17"/>
  <c r="AE438" i="17" s="1"/>
  <c r="AD406" i="17"/>
  <c r="AE406" i="17" s="1"/>
  <c r="AD188" i="17"/>
  <c r="AE188" i="17" s="1"/>
  <c r="AD134" i="17"/>
  <c r="AE134" i="17" s="1"/>
  <c r="AD350" i="17"/>
  <c r="AE350" i="17" s="1"/>
  <c r="AD578" i="17"/>
  <c r="AE578" i="17" s="1"/>
  <c r="AD579" i="17"/>
  <c r="AD423" i="17"/>
  <c r="AE423" i="17" s="1"/>
  <c r="AD206" i="17"/>
  <c r="AE206" i="17" s="1"/>
  <c r="AD70" i="17"/>
  <c r="AE70" i="17" s="1"/>
  <c r="AD74" i="17"/>
  <c r="AE74" i="17" s="1"/>
  <c r="AD42" i="17"/>
  <c r="AE42" i="17" s="1"/>
  <c r="AD362" i="17"/>
  <c r="AE362" i="17" s="1"/>
  <c r="AD260" i="17"/>
  <c r="AE260" i="17" s="1"/>
  <c r="Y624" i="17"/>
  <c r="X624" i="17"/>
  <c r="Y625" i="17"/>
  <c r="AD391" i="17"/>
  <c r="AE391" i="17" s="1"/>
  <c r="AD291" i="17"/>
  <c r="AE291" i="17" s="1"/>
  <c r="AD388" i="17"/>
  <c r="AE388" i="17" s="1"/>
  <c r="AD38" i="17"/>
  <c r="AE38" i="17" s="1"/>
  <c r="AD318" i="17"/>
  <c r="AD133" i="17"/>
  <c r="AE133" i="17" s="1"/>
  <c r="AD279" i="17"/>
  <c r="AE279" i="17" s="1"/>
  <c r="AD401" i="17"/>
  <c r="AD317" i="17"/>
  <c r="AE317" i="17" s="1"/>
  <c r="AD229" i="17"/>
  <c r="AE229" i="17" s="1"/>
  <c r="AD152" i="17"/>
  <c r="AE152" i="17" s="1"/>
  <c r="AD356" i="17"/>
  <c r="AE356" i="17" s="1"/>
  <c r="AD69" i="17"/>
  <c r="AE69" i="17" s="1"/>
  <c r="AD387" i="17"/>
  <c r="AD421" i="17"/>
  <c r="AE421" i="17" s="1"/>
  <c r="AD368" i="17"/>
  <c r="AE368" i="17" s="1"/>
  <c r="AE91" i="17" l="1"/>
  <c r="AD129" i="17"/>
  <c r="AE129" i="17" s="1"/>
  <c r="AE477" i="17"/>
  <c r="AE465" i="17"/>
  <c r="AE591" i="17"/>
  <c r="AE584" i="17"/>
  <c r="AE385" i="17"/>
  <c r="AE579" i="17"/>
  <c r="AE318" i="17"/>
  <c r="AD537" i="17"/>
  <c r="AE537" i="17" s="1"/>
  <c r="U86" i="17"/>
  <c r="AD344" i="17"/>
  <c r="AE344" i="17" s="1"/>
  <c r="AE400" i="17"/>
  <c r="AE401" i="17"/>
  <c r="U567" i="25"/>
  <c r="AD566" i="25"/>
  <c r="AE566" i="25" s="1"/>
  <c r="U570" i="25"/>
  <c r="AD569" i="25"/>
  <c r="AE569" i="25" s="1"/>
  <c r="AD521" i="25"/>
  <c r="AE521" i="25" s="1"/>
  <c r="U522" i="25"/>
  <c r="U503" i="25"/>
  <c r="AD502" i="25"/>
  <c r="AE502" i="25" s="1"/>
  <c r="U408" i="25"/>
  <c r="AD407" i="25"/>
  <c r="AE407" i="25" s="1"/>
  <c r="U391" i="25"/>
  <c r="AD390" i="25"/>
  <c r="AE390" i="25" s="1"/>
  <c r="U406" i="25"/>
  <c r="AD405" i="25"/>
  <c r="AE405" i="25" s="1"/>
  <c r="U373" i="25"/>
  <c r="AD372" i="25"/>
  <c r="AE372" i="25" s="1"/>
  <c r="U285" i="25"/>
  <c r="AD284" i="25"/>
  <c r="AE284" i="25" s="1"/>
  <c r="U234" i="25"/>
  <c r="AD233" i="25"/>
  <c r="AE233" i="25" s="1"/>
  <c r="U259" i="25"/>
  <c r="AD258" i="25"/>
  <c r="AE258" i="25" s="1"/>
  <c r="U218" i="25"/>
  <c r="AD217" i="25"/>
  <c r="AE217" i="25" s="1"/>
  <c r="U186" i="25"/>
  <c r="AD185" i="25"/>
  <c r="AE185" i="25" s="1"/>
  <c r="U154" i="25"/>
  <c r="AD153" i="25"/>
  <c r="AE153" i="25" s="1"/>
  <c r="U171" i="25"/>
  <c r="AD170" i="25"/>
  <c r="AE170" i="25" s="1"/>
  <c r="U88" i="25"/>
  <c r="AD87" i="25"/>
  <c r="AE87" i="25" s="1"/>
  <c r="U101" i="25"/>
  <c r="AD100" i="25"/>
  <c r="AE100" i="25" s="1"/>
  <c r="U197" i="25"/>
  <c r="AD196" i="25"/>
  <c r="AE196" i="25" s="1"/>
  <c r="U32" i="25"/>
  <c r="AD31" i="25"/>
  <c r="AE31" i="25" s="1"/>
  <c r="U563" i="25"/>
  <c r="AD562" i="25"/>
  <c r="AE562" i="25" s="1"/>
  <c r="U552" i="25"/>
  <c r="AD551" i="25"/>
  <c r="AE551" i="25" s="1"/>
  <c r="U422" i="25"/>
  <c r="AD421" i="25"/>
  <c r="AE421" i="25" s="1"/>
  <c r="U270" i="25"/>
  <c r="AD269" i="25"/>
  <c r="AE269" i="25" s="1"/>
  <c r="AD229" i="25"/>
  <c r="AE229" i="25" s="1"/>
  <c r="U230" i="25"/>
  <c r="U198" i="25"/>
  <c r="AD197" i="25"/>
  <c r="AE197" i="25" s="1"/>
  <c r="U166" i="25"/>
  <c r="AD165" i="25"/>
  <c r="AE165" i="25" s="1"/>
  <c r="U82" i="25"/>
  <c r="AD81" i="25"/>
  <c r="AE81" i="25" s="1"/>
  <c r="U117" i="25"/>
  <c r="AD116" i="25"/>
  <c r="AE116" i="25" s="1"/>
  <c r="U607" i="25"/>
  <c r="AD606" i="25"/>
  <c r="AE606" i="25" s="1"/>
  <c r="AD580" i="25"/>
  <c r="AE580" i="25" s="1"/>
  <c r="U581" i="25"/>
  <c r="U546" i="25"/>
  <c r="AD545" i="25"/>
  <c r="AE545" i="25" s="1"/>
  <c r="U502" i="25"/>
  <c r="AD501" i="25"/>
  <c r="AE501" i="25" s="1"/>
  <c r="U470" i="25"/>
  <c r="AD469" i="25"/>
  <c r="AE469" i="25" s="1"/>
  <c r="AD456" i="25"/>
  <c r="AE456" i="25" s="1"/>
  <c r="U457" i="25"/>
  <c r="U507" i="25"/>
  <c r="AD506" i="25"/>
  <c r="AE506" i="25" s="1"/>
  <c r="U399" i="25"/>
  <c r="AD398" i="25"/>
  <c r="AE398" i="25" s="1"/>
  <c r="U363" i="25"/>
  <c r="AD362" i="25"/>
  <c r="AE362" i="25" s="1"/>
  <c r="U350" i="25"/>
  <c r="AD349" i="25"/>
  <c r="AE349" i="25" s="1"/>
  <c r="AD268" i="25"/>
  <c r="AE268" i="25" s="1"/>
  <c r="U269" i="25"/>
  <c r="U233" i="25"/>
  <c r="AD232" i="25"/>
  <c r="AE232" i="25" s="1"/>
  <c r="U296" i="25"/>
  <c r="AD295" i="25"/>
  <c r="AE295" i="25" s="1"/>
  <c r="U183" i="25"/>
  <c r="AD182" i="25"/>
  <c r="AE182" i="25" s="1"/>
  <c r="U151" i="25"/>
  <c r="AD150" i="25"/>
  <c r="AE150" i="25" s="1"/>
  <c r="U96" i="25"/>
  <c r="AD95" i="25"/>
  <c r="AE95" i="25" s="1"/>
  <c r="U109" i="25"/>
  <c r="AD108" i="25"/>
  <c r="AE108" i="25" s="1"/>
  <c r="AD67" i="25"/>
  <c r="AE67" i="25" s="1"/>
  <c r="U68" i="25"/>
  <c r="U129" i="25"/>
  <c r="AD128" i="25"/>
  <c r="AE128" i="25" s="1"/>
  <c r="U119" i="25"/>
  <c r="AD118" i="25"/>
  <c r="AE118" i="25" s="1"/>
  <c r="U612" i="25"/>
  <c r="AD611" i="25"/>
  <c r="AE611" i="25" s="1"/>
  <c r="U370" i="25"/>
  <c r="AD369" i="25"/>
  <c r="AE369" i="25" s="1"/>
  <c r="U142" i="25"/>
  <c r="AD141" i="25"/>
  <c r="AE141" i="25" s="1"/>
  <c r="U596" i="25"/>
  <c r="AD595" i="25"/>
  <c r="AE595" i="25" s="1"/>
  <c r="AD576" i="25"/>
  <c r="AE576" i="25" s="1"/>
  <c r="U577" i="25"/>
  <c r="U526" i="25"/>
  <c r="AD525" i="25"/>
  <c r="AE525" i="25" s="1"/>
  <c r="U541" i="25"/>
  <c r="AD540" i="25"/>
  <c r="AE540" i="25" s="1"/>
  <c r="U498" i="25"/>
  <c r="AD497" i="25"/>
  <c r="AE497" i="25" s="1"/>
  <c r="U482" i="25"/>
  <c r="AD481" i="25"/>
  <c r="AE481" i="25" s="1"/>
  <c r="U437" i="25"/>
  <c r="AD436" i="25"/>
  <c r="AE436" i="25" s="1"/>
  <c r="U446" i="25"/>
  <c r="AD445" i="25"/>
  <c r="AE445" i="25" s="1"/>
  <c r="U516" i="25"/>
  <c r="AD515" i="25"/>
  <c r="AE515" i="25" s="1"/>
  <c r="U252" i="25"/>
  <c r="AD251" i="25"/>
  <c r="AE251" i="25" s="1"/>
  <c r="U313" i="25"/>
  <c r="AD312" i="25"/>
  <c r="AE312" i="25" s="1"/>
  <c r="AD139" i="25"/>
  <c r="AE139" i="25" s="1"/>
  <c r="U140" i="25"/>
  <c r="U288" i="25"/>
  <c r="AD287" i="25"/>
  <c r="AE287" i="25" s="1"/>
  <c r="AD252" i="25"/>
  <c r="AE252" i="25" s="1"/>
  <c r="U253" i="25"/>
  <c r="U78" i="25"/>
  <c r="AD77" i="25"/>
  <c r="AE77" i="25" s="1"/>
  <c r="U20" i="25"/>
  <c r="AD19" i="25"/>
  <c r="AE19" i="25" s="1"/>
  <c r="AD534" i="25"/>
  <c r="AE534" i="25" s="1"/>
  <c r="U535" i="25"/>
  <c r="U500" i="25"/>
  <c r="AD499" i="25"/>
  <c r="AE499" i="25" s="1"/>
  <c r="U361" i="25"/>
  <c r="AD360" i="25"/>
  <c r="AE360" i="25" s="1"/>
  <c r="AD261" i="25"/>
  <c r="AE261" i="25" s="1"/>
  <c r="U262" i="25"/>
  <c r="U150" i="25"/>
  <c r="AD149" i="25"/>
  <c r="AE149" i="25" s="1"/>
  <c r="AD607" i="25"/>
  <c r="AE607" i="25" s="1"/>
  <c r="U608" i="25"/>
  <c r="U595" i="25"/>
  <c r="AD594" i="25"/>
  <c r="AE594" i="25" s="1"/>
  <c r="U591" i="25"/>
  <c r="AD590" i="25"/>
  <c r="AE590" i="25" s="1"/>
  <c r="AD555" i="25"/>
  <c r="AE555" i="25" s="1"/>
  <c r="U556" i="25"/>
  <c r="U540" i="25"/>
  <c r="AD539" i="25"/>
  <c r="AE539" i="25" s="1"/>
  <c r="U566" i="25"/>
  <c r="AD565" i="25"/>
  <c r="AE565" i="25" s="1"/>
  <c r="U524" i="25"/>
  <c r="AD523" i="25"/>
  <c r="AE523" i="25" s="1"/>
  <c r="U513" i="25"/>
  <c r="AD512" i="25"/>
  <c r="AE512" i="25" s="1"/>
  <c r="U512" i="25"/>
  <c r="AD511" i="25"/>
  <c r="AE511" i="25" s="1"/>
  <c r="U496" i="25"/>
  <c r="AD495" i="25"/>
  <c r="AE495" i="25" s="1"/>
  <c r="AD479" i="25"/>
  <c r="AE479" i="25" s="1"/>
  <c r="U480" i="25"/>
  <c r="U467" i="25"/>
  <c r="AD466" i="25"/>
  <c r="AE466" i="25" s="1"/>
  <c r="U451" i="25"/>
  <c r="AD450" i="25"/>
  <c r="AE450" i="25" s="1"/>
  <c r="U435" i="25"/>
  <c r="AD434" i="25"/>
  <c r="AE434" i="25" s="1"/>
  <c r="U460" i="25"/>
  <c r="AD459" i="25"/>
  <c r="AE459" i="25" s="1"/>
  <c r="U444" i="25"/>
  <c r="AD443" i="25"/>
  <c r="AE443" i="25" s="1"/>
  <c r="AD365" i="25"/>
  <c r="AE365" i="25" s="1"/>
  <c r="U366" i="25"/>
  <c r="U392" i="25"/>
  <c r="AD391" i="25"/>
  <c r="AE391" i="25" s="1"/>
  <c r="U386" i="25"/>
  <c r="AD385" i="25"/>
  <c r="AE385" i="25" s="1"/>
  <c r="U308" i="25"/>
  <c r="AD307" i="25"/>
  <c r="AE307" i="25" s="1"/>
  <c r="U299" i="25"/>
  <c r="AD298" i="25"/>
  <c r="AE298" i="25" s="1"/>
  <c r="U505" i="25"/>
  <c r="AD504" i="25"/>
  <c r="AE504" i="25" s="1"/>
  <c r="U360" i="25"/>
  <c r="AD359" i="25"/>
  <c r="AE359" i="25" s="1"/>
  <c r="U344" i="25"/>
  <c r="AD343" i="25"/>
  <c r="AE343" i="25" s="1"/>
  <c r="AD325" i="25"/>
  <c r="AE325" i="25" s="1"/>
  <c r="U326" i="25"/>
  <c r="U303" i="25"/>
  <c r="AD302" i="25"/>
  <c r="AE302" i="25" s="1"/>
  <c r="U266" i="25"/>
  <c r="AD265" i="25"/>
  <c r="AE265" i="25" s="1"/>
  <c r="U250" i="25"/>
  <c r="AD249" i="25"/>
  <c r="AE249" i="25" s="1"/>
  <c r="U312" i="25"/>
  <c r="AD311" i="25"/>
  <c r="AE311" i="25" s="1"/>
  <c r="U202" i="25"/>
  <c r="AD201" i="25"/>
  <c r="AE201" i="25" s="1"/>
  <c r="U170" i="25"/>
  <c r="AD169" i="25"/>
  <c r="AE169" i="25" s="1"/>
  <c r="U138" i="25"/>
  <c r="AD137" i="25"/>
  <c r="AE137" i="25" s="1"/>
  <c r="U229" i="25"/>
  <c r="AD228" i="25"/>
  <c r="AE228" i="25" s="1"/>
  <c r="U203" i="25"/>
  <c r="AD202" i="25"/>
  <c r="AE202" i="25" s="1"/>
  <c r="U139" i="25"/>
  <c r="AD138" i="25"/>
  <c r="AE138" i="25" s="1"/>
  <c r="U107" i="25"/>
  <c r="AD106" i="25"/>
  <c r="AE106" i="25" s="1"/>
  <c r="U66" i="25"/>
  <c r="AD65" i="25"/>
  <c r="AE65" i="25" s="1"/>
  <c r="U65" i="25"/>
  <c r="AD64" i="25"/>
  <c r="AE64" i="25" s="1"/>
  <c r="U239" i="25"/>
  <c r="AD238" i="25"/>
  <c r="AE238" i="25" s="1"/>
  <c r="U60" i="25"/>
  <c r="AD59" i="25"/>
  <c r="AE59" i="25" s="1"/>
  <c r="U37" i="25"/>
  <c r="AD36" i="25"/>
  <c r="AE36" i="25" s="1"/>
  <c r="U42" i="25"/>
  <c r="AD41" i="25"/>
  <c r="AE41" i="25" s="1"/>
  <c r="U17" i="25"/>
  <c r="AD16" i="25"/>
  <c r="AE16" i="25" s="1"/>
  <c r="U87" i="25"/>
  <c r="AD86" i="25"/>
  <c r="AE86" i="25" s="1"/>
  <c r="U185" i="25"/>
  <c r="AD184" i="25"/>
  <c r="AE184" i="25" s="1"/>
  <c r="U590" i="25"/>
  <c r="AD589" i="25"/>
  <c r="AE589" i="25" s="1"/>
  <c r="U587" i="25"/>
  <c r="AD586" i="25"/>
  <c r="AE586" i="25" s="1"/>
  <c r="AD535" i="25"/>
  <c r="AE535" i="25" s="1"/>
  <c r="U536" i="25"/>
  <c r="U564" i="25"/>
  <c r="AD563" i="25"/>
  <c r="AE563" i="25" s="1"/>
  <c r="U508" i="25"/>
  <c r="AD507" i="25"/>
  <c r="AE507" i="25" s="1"/>
  <c r="U537" i="25"/>
  <c r="AD536" i="25"/>
  <c r="AE536" i="25" s="1"/>
  <c r="AD446" i="25"/>
  <c r="AE446" i="25" s="1"/>
  <c r="U447" i="25"/>
  <c r="U409" i="25"/>
  <c r="AD408" i="25"/>
  <c r="AE408" i="25" s="1"/>
  <c r="U424" i="25"/>
  <c r="AD423" i="25"/>
  <c r="AE423" i="25" s="1"/>
  <c r="U353" i="25"/>
  <c r="AD352" i="25"/>
  <c r="AE352" i="25" s="1"/>
  <c r="U324" i="25"/>
  <c r="AD323" i="25"/>
  <c r="AE323" i="25" s="1"/>
  <c r="U356" i="25"/>
  <c r="AD355" i="25"/>
  <c r="AE355" i="25" s="1"/>
  <c r="U134" i="25"/>
  <c r="AD133" i="25"/>
  <c r="AE133" i="25" s="1"/>
  <c r="U211" i="25"/>
  <c r="AD210" i="25"/>
  <c r="AE210" i="25" s="1"/>
  <c r="U131" i="25"/>
  <c r="AD130" i="25"/>
  <c r="AE130" i="25" s="1"/>
  <c r="U165" i="25"/>
  <c r="AD164" i="25"/>
  <c r="AE164" i="25" s="1"/>
  <c r="U23" i="25"/>
  <c r="AD22" i="25"/>
  <c r="AE22" i="25" s="1"/>
  <c r="U609" i="25"/>
  <c r="AD608" i="25"/>
  <c r="AE608" i="25" s="1"/>
  <c r="U597" i="25"/>
  <c r="AD596" i="25"/>
  <c r="AE596" i="25" s="1"/>
  <c r="U606" i="25"/>
  <c r="AD605" i="25"/>
  <c r="AE605" i="25" s="1"/>
  <c r="U584" i="25"/>
  <c r="AD583" i="25"/>
  <c r="AE583" i="25" s="1"/>
  <c r="U573" i="25"/>
  <c r="AD572" i="25"/>
  <c r="AE572" i="25" s="1"/>
  <c r="U519" i="25"/>
  <c r="AD518" i="25"/>
  <c r="AE518" i="25" s="1"/>
  <c r="U520" i="25"/>
  <c r="AD519" i="25"/>
  <c r="AE519" i="25" s="1"/>
  <c r="U486" i="25"/>
  <c r="AD485" i="25"/>
  <c r="AE485" i="25" s="1"/>
  <c r="U475" i="25"/>
  <c r="AD474" i="25"/>
  <c r="AE474" i="25" s="1"/>
  <c r="AD440" i="25"/>
  <c r="AE440" i="25" s="1"/>
  <c r="U441" i="25"/>
  <c r="U450" i="25"/>
  <c r="AD449" i="25"/>
  <c r="AE449" i="25" s="1"/>
  <c r="U434" i="25"/>
  <c r="AD433" i="25"/>
  <c r="AE433" i="25" s="1"/>
  <c r="U401" i="25"/>
  <c r="AD400" i="25"/>
  <c r="AE400" i="25" s="1"/>
  <c r="U416" i="25"/>
  <c r="AD415" i="25"/>
  <c r="AE415" i="25" s="1"/>
  <c r="AD371" i="25"/>
  <c r="AE371" i="25" s="1"/>
  <c r="U372" i="25"/>
  <c r="U377" i="25"/>
  <c r="AD376" i="25"/>
  <c r="AE376" i="25" s="1"/>
  <c r="U347" i="25"/>
  <c r="AD346" i="25"/>
  <c r="AE346" i="25" s="1"/>
  <c r="U316" i="25"/>
  <c r="AD315" i="25"/>
  <c r="AE315" i="25" s="1"/>
  <c r="U293" i="25"/>
  <c r="AD292" i="25"/>
  <c r="AE292" i="25" s="1"/>
  <c r="U307" i="25"/>
  <c r="AD306" i="25"/>
  <c r="AE306" i="25" s="1"/>
  <c r="AD333" i="25"/>
  <c r="AE333" i="25" s="1"/>
  <c r="U334" i="25"/>
  <c r="U272" i="25"/>
  <c r="AD271" i="25"/>
  <c r="AE271" i="25" s="1"/>
  <c r="AD255" i="25"/>
  <c r="AE255" i="25" s="1"/>
  <c r="U256" i="25"/>
  <c r="AD239" i="25"/>
  <c r="AE239" i="25" s="1"/>
  <c r="U240" i="25"/>
  <c r="U224" i="25"/>
  <c r="AD223" i="25"/>
  <c r="AE223" i="25" s="1"/>
  <c r="AD207" i="25"/>
  <c r="AE207" i="25" s="1"/>
  <c r="U208" i="25"/>
  <c r="AD191" i="25"/>
  <c r="AE191" i="25" s="1"/>
  <c r="U192" i="25"/>
  <c r="AD159" i="25"/>
  <c r="AE159" i="25" s="1"/>
  <c r="U160" i="25"/>
  <c r="AD143" i="25"/>
  <c r="AE143" i="25" s="1"/>
  <c r="U144" i="25"/>
  <c r="U305" i="25"/>
  <c r="AD304" i="25"/>
  <c r="AE304" i="25" s="1"/>
  <c r="U74" i="25"/>
  <c r="AD73" i="25"/>
  <c r="AE73" i="25" s="1"/>
  <c r="U35" i="25"/>
  <c r="AD34" i="25"/>
  <c r="AE34" i="25" s="1"/>
  <c r="U45" i="25"/>
  <c r="AD44" i="25"/>
  <c r="AE44" i="25" s="1"/>
  <c r="U51" i="25"/>
  <c r="AD50" i="25"/>
  <c r="AE50" i="25" s="1"/>
  <c r="AD25" i="25"/>
  <c r="AE25" i="25" s="1"/>
  <c r="U26" i="25"/>
  <c r="U137" i="25"/>
  <c r="AD136" i="25"/>
  <c r="AE136" i="25" s="1"/>
  <c r="U247" i="25"/>
  <c r="AD246" i="25"/>
  <c r="AE246" i="25" s="1"/>
  <c r="U15" i="25"/>
  <c r="AD14" i="25"/>
  <c r="AE14" i="25" s="1"/>
  <c r="U141" i="25"/>
  <c r="AD140" i="25"/>
  <c r="AE140" i="25" s="1"/>
  <c r="U531" i="25"/>
  <c r="AD530" i="25"/>
  <c r="AE530" i="25" s="1"/>
  <c r="U492" i="25"/>
  <c r="AD491" i="25"/>
  <c r="AE491" i="25" s="1"/>
  <c r="AD454" i="25"/>
  <c r="AE454" i="25" s="1"/>
  <c r="U455" i="25"/>
  <c r="U456" i="25"/>
  <c r="AD455" i="25"/>
  <c r="AE455" i="25" s="1"/>
  <c r="U369" i="25"/>
  <c r="AD368" i="25"/>
  <c r="AE368" i="25" s="1"/>
  <c r="U278" i="25"/>
  <c r="AD277" i="25"/>
  <c r="AE277" i="25" s="1"/>
  <c r="AD244" i="25"/>
  <c r="AE244" i="25" s="1"/>
  <c r="U245" i="25"/>
  <c r="U231" i="25"/>
  <c r="AD230" i="25"/>
  <c r="AE230" i="25" s="1"/>
  <c r="U147" i="25"/>
  <c r="AD146" i="25"/>
  <c r="AE146" i="25" s="1"/>
  <c r="U59" i="25"/>
  <c r="AD58" i="25"/>
  <c r="AE58" i="25" s="1"/>
  <c r="U81" i="25"/>
  <c r="AD80" i="25"/>
  <c r="AE80" i="25" s="1"/>
  <c r="AD107" i="25"/>
  <c r="AE107" i="25" s="1"/>
  <c r="U108" i="25"/>
  <c r="U95" i="25"/>
  <c r="AD94" i="25"/>
  <c r="AE94" i="25" s="1"/>
  <c r="U118" i="25"/>
  <c r="AD117" i="25"/>
  <c r="AE117" i="25" s="1"/>
  <c r="U19" i="25"/>
  <c r="AD18" i="25"/>
  <c r="AE18" i="25" s="1"/>
  <c r="U542" i="25"/>
  <c r="AD541" i="25"/>
  <c r="AE541" i="25" s="1"/>
  <c r="U574" i="25"/>
  <c r="AD573" i="25"/>
  <c r="AE573" i="25" s="1"/>
  <c r="AD514" i="25"/>
  <c r="AE514" i="25" s="1"/>
  <c r="U515" i="25"/>
  <c r="U511" i="25"/>
  <c r="AD510" i="25"/>
  <c r="AE510" i="25" s="1"/>
  <c r="U491" i="25"/>
  <c r="AD490" i="25"/>
  <c r="AE490" i="25" s="1"/>
  <c r="U462" i="25"/>
  <c r="AD461" i="25"/>
  <c r="AE461" i="25" s="1"/>
  <c r="U430" i="25"/>
  <c r="AD429" i="25"/>
  <c r="AE429" i="25" s="1"/>
  <c r="U411" i="25"/>
  <c r="AD410" i="25"/>
  <c r="AE410" i="25" s="1"/>
  <c r="U368" i="25"/>
  <c r="AD367" i="25"/>
  <c r="AE367" i="25" s="1"/>
  <c r="U393" i="25"/>
  <c r="AD392" i="25"/>
  <c r="AE392" i="25" s="1"/>
  <c r="U359" i="25"/>
  <c r="AD358" i="25"/>
  <c r="AE358" i="25" s="1"/>
  <c r="U387" i="25"/>
  <c r="AD386" i="25"/>
  <c r="AE386" i="25" s="1"/>
  <c r="U332" i="25"/>
  <c r="AD331" i="25"/>
  <c r="AE331" i="25" s="1"/>
  <c r="U309" i="25"/>
  <c r="AD308" i="25"/>
  <c r="AE308" i="25" s="1"/>
  <c r="U362" i="25"/>
  <c r="AD361" i="25"/>
  <c r="AE361" i="25" s="1"/>
  <c r="U346" i="25"/>
  <c r="AD345" i="25"/>
  <c r="AE345" i="25" s="1"/>
  <c r="U323" i="25"/>
  <c r="AD322" i="25"/>
  <c r="AE322" i="25" s="1"/>
  <c r="U282" i="25"/>
  <c r="AD281" i="25"/>
  <c r="AE281" i="25" s="1"/>
  <c r="U265" i="25"/>
  <c r="AD264" i="25"/>
  <c r="AE264" i="25" s="1"/>
  <c r="U327" i="25"/>
  <c r="AD326" i="25"/>
  <c r="AE326" i="25" s="1"/>
  <c r="U286" i="25"/>
  <c r="AD285" i="25"/>
  <c r="AE285" i="25" s="1"/>
  <c r="U236" i="25"/>
  <c r="AD235" i="25"/>
  <c r="AE235" i="25" s="1"/>
  <c r="U220" i="25"/>
  <c r="AD219" i="25"/>
  <c r="AE219" i="25" s="1"/>
  <c r="AD187" i="25"/>
  <c r="AE187" i="25" s="1"/>
  <c r="U188" i="25"/>
  <c r="AD171" i="25"/>
  <c r="AE171" i="25" s="1"/>
  <c r="U172" i="25"/>
  <c r="AD155" i="25"/>
  <c r="AE155" i="25" s="1"/>
  <c r="U156" i="25"/>
  <c r="AD123" i="25"/>
  <c r="AE123" i="25" s="1"/>
  <c r="U124" i="25"/>
  <c r="U249" i="25"/>
  <c r="AD248" i="25"/>
  <c r="AE248" i="25" s="1"/>
  <c r="U263" i="25"/>
  <c r="AD262" i="25"/>
  <c r="AE262" i="25" s="1"/>
  <c r="U207" i="25"/>
  <c r="AD206" i="25"/>
  <c r="AE206" i="25" s="1"/>
  <c r="U175" i="25"/>
  <c r="AD174" i="25"/>
  <c r="AE174" i="25" s="1"/>
  <c r="U143" i="25"/>
  <c r="AD142" i="25"/>
  <c r="AE142" i="25" s="1"/>
  <c r="U90" i="25"/>
  <c r="AD89" i="25"/>
  <c r="AE89" i="25" s="1"/>
  <c r="U67" i="25"/>
  <c r="AD66" i="25"/>
  <c r="AE66" i="25" s="1"/>
  <c r="U112" i="25"/>
  <c r="AD111" i="25"/>
  <c r="AE111" i="25" s="1"/>
  <c r="U89" i="25"/>
  <c r="AD88" i="25"/>
  <c r="AE88" i="25" s="1"/>
  <c r="U48" i="25"/>
  <c r="AD47" i="25"/>
  <c r="AE47" i="25" s="1"/>
  <c r="AD83" i="25"/>
  <c r="AE83" i="25" s="1"/>
  <c r="U84" i="25"/>
  <c r="U61" i="25"/>
  <c r="AD60" i="25"/>
  <c r="AE60" i="25" s="1"/>
  <c r="U43" i="25"/>
  <c r="AD42" i="25"/>
  <c r="AE42" i="25" s="1"/>
  <c r="U94" i="25"/>
  <c r="AD93" i="25"/>
  <c r="AE93" i="25" s="1"/>
  <c r="U79" i="25"/>
  <c r="AD78" i="25"/>
  <c r="AE78" i="25" s="1"/>
  <c r="U213" i="25"/>
  <c r="AD212" i="25"/>
  <c r="AE212" i="25" s="1"/>
  <c r="U103" i="25"/>
  <c r="AD102" i="25"/>
  <c r="AE102" i="25" s="1"/>
  <c r="U30" i="25"/>
  <c r="AD29" i="25"/>
  <c r="AE29" i="25" s="1"/>
  <c r="U217" i="25"/>
  <c r="AD216" i="25"/>
  <c r="AE216" i="25" s="1"/>
  <c r="U485" i="25"/>
  <c r="AD484" i="25"/>
  <c r="AE484" i="25" s="1"/>
  <c r="U418" i="25"/>
  <c r="AD417" i="25"/>
  <c r="AE417" i="25" s="1"/>
  <c r="U338" i="25"/>
  <c r="AD337" i="25"/>
  <c r="AE337" i="25" s="1"/>
  <c r="U214" i="25"/>
  <c r="AD213" i="25"/>
  <c r="AE213" i="25" s="1"/>
  <c r="U241" i="25"/>
  <c r="AD240" i="25"/>
  <c r="AE240" i="25" s="1"/>
  <c r="U163" i="25"/>
  <c r="AD162" i="25"/>
  <c r="AE162" i="25" s="1"/>
  <c r="U62" i="25"/>
  <c r="AD61" i="25"/>
  <c r="AE61" i="25" s="1"/>
  <c r="U33" i="25"/>
  <c r="AD32" i="25"/>
  <c r="AE32" i="25" s="1"/>
  <c r="U593" i="25"/>
  <c r="AD592" i="25"/>
  <c r="AE592" i="25" s="1"/>
  <c r="AD463" i="25"/>
  <c r="AE463" i="25" s="1"/>
  <c r="U464" i="25"/>
  <c r="U497" i="25"/>
  <c r="AD496" i="25"/>
  <c r="AE496" i="25" s="1"/>
  <c r="U357" i="25"/>
  <c r="AD356" i="25"/>
  <c r="AE356" i="25" s="1"/>
  <c r="U322" i="25"/>
  <c r="AD321" i="25"/>
  <c r="AE321" i="25" s="1"/>
  <c r="U122" i="25"/>
  <c r="AD121" i="25"/>
  <c r="AE121" i="25" s="1"/>
  <c r="U209" i="25"/>
  <c r="AD208" i="25"/>
  <c r="AE208" i="25" s="1"/>
  <c r="U102" i="25"/>
  <c r="AD101" i="25"/>
  <c r="AE101" i="25" s="1"/>
  <c r="U560" i="25"/>
  <c r="AD559" i="25"/>
  <c r="AE559" i="25" s="1"/>
  <c r="U551" i="25"/>
  <c r="AD550" i="25"/>
  <c r="AE550" i="25" s="1"/>
  <c r="U440" i="25"/>
  <c r="AD439" i="25"/>
  <c r="AE439" i="25" s="1"/>
  <c r="U413" i="25"/>
  <c r="AD412" i="25"/>
  <c r="AE412" i="25" s="1"/>
  <c r="U283" i="25"/>
  <c r="AD282" i="25"/>
  <c r="AE282" i="25" s="1"/>
  <c r="U310" i="25"/>
  <c r="AD309" i="25"/>
  <c r="AE309" i="25" s="1"/>
  <c r="U243" i="25"/>
  <c r="AD242" i="25"/>
  <c r="AE242" i="25" s="1"/>
  <c r="AD75" i="25"/>
  <c r="AE75" i="25" s="1"/>
  <c r="U76" i="25"/>
  <c r="U177" i="25"/>
  <c r="AD176" i="25"/>
  <c r="AE176" i="25" s="1"/>
  <c r="U71" i="25"/>
  <c r="AD70" i="25"/>
  <c r="AE70" i="25" s="1"/>
  <c r="AD556" i="25"/>
  <c r="AE556" i="25" s="1"/>
  <c r="U557" i="25"/>
  <c r="AD529" i="25"/>
  <c r="AE529" i="25" s="1"/>
  <c r="U530" i="25"/>
  <c r="U493" i="25"/>
  <c r="AD492" i="25"/>
  <c r="AE492" i="25" s="1"/>
  <c r="U330" i="25"/>
  <c r="AD329" i="25"/>
  <c r="AE329" i="25" s="1"/>
  <c r="U311" i="25"/>
  <c r="AD310" i="25"/>
  <c r="AE310" i="25" s="1"/>
  <c r="AD175" i="25"/>
  <c r="AE175" i="25" s="1"/>
  <c r="U176" i="25"/>
  <c r="AD127" i="25"/>
  <c r="AE127" i="25" s="1"/>
  <c r="U128" i="25"/>
  <c r="U237" i="25"/>
  <c r="AD236" i="25"/>
  <c r="AE236" i="25" s="1"/>
  <c r="U215" i="25"/>
  <c r="AD214" i="25"/>
  <c r="AE214" i="25" s="1"/>
  <c r="U115" i="25"/>
  <c r="AD114" i="25"/>
  <c r="AE114" i="25" s="1"/>
  <c r="U73" i="25"/>
  <c r="AD72" i="25"/>
  <c r="AE72" i="25" s="1"/>
  <c r="U348" i="25"/>
  <c r="AD347" i="25"/>
  <c r="AE347" i="25" s="1"/>
  <c r="U206" i="25"/>
  <c r="AD205" i="25"/>
  <c r="AE205" i="25" s="1"/>
  <c r="U610" i="25"/>
  <c r="AD609" i="25"/>
  <c r="AE609" i="25" s="1"/>
  <c r="U594" i="25"/>
  <c r="AD593" i="25"/>
  <c r="AE593" i="25" s="1"/>
  <c r="U569" i="25"/>
  <c r="AD568" i="25"/>
  <c r="AE568" i="25" s="1"/>
  <c r="AD465" i="25"/>
  <c r="AE465" i="25" s="1"/>
  <c r="U466" i="25"/>
  <c r="U453" i="25"/>
  <c r="AD452" i="25"/>
  <c r="AE452" i="25" s="1"/>
  <c r="U417" i="25"/>
  <c r="AD416" i="25"/>
  <c r="AE416" i="25" s="1"/>
  <c r="U388" i="25"/>
  <c r="AD387" i="25"/>
  <c r="AE387" i="25" s="1"/>
  <c r="U268" i="25"/>
  <c r="AD267" i="25"/>
  <c r="AE267" i="25" s="1"/>
  <c r="AD203" i="25"/>
  <c r="AE203" i="25" s="1"/>
  <c r="U204" i="25"/>
  <c r="AD462" i="25"/>
  <c r="AE462" i="25" s="1"/>
  <c r="U463" i="25"/>
  <c r="U415" i="25"/>
  <c r="AD414" i="25"/>
  <c r="AE414" i="25" s="1"/>
  <c r="U380" i="25"/>
  <c r="AD379" i="25"/>
  <c r="AE379" i="25" s="1"/>
  <c r="U292" i="25"/>
  <c r="AD291" i="25"/>
  <c r="AE291" i="25" s="1"/>
  <c r="AD274" i="25"/>
  <c r="AE274" i="25" s="1"/>
  <c r="U275" i="25"/>
  <c r="U281" i="25"/>
  <c r="AD280" i="25"/>
  <c r="AE280" i="25" s="1"/>
  <c r="U72" i="25"/>
  <c r="AD71" i="25"/>
  <c r="AE71" i="25" s="1"/>
  <c r="AD610" i="25"/>
  <c r="AE610" i="25" s="1"/>
  <c r="U611" i="25"/>
  <c r="U599" i="25"/>
  <c r="AD598" i="25"/>
  <c r="AE598" i="25" s="1"/>
  <c r="AD585" i="25"/>
  <c r="AE585" i="25" s="1"/>
  <c r="U586" i="25"/>
  <c r="U575" i="25"/>
  <c r="AD574" i="25"/>
  <c r="AE574" i="25" s="1"/>
  <c r="AD558" i="25"/>
  <c r="AE558" i="25" s="1"/>
  <c r="U559" i="25"/>
  <c r="U568" i="25"/>
  <c r="AD567" i="25"/>
  <c r="AE567" i="25" s="1"/>
  <c r="U548" i="25"/>
  <c r="AD547" i="25"/>
  <c r="AE547" i="25" s="1"/>
  <c r="U532" i="25"/>
  <c r="AD531" i="25"/>
  <c r="AE531" i="25" s="1"/>
  <c r="AD524" i="25"/>
  <c r="AE524" i="25" s="1"/>
  <c r="U525" i="25"/>
  <c r="U539" i="25"/>
  <c r="AD538" i="25"/>
  <c r="AE538" i="25" s="1"/>
  <c r="U488" i="25"/>
  <c r="AD487" i="25"/>
  <c r="AE487" i="25" s="1"/>
  <c r="AD471" i="25"/>
  <c r="AE471" i="25" s="1"/>
  <c r="U472" i="25"/>
  <c r="U501" i="25"/>
  <c r="AD500" i="25"/>
  <c r="AE500" i="25" s="1"/>
  <c r="U469" i="25"/>
  <c r="AD468" i="25"/>
  <c r="AE468" i="25" s="1"/>
  <c r="U473" i="25"/>
  <c r="AD472" i="25"/>
  <c r="AE472" i="25" s="1"/>
  <c r="U425" i="25"/>
  <c r="AD424" i="25"/>
  <c r="AE424" i="25" s="1"/>
  <c r="U419" i="25"/>
  <c r="AD418" i="25"/>
  <c r="AE418" i="25" s="1"/>
  <c r="U396" i="25"/>
  <c r="AD395" i="25"/>
  <c r="AE395" i="25" s="1"/>
  <c r="U365" i="25"/>
  <c r="AD364" i="25"/>
  <c r="AE364" i="25" s="1"/>
  <c r="U340" i="25"/>
  <c r="AD339" i="25"/>
  <c r="AE339" i="25" s="1"/>
  <c r="U331" i="25"/>
  <c r="AD330" i="25"/>
  <c r="AE330" i="25" s="1"/>
  <c r="U290" i="25"/>
  <c r="AD289" i="25"/>
  <c r="AE289" i="25" s="1"/>
  <c r="U271" i="25"/>
  <c r="AD270" i="25"/>
  <c r="AE270" i="25" s="1"/>
  <c r="U335" i="25"/>
  <c r="AD334" i="25"/>
  <c r="AE334" i="25" s="1"/>
  <c r="AD293" i="25"/>
  <c r="AE293" i="25" s="1"/>
  <c r="U294" i="25"/>
  <c r="U274" i="25"/>
  <c r="AD273" i="25"/>
  <c r="AE273" i="25" s="1"/>
  <c r="U258" i="25"/>
  <c r="AD257" i="25"/>
  <c r="AE257" i="25" s="1"/>
  <c r="U210" i="25"/>
  <c r="AD209" i="25"/>
  <c r="AE209" i="25" s="1"/>
  <c r="U194" i="25"/>
  <c r="AD193" i="25"/>
  <c r="AE193" i="25" s="1"/>
  <c r="U178" i="25"/>
  <c r="AD177" i="25"/>
  <c r="AE177" i="25" s="1"/>
  <c r="U162" i="25"/>
  <c r="AD161" i="25"/>
  <c r="AE161" i="25" s="1"/>
  <c r="U146" i="25"/>
  <c r="AD145" i="25"/>
  <c r="AE145" i="25" s="1"/>
  <c r="U130" i="25"/>
  <c r="AD129" i="25"/>
  <c r="AE129" i="25" s="1"/>
  <c r="U320" i="25"/>
  <c r="AD319" i="25"/>
  <c r="AE319" i="25" s="1"/>
  <c r="U261" i="25"/>
  <c r="AD260" i="25"/>
  <c r="AE260" i="25" s="1"/>
  <c r="U155" i="25"/>
  <c r="AD154" i="25"/>
  <c r="AE154" i="25" s="1"/>
  <c r="U123" i="25"/>
  <c r="AD122" i="25"/>
  <c r="AE122" i="25" s="1"/>
  <c r="U98" i="25"/>
  <c r="AD97" i="25"/>
  <c r="AE97" i="25" s="1"/>
  <c r="U75" i="25"/>
  <c r="AD74" i="25"/>
  <c r="AE74" i="25" s="1"/>
  <c r="U97" i="25"/>
  <c r="AD96" i="25"/>
  <c r="AE96" i="25" s="1"/>
  <c r="AD55" i="25"/>
  <c r="AE55" i="25" s="1"/>
  <c r="U56" i="25"/>
  <c r="U297" i="25"/>
  <c r="AD296" i="25"/>
  <c r="AE296" i="25" s="1"/>
  <c r="U92" i="25"/>
  <c r="AD91" i="25"/>
  <c r="AE91" i="25" s="1"/>
  <c r="U69" i="25"/>
  <c r="AD68" i="25"/>
  <c r="AE68" i="25" s="1"/>
  <c r="U39" i="25"/>
  <c r="AD38" i="25"/>
  <c r="AE38" i="25" s="1"/>
  <c r="U169" i="25"/>
  <c r="AD168" i="25"/>
  <c r="AE168" i="25" s="1"/>
  <c r="U133" i="25"/>
  <c r="AD132" i="25"/>
  <c r="AE132" i="25" s="1"/>
  <c r="U157" i="25"/>
  <c r="AD156" i="25"/>
  <c r="AE156" i="25" s="1"/>
  <c r="U603" i="25"/>
  <c r="AD602" i="25"/>
  <c r="AE602" i="25" s="1"/>
  <c r="U604" i="25"/>
  <c r="AD603" i="25"/>
  <c r="AE603" i="25" s="1"/>
  <c r="U602" i="25"/>
  <c r="AD601" i="25"/>
  <c r="AE601" i="25" s="1"/>
  <c r="AD578" i="25"/>
  <c r="AE578" i="25" s="1"/>
  <c r="U579" i="25"/>
  <c r="U571" i="25"/>
  <c r="AD570" i="25"/>
  <c r="AE570" i="25" s="1"/>
  <c r="U600" i="25"/>
  <c r="AD599" i="25"/>
  <c r="AE599" i="25" s="1"/>
  <c r="U562" i="25"/>
  <c r="AD561" i="25"/>
  <c r="AE561" i="25" s="1"/>
  <c r="U544" i="25"/>
  <c r="AD543" i="25"/>
  <c r="AE543" i="25" s="1"/>
  <c r="U572" i="25"/>
  <c r="AD571" i="25"/>
  <c r="AE571" i="25" s="1"/>
  <c r="U555" i="25"/>
  <c r="AD554" i="25"/>
  <c r="AE554" i="25" s="1"/>
  <c r="U484" i="25"/>
  <c r="AD483" i="25"/>
  <c r="AE483" i="25" s="1"/>
  <c r="AD430" i="25"/>
  <c r="AE430" i="25" s="1"/>
  <c r="U431" i="25"/>
  <c r="U448" i="25"/>
  <c r="AD447" i="25"/>
  <c r="AE447" i="25" s="1"/>
  <c r="U301" i="25"/>
  <c r="AD300" i="25"/>
  <c r="AE300" i="25" s="1"/>
  <c r="U395" i="25"/>
  <c r="AD394" i="25"/>
  <c r="AE394" i="25" s="1"/>
  <c r="U342" i="25"/>
  <c r="AD341" i="25"/>
  <c r="AE341" i="25" s="1"/>
  <c r="U287" i="25"/>
  <c r="AD286" i="25"/>
  <c r="AE286" i="25" s="1"/>
  <c r="U222" i="25"/>
  <c r="AD221" i="25"/>
  <c r="AE221" i="25" s="1"/>
  <c r="U190" i="25"/>
  <c r="AD189" i="25"/>
  <c r="AE189" i="25" s="1"/>
  <c r="U158" i="25"/>
  <c r="AD157" i="25"/>
  <c r="AE157" i="25" s="1"/>
  <c r="U304" i="25"/>
  <c r="AD303" i="25"/>
  <c r="AE303" i="25" s="1"/>
  <c r="U179" i="25"/>
  <c r="AD178" i="25"/>
  <c r="AE178" i="25" s="1"/>
  <c r="AD43" i="25"/>
  <c r="AE43" i="25" s="1"/>
  <c r="U44" i="25"/>
  <c r="U34" i="25"/>
  <c r="AD33" i="25"/>
  <c r="AE33" i="25" s="1"/>
  <c r="AD37" i="25"/>
  <c r="AE37" i="25" s="1"/>
  <c r="U38" i="25"/>
  <c r="U14" i="25"/>
  <c r="AD13" i="25"/>
  <c r="U565" i="25"/>
  <c r="AD564" i="25"/>
  <c r="AE564" i="25" s="1"/>
  <c r="U582" i="25"/>
  <c r="AD581" i="25"/>
  <c r="AE581" i="25" s="1"/>
  <c r="U554" i="25"/>
  <c r="AD553" i="25"/>
  <c r="AE553" i="25" s="1"/>
  <c r="U533" i="25"/>
  <c r="AD532" i="25"/>
  <c r="AE532" i="25" s="1"/>
  <c r="U580" i="25"/>
  <c r="AD579" i="25"/>
  <c r="AE579" i="25" s="1"/>
  <c r="U527" i="25"/>
  <c r="AD526" i="25"/>
  <c r="AE526" i="25" s="1"/>
  <c r="U510" i="25"/>
  <c r="AD509" i="25"/>
  <c r="AE509" i="25" s="1"/>
  <c r="U553" i="25"/>
  <c r="AD552" i="25"/>
  <c r="AE552" i="25" s="1"/>
  <c r="U477" i="25"/>
  <c r="AD476" i="25"/>
  <c r="AE476" i="25" s="1"/>
  <c r="U495" i="25"/>
  <c r="AD494" i="25"/>
  <c r="AE494" i="25" s="1"/>
  <c r="AD448" i="25"/>
  <c r="AE448" i="25" s="1"/>
  <c r="U449" i="25"/>
  <c r="U479" i="25"/>
  <c r="AD478" i="25"/>
  <c r="AE478" i="25" s="1"/>
  <c r="U489" i="25"/>
  <c r="AD488" i="25"/>
  <c r="AE488" i="25" s="1"/>
  <c r="U410" i="25"/>
  <c r="AD409" i="25"/>
  <c r="AE409" i="25" s="1"/>
  <c r="U483" i="25"/>
  <c r="AD482" i="25"/>
  <c r="AE482" i="25" s="1"/>
  <c r="U428" i="25"/>
  <c r="AD427" i="25"/>
  <c r="AE427" i="25" s="1"/>
  <c r="AD426" i="25"/>
  <c r="AE426" i="25" s="1"/>
  <c r="U427" i="25"/>
  <c r="U404" i="25"/>
  <c r="AD403" i="25"/>
  <c r="AE403" i="25" s="1"/>
  <c r="U414" i="25"/>
  <c r="AD413" i="25"/>
  <c r="AE413" i="25" s="1"/>
  <c r="U390" i="25"/>
  <c r="AD389" i="25"/>
  <c r="AE389" i="25" s="1"/>
  <c r="U405" i="25"/>
  <c r="AD404" i="25"/>
  <c r="AE404" i="25" s="1"/>
  <c r="U381" i="25"/>
  <c r="AD380" i="25"/>
  <c r="AE380" i="25" s="1"/>
  <c r="U371" i="25"/>
  <c r="AD370" i="25"/>
  <c r="AE370" i="25" s="1"/>
  <c r="AD357" i="25"/>
  <c r="AE357" i="25" s="1"/>
  <c r="U358" i="25"/>
  <c r="U298" i="25"/>
  <c r="AD297" i="25"/>
  <c r="AE297" i="25" s="1"/>
  <c r="AD276" i="25"/>
  <c r="AE276" i="25" s="1"/>
  <c r="U277" i="25"/>
  <c r="U343" i="25"/>
  <c r="AD342" i="25"/>
  <c r="AE342" i="25" s="1"/>
  <c r="U279" i="25"/>
  <c r="AD278" i="25"/>
  <c r="AE278" i="25" s="1"/>
  <c r="AD247" i="25"/>
  <c r="AE247" i="25" s="1"/>
  <c r="U248" i="25"/>
  <c r="U235" i="25"/>
  <c r="AD234" i="25"/>
  <c r="AE234" i="25" s="1"/>
  <c r="AD215" i="25"/>
  <c r="AE215" i="25" s="1"/>
  <c r="U216" i="25"/>
  <c r="AD183" i="25"/>
  <c r="AE183" i="25" s="1"/>
  <c r="U184" i="25"/>
  <c r="AD151" i="25"/>
  <c r="AE151" i="25" s="1"/>
  <c r="U152" i="25"/>
  <c r="AD119" i="25"/>
  <c r="AE119" i="25" s="1"/>
  <c r="U120" i="25"/>
  <c r="U106" i="25"/>
  <c r="AD105" i="25"/>
  <c r="AE105" i="25" s="1"/>
  <c r="U83" i="25"/>
  <c r="AD82" i="25"/>
  <c r="AE82" i="25" s="1"/>
  <c r="U255" i="25"/>
  <c r="AD254" i="25"/>
  <c r="AE254" i="25" s="1"/>
  <c r="U64" i="25"/>
  <c r="AD63" i="25"/>
  <c r="AE63" i="25" s="1"/>
  <c r="U100" i="25"/>
  <c r="AD99" i="25"/>
  <c r="AE99" i="25" s="1"/>
  <c r="U77" i="25"/>
  <c r="AD76" i="25"/>
  <c r="AE76" i="25" s="1"/>
  <c r="U36" i="25"/>
  <c r="AD35" i="25"/>
  <c r="AE35" i="25" s="1"/>
  <c r="U63" i="25"/>
  <c r="AD62" i="25"/>
  <c r="AE62" i="25" s="1"/>
  <c r="U16" i="25"/>
  <c r="AD15" i="25"/>
  <c r="AE15" i="25" s="1"/>
  <c r="U46" i="25"/>
  <c r="AD45" i="25"/>
  <c r="AE45" i="25" s="1"/>
  <c r="U181" i="25"/>
  <c r="AD180" i="25"/>
  <c r="AE180" i="25" s="1"/>
  <c r="U25" i="25"/>
  <c r="AD24" i="25"/>
  <c r="AE24" i="25" s="1"/>
  <c r="U153" i="25"/>
  <c r="AD152" i="25"/>
  <c r="AE152" i="25" s="1"/>
  <c r="U549" i="25"/>
  <c r="AD548" i="25"/>
  <c r="AE548" i="25" s="1"/>
  <c r="U499" i="25"/>
  <c r="AD498" i="25"/>
  <c r="AE498" i="25" s="1"/>
  <c r="U432" i="25"/>
  <c r="AD431" i="25"/>
  <c r="AE431" i="25" s="1"/>
  <c r="AD402" i="25"/>
  <c r="AE402" i="25" s="1"/>
  <c r="U403" i="25"/>
  <c r="U375" i="25"/>
  <c r="AD374" i="25"/>
  <c r="AE374" i="25" s="1"/>
  <c r="U345" i="25"/>
  <c r="AD344" i="25"/>
  <c r="AE344" i="25" s="1"/>
  <c r="AD266" i="25"/>
  <c r="AE266" i="25" s="1"/>
  <c r="U267" i="25"/>
  <c r="U289" i="25"/>
  <c r="AD288" i="25"/>
  <c r="AE288" i="25" s="1"/>
  <c r="U195" i="25"/>
  <c r="AD194" i="25"/>
  <c r="AE194" i="25" s="1"/>
  <c r="U104" i="25"/>
  <c r="AD103" i="25"/>
  <c r="AE103" i="25" s="1"/>
  <c r="U121" i="25"/>
  <c r="AD120" i="25"/>
  <c r="AE120" i="25" s="1"/>
  <c r="U189" i="25"/>
  <c r="AD188" i="25"/>
  <c r="AE188" i="25" s="1"/>
  <c r="U21" i="25"/>
  <c r="AD20" i="25"/>
  <c r="AE20" i="25" s="1"/>
  <c r="U601" i="25"/>
  <c r="AD600" i="25"/>
  <c r="AE600" i="25" s="1"/>
  <c r="U585" i="25"/>
  <c r="AD584" i="25"/>
  <c r="AE584" i="25" s="1"/>
  <c r="U561" i="25"/>
  <c r="AD560" i="25"/>
  <c r="AE560" i="25" s="1"/>
  <c r="U534" i="25"/>
  <c r="AD533" i="25"/>
  <c r="AE533" i="25" s="1"/>
  <c r="U543" i="25"/>
  <c r="AD542" i="25"/>
  <c r="AE542" i="25" s="1"/>
  <c r="U523" i="25"/>
  <c r="AD522" i="25"/>
  <c r="AE522" i="25" s="1"/>
  <c r="U506" i="25"/>
  <c r="AD505" i="25"/>
  <c r="AE505" i="25" s="1"/>
  <c r="AD473" i="25"/>
  <c r="AE473" i="25" s="1"/>
  <c r="U474" i="25"/>
  <c r="U518" i="25"/>
  <c r="AD517" i="25"/>
  <c r="AE517" i="25" s="1"/>
  <c r="U509" i="25"/>
  <c r="AD508" i="25"/>
  <c r="AE508" i="25" s="1"/>
  <c r="U461" i="25"/>
  <c r="AD460" i="25"/>
  <c r="AE460" i="25" s="1"/>
  <c r="U445" i="25"/>
  <c r="AD444" i="25"/>
  <c r="AE444" i="25" s="1"/>
  <c r="U429" i="25"/>
  <c r="AD428" i="25"/>
  <c r="AE428" i="25" s="1"/>
  <c r="U438" i="25"/>
  <c r="AD437" i="25"/>
  <c r="AE437" i="25" s="1"/>
  <c r="U426" i="25"/>
  <c r="AD425" i="25"/>
  <c r="AE425" i="25" s="1"/>
  <c r="U423" i="25"/>
  <c r="AD422" i="25"/>
  <c r="AE422" i="25" s="1"/>
  <c r="U420" i="25"/>
  <c r="AD419" i="25"/>
  <c r="AE419" i="25" s="1"/>
  <c r="U383" i="25"/>
  <c r="AD382" i="25"/>
  <c r="AE382" i="25" s="1"/>
  <c r="U421" i="25"/>
  <c r="AD420" i="25"/>
  <c r="AE420" i="25" s="1"/>
  <c r="U300" i="25"/>
  <c r="AD299" i="25"/>
  <c r="AE299" i="25" s="1"/>
  <c r="U378" i="25"/>
  <c r="AD377" i="25"/>
  <c r="AE377" i="25" s="1"/>
  <c r="U291" i="25"/>
  <c r="AD290" i="25"/>
  <c r="AE290" i="25" s="1"/>
  <c r="U273" i="25"/>
  <c r="AD272" i="25"/>
  <c r="AE272" i="25" s="1"/>
  <c r="U318" i="25"/>
  <c r="AD317" i="25"/>
  <c r="AE317" i="25" s="1"/>
  <c r="U276" i="25"/>
  <c r="AD275" i="25"/>
  <c r="AE275" i="25" s="1"/>
  <c r="U251" i="25"/>
  <c r="AD250" i="25"/>
  <c r="AE250" i="25" s="1"/>
  <c r="AD195" i="25"/>
  <c r="AE195" i="25" s="1"/>
  <c r="U196" i="25"/>
  <c r="AD163" i="25"/>
  <c r="AE163" i="25" s="1"/>
  <c r="U164" i="25"/>
  <c r="AD131" i="25"/>
  <c r="AE131" i="25" s="1"/>
  <c r="U132" i="25"/>
  <c r="U321" i="25"/>
  <c r="AD320" i="25"/>
  <c r="AE320" i="25" s="1"/>
  <c r="U221" i="25"/>
  <c r="AD220" i="25"/>
  <c r="AE220" i="25" s="1"/>
  <c r="U191" i="25"/>
  <c r="AD190" i="25"/>
  <c r="AE190" i="25" s="1"/>
  <c r="U159" i="25"/>
  <c r="AD158" i="25"/>
  <c r="AE158" i="25" s="1"/>
  <c r="U127" i="25"/>
  <c r="AD126" i="25"/>
  <c r="AE126" i="25" s="1"/>
  <c r="U58" i="25"/>
  <c r="AD57" i="25"/>
  <c r="AE57" i="25" s="1"/>
  <c r="U223" i="25"/>
  <c r="AD222" i="25"/>
  <c r="AE222" i="25" s="1"/>
  <c r="U80" i="25"/>
  <c r="AD79" i="25"/>
  <c r="AE79" i="25" s="1"/>
  <c r="U57" i="25"/>
  <c r="AD56" i="25"/>
  <c r="AE56" i="25" s="1"/>
  <c r="U328" i="25"/>
  <c r="AD327" i="25"/>
  <c r="AE327" i="25" s="1"/>
  <c r="AD115" i="25"/>
  <c r="AE115" i="25" s="1"/>
  <c r="U116" i="25"/>
  <c r="U29" i="25"/>
  <c r="AD28" i="25"/>
  <c r="AE28" i="25" s="1"/>
  <c r="U201" i="25"/>
  <c r="AD200" i="25"/>
  <c r="AE200" i="25" s="1"/>
  <c r="U31" i="25"/>
  <c r="AD30" i="25"/>
  <c r="AE30" i="25" s="1"/>
  <c r="U22" i="25"/>
  <c r="AD21" i="25"/>
  <c r="AE21" i="25" s="1"/>
  <c r="U70" i="25"/>
  <c r="AD69" i="25"/>
  <c r="AE69" i="25" s="1"/>
  <c r="U18" i="25"/>
  <c r="AD17" i="25"/>
  <c r="AE17" i="25" s="1"/>
  <c r="U385" i="25"/>
  <c r="AD384" i="25"/>
  <c r="AE384" i="25" s="1"/>
  <c r="U379" i="25"/>
  <c r="AD378" i="25"/>
  <c r="AE378" i="25" s="1"/>
  <c r="AD237" i="25"/>
  <c r="AE237" i="25" s="1"/>
  <c r="U238" i="25"/>
  <c r="U182" i="25"/>
  <c r="AD181" i="25"/>
  <c r="AE181" i="25" s="1"/>
  <c r="U126" i="25"/>
  <c r="AD125" i="25"/>
  <c r="AE125" i="25" s="1"/>
  <c r="U53" i="25"/>
  <c r="AD52" i="25"/>
  <c r="AE52" i="25" s="1"/>
  <c r="U110" i="25"/>
  <c r="AD109" i="25"/>
  <c r="AE109" i="25" s="1"/>
  <c r="U583" i="25"/>
  <c r="AD582" i="25"/>
  <c r="AE582" i="25" s="1"/>
  <c r="AD577" i="25"/>
  <c r="AE577" i="25" s="1"/>
  <c r="U578" i="25"/>
  <c r="U521" i="25"/>
  <c r="AD520" i="25"/>
  <c r="AE520" i="25" s="1"/>
  <c r="U504" i="25"/>
  <c r="AD503" i="25"/>
  <c r="AE503" i="25" s="1"/>
  <c r="U459" i="25"/>
  <c r="AD458" i="25"/>
  <c r="AE458" i="25" s="1"/>
  <c r="U443" i="25"/>
  <c r="AD442" i="25"/>
  <c r="AE442" i="25" s="1"/>
  <c r="U471" i="25"/>
  <c r="AD470" i="25"/>
  <c r="AE470" i="25" s="1"/>
  <c r="U452" i="25"/>
  <c r="AD451" i="25"/>
  <c r="AE451" i="25" s="1"/>
  <c r="U436" i="25"/>
  <c r="AD435" i="25"/>
  <c r="AE435" i="25" s="1"/>
  <c r="U402" i="25"/>
  <c r="AD401" i="25"/>
  <c r="AE401" i="25" s="1"/>
  <c r="U465" i="25"/>
  <c r="AD464" i="25"/>
  <c r="AE464" i="25" s="1"/>
  <c r="U481" i="25"/>
  <c r="AD480" i="25"/>
  <c r="AE480" i="25" s="1"/>
  <c r="U400" i="25"/>
  <c r="AD399" i="25"/>
  <c r="AE399" i="25" s="1"/>
  <c r="U382" i="25"/>
  <c r="AD381" i="25"/>
  <c r="AE381" i="25" s="1"/>
  <c r="AD373" i="25"/>
  <c r="AE373" i="25" s="1"/>
  <c r="U374" i="25"/>
  <c r="U349" i="25"/>
  <c r="AD348" i="25"/>
  <c r="AE348" i="25" s="1"/>
  <c r="U317" i="25"/>
  <c r="AD316" i="25"/>
  <c r="AE316" i="25" s="1"/>
  <c r="U352" i="25"/>
  <c r="AD351" i="25"/>
  <c r="AE351" i="25" s="1"/>
  <c r="U242" i="25"/>
  <c r="AD241" i="25"/>
  <c r="AE241" i="25" s="1"/>
  <c r="U226" i="25"/>
  <c r="AD225" i="25"/>
  <c r="AE225" i="25" s="1"/>
  <c r="U227" i="25"/>
  <c r="AD226" i="25"/>
  <c r="AE226" i="25" s="1"/>
  <c r="U257" i="25"/>
  <c r="AD256" i="25"/>
  <c r="AE256" i="25" s="1"/>
  <c r="U219" i="25"/>
  <c r="AD218" i="25"/>
  <c r="AE218" i="25" s="1"/>
  <c r="U187" i="25"/>
  <c r="AD186" i="25"/>
  <c r="AE186" i="25" s="1"/>
  <c r="U50" i="25"/>
  <c r="AD49" i="25"/>
  <c r="AE49" i="25" s="1"/>
  <c r="AD27" i="25"/>
  <c r="AE27" i="25" s="1"/>
  <c r="U28" i="25"/>
  <c r="U145" i="25"/>
  <c r="AD144" i="25"/>
  <c r="AE144" i="25" s="1"/>
  <c r="U54" i="25"/>
  <c r="AD53" i="25"/>
  <c r="AE53" i="25" s="1"/>
  <c r="U47" i="25"/>
  <c r="AD46" i="25"/>
  <c r="AE46" i="25" s="1"/>
  <c r="U598" i="25"/>
  <c r="AD597" i="25"/>
  <c r="AE597" i="25" s="1"/>
  <c r="AD527" i="25"/>
  <c r="AE527" i="25" s="1"/>
  <c r="U528" i="25"/>
  <c r="U529" i="25"/>
  <c r="AD528" i="25"/>
  <c r="AE528" i="25" s="1"/>
  <c r="U398" i="25"/>
  <c r="AD397" i="25"/>
  <c r="AE397" i="25" s="1"/>
  <c r="AD375" i="25"/>
  <c r="AE375" i="25" s="1"/>
  <c r="U376" i="25"/>
  <c r="AD253" i="25"/>
  <c r="AE253" i="25" s="1"/>
  <c r="U254" i="25"/>
  <c r="U114" i="25"/>
  <c r="AD113" i="25"/>
  <c r="AE113" i="25" s="1"/>
  <c r="U85" i="25"/>
  <c r="AD84" i="25"/>
  <c r="AE84" i="25" s="1"/>
  <c r="U24" i="25"/>
  <c r="AD23" i="25"/>
  <c r="AE23" i="25" s="1"/>
  <c r="U225" i="25"/>
  <c r="AD224" i="25"/>
  <c r="AE224" i="25" s="1"/>
  <c r="U125" i="25"/>
  <c r="AD124" i="25"/>
  <c r="AE124" i="25" s="1"/>
  <c r="U605" i="25"/>
  <c r="AD604" i="25"/>
  <c r="AE604" i="25" s="1"/>
  <c r="U589" i="25"/>
  <c r="AD588" i="25"/>
  <c r="AE588" i="25" s="1"/>
  <c r="U592" i="25"/>
  <c r="AD591" i="25"/>
  <c r="AE591" i="25" s="1"/>
  <c r="U538" i="25"/>
  <c r="AD537" i="25"/>
  <c r="AE537" i="25" s="1"/>
  <c r="U558" i="25"/>
  <c r="AD557" i="25"/>
  <c r="AE557" i="25" s="1"/>
  <c r="U494" i="25"/>
  <c r="AD493" i="25"/>
  <c r="AE493" i="25" s="1"/>
  <c r="U478" i="25"/>
  <c r="AD477" i="25"/>
  <c r="AE477" i="25" s="1"/>
  <c r="AD432" i="25"/>
  <c r="AE432" i="25" s="1"/>
  <c r="U433" i="25"/>
  <c r="U458" i="25"/>
  <c r="AD457" i="25"/>
  <c r="AE457" i="25" s="1"/>
  <c r="U442" i="25"/>
  <c r="AD441" i="25"/>
  <c r="AE441" i="25" s="1"/>
  <c r="U407" i="25"/>
  <c r="AD406" i="25"/>
  <c r="AE406" i="25" s="1"/>
  <c r="U355" i="25"/>
  <c r="AD354" i="25"/>
  <c r="AE354" i="25" s="1"/>
  <c r="U325" i="25"/>
  <c r="AD324" i="25"/>
  <c r="AE324" i="25" s="1"/>
  <c r="U284" i="25"/>
  <c r="AD283" i="25"/>
  <c r="AE283" i="25" s="1"/>
  <c r="U339" i="25"/>
  <c r="AD338" i="25"/>
  <c r="AE338" i="25" s="1"/>
  <c r="AD301" i="25"/>
  <c r="AE301" i="25" s="1"/>
  <c r="U302" i="25"/>
  <c r="U264" i="25"/>
  <c r="AD263" i="25"/>
  <c r="AE263" i="25" s="1"/>
  <c r="AD231" i="25"/>
  <c r="AE231" i="25" s="1"/>
  <c r="U232" i="25"/>
  <c r="AD199" i="25"/>
  <c r="AE199" i="25" s="1"/>
  <c r="U200" i="25"/>
  <c r="AD167" i="25"/>
  <c r="AE167" i="25" s="1"/>
  <c r="U168" i="25"/>
  <c r="AD135" i="25"/>
  <c r="AE135" i="25" s="1"/>
  <c r="U136" i="25"/>
  <c r="U199" i="25"/>
  <c r="AD198" i="25"/>
  <c r="AE198" i="25" s="1"/>
  <c r="U167" i="25"/>
  <c r="AD166" i="25"/>
  <c r="AE166" i="25" s="1"/>
  <c r="U135" i="25"/>
  <c r="AD134" i="25"/>
  <c r="AE134" i="25" s="1"/>
  <c r="U105" i="25"/>
  <c r="AD104" i="25"/>
  <c r="AE104" i="25" s="1"/>
  <c r="U41" i="25"/>
  <c r="AD40" i="25"/>
  <c r="AE40" i="25" s="1"/>
  <c r="U193" i="25"/>
  <c r="AD192" i="25"/>
  <c r="AE192" i="25" s="1"/>
  <c r="U86" i="25"/>
  <c r="AD85" i="25"/>
  <c r="AE85" i="25" s="1"/>
  <c r="U205" i="25"/>
  <c r="AD204" i="25"/>
  <c r="AE204" i="25" s="1"/>
  <c r="U27" i="25"/>
  <c r="AD26" i="25"/>
  <c r="AE26" i="25" s="1"/>
  <c r="AD516" i="25"/>
  <c r="AE516" i="25" s="1"/>
  <c r="U517" i="25"/>
  <c r="U468" i="25"/>
  <c r="AD467" i="25"/>
  <c r="AE467" i="25" s="1"/>
  <c r="U487" i="25"/>
  <c r="AD486" i="25"/>
  <c r="AE486" i="25" s="1"/>
  <c r="U389" i="25"/>
  <c r="AD388" i="25"/>
  <c r="AE388" i="25" s="1"/>
  <c r="U315" i="25"/>
  <c r="AD314" i="25"/>
  <c r="AE314" i="25" s="1"/>
  <c r="U319" i="25"/>
  <c r="AD318" i="25"/>
  <c r="AE318" i="25" s="1"/>
  <c r="AD245" i="25"/>
  <c r="AE245" i="25" s="1"/>
  <c r="U246" i="25"/>
  <c r="U174" i="25"/>
  <c r="AD173" i="25"/>
  <c r="AE173" i="25" s="1"/>
  <c r="U337" i="25"/>
  <c r="AD336" i="25"/>
  <c r="AE336" i="25" s="1"/>
  <c r="U49" i="25"/>
  <c r="AD48" i="25"/>
  <c r="AE48" i="25" s="1"/>
  <c r="AD613" i="25"/>
  <c r="AE613" i="25" s="1"/>
  <c r="U613" i="25"/>
  <c r="AD612" i="25"/>
  <c r="AE612" i="25" s="1"/>
  <c r="U588" i="25"/>
  <c r="AD587" i="25"/>
  <c r="AE587" i="25" s="1"/>
  <c r="U576" i="25"/>
  <c r="AD575" i="25"/>
  <c r="AE575" i="25" s="1"/>
  <c r="U550" i="25"/>
  <c r="AD549" i="25"/>
  <c r="AE549" i="25" s="1"/>
  <c r="U547" i="25"/>
  <c r="AD546" i="25"/>
  <c r="AE546" i="25" s="1"/>
  <c r="U490" i="25"/>
  <c r="AD489" i="25"/>
  <c r="AE489" i="25" s="1"/>
  <c r="AD513" i="25"/>
  <c r="AE513" i="25" s="1"/>
  <c r="U514" i="25"/>
  <c r="U454" i="25"/>
  <c r="AD453" i="25"/>
  <c r="AE453" i="25" s="1"/>
  <c r="U397" i="25"/>
  <c r="AD396" i="25"/>
  <c r="AE396" i="25" s="1"/>
  <c r="U384" i="25"/>
  <c r="AD383" i="25"/>
  <c r="AE383" i="25" s="1"/>
  <c r="U367" i="25"/>
  <c r="AD366" i="25"/>
  <c r="AE366" i="25" s="1"/>
  <c r="U351" i="25"/>
  <c r="AD350" i="25"/>
  <c r="AE350" i="25" s="1"/>
  <c r="U341" i="25"/>
  <c r="AD340" i="25"/>
  <c r="AE340" i="25" s="1"/>
  <c r="AD353" i="25"/>
  <c r="AE353" i="25" s="1"/>
  <c r="U354" i="25"/>
  <c r="U314" i="25"/>
  <c r="AD313" i="25"/>
  <c r="AE313" i="25" s="1"/>
  <c r="U394" i="25"/>
  <c r="AD393" i="25"/>
  <c r="AE393" i="25" s="1"/>
  <c r="U295" i="25"/>
  <c r="AD294" i="25"/>
  <c r="AE294" i="25" s="1"/>
  <c r="U260" i="25"/>
  <c r="AD259" i="25"/>
  <c r="AE259" i="25" s="1"/>
  <c r="U244" i="25"/>
  <c r="AD243" i="25"/>
  <c r="AE243" i="25" s="1"/>
  <c r="U228" i="25"/>
  <c r="AD227" i="25"/>
  <c r="AE227" i="25" s="1"/>
  <c r="U280" i="25"/>
  <c r="AD279" i="25"/>
  <c r="AE279" i="25" s="1"/>
  <c r="AD211" i="25"/>
  <c r="AE211" i="25" s="1"/>
  <c r="U212" i="25"/>
  <c r="AD179" i="25"/>
  <c r="AE179" i="25" s="1"/>
  <c r="U180" i="25"/>
  <c r="AD147" i="25"/>
  <c r="AE147" i="25" s="1"/>
  <c r="U148" i="25"/>
  <c r="U336" i="25"/>
  <c r="AD335" i="25"/>
  <c r="AE335" i="25" s="1"/>
  <c r="U99" i="25"/>
  <c r="AD98" i="25"/>
  <c r="AE98" i="25" s="1"/>
  <c r="U93" i="25"/>
  <c r="AD92" i="25"/>
  <c r="AE92" i="25" s="1"/>
  <c r="AD51" i="25"/>
  <c r="AE51" i="25" s="1"/>
  <c r="U52" i="25"/>
  <c r="U161" i="25"/>
  <c r="AD160" i="25"/>
  <c r="AE160" i="25" s="1"/>
  <c r="U149" i="25"/>
  <c r="AD148" i="25"/>
  <c r="AE148" i="25" s="1"/>
  <c r="U55" i="25"/>
  <c r="AD54" i="25"/>
  <c r="AE54" i="25" s="1"/>
  <c r="U173" i="25"/>
  <c r="AD172" i="25"/>
  <c r="AE172" i="25" s="1"/>
  <c r="U545" i="25"/>
  <c r="AD544" i="25"/>
  <c r="AE544" i="25" s="1"/>
  <c r="U476" i="25"/>
  <c r="AD475" i="25"/>
  <c r="AE475" i="25" s="1"/>
  <c r="AD438" i="25"/>
  <c r="AE438" i="25" s="1"/>
  <c r="U439" i="25"/>
  <c r="U412" i="25"/>
  <c r="AD411" i="25"/>
  <c r="AE411" i="25" s="1"/>
  <c r="U333" i="25"/>
  <c r="AD332" i="25"/>
  <c r="AE332" i="25" s="1"/>
  <c r="U306" i="25"/>
  <c r="AD305" i="25"/>
  <c r="AE305" i="25" s="1"/>
  <c r="AD363" i="25"/>
  <c r="AE363" i="25" s="1"/>
  <c r="U364" i="25"/>
  <c r="U91" i="25"/>
  <c r="AD90" i="25"/>
  <c r="AE90" i="25" s="1"/>
  <c r="U113" i="25"/>
  <c r="AD112" i="25"/>
  <c r="AE112" i="25" s="1"/>
  <c r="U40" i="25"/>
  <c r="AD39" i="25"/>
  <c r="AE39" i="25" s="1"/>
  <c r="U329" i="25"/>
  <c r="AD328" i="25"/>
  <c r="AE328" i="25" s="1"/>
  <c r="U111" i="25"/>
  <c r="AD110" i="25"/>
  <c r="AE110" i="25" s="1"/>
  <c r="AE387" i="17"/>
  <c r="AE535" i="17"/>
  <c r="AE416" i="17"/>
  <c r="AE426" i="17"/>
  <c r="AD128" i="17"/>
  <c r="AE128" i="17" s="1"/>
  <c r="AD297" i="17"/>
  <c r="AE297" i="17" s="1"/>
  <c r="AD62" i="17"/>
  <c r="AE62" i="17" s="1"/>
  <c r="AD533" i="17"/>
  <c r="AE533" i="17" s="1"/>
  <c r="AD520" i="17"/>
  <c r="AE520" i="17" s="1"/>
  <c r="AD35" i="17"/>
  <c r="AE35" i="17" s="1"/>
  <c r="AD93" i="17"/>
  <c r="AE93" i="17" s="1"/>
  <c r="AD199" i="17"/>
  <c r="AE199" i="17" s="1"/>
  <c r="AD175" i="17"/>
  <c r="AE175" i="17" s="1"/>
  <c r="AD534" i="17"/>
  <c r="AE534" i="17" s="1"/>
  <c r="AD200" i="17"/>
  <c r="AE200" i="17" s="1"/>
  <c r="AD190" i="17"/>
  <c r="AE190" i="17" s="1"/>
  <c r="AD270" i="17"/>
  <c r="AE270" i="17" s="1"/>
  <c r="AD82" i="17"/>
  <c r="AE82" i="17" s="1"/>
  <c r="AD538" i="17"/>
  <c r="AE538" i="17" s="1"/>
  <c r="AD302" i="17"/>
  <c r="AE302" i="17" s="1"/>
  <c r="AD355" i="17"/>
  <c r="AE355" i="17" s="1"/>
  <c r="AD52" i="17"/>
  <c r="AE52" i="17" s="1"/>
  <c r="AD219" i="17"/>
  <c r="AE219" i="17" s="1"/>
  <c r="AD334" i="17"/>
  <c r="AE334" i="17" s="1"/>
  <c r="AD137" i="17"/>
  <c r="AE137" i="17" s="1"/>
  <c r="AD325" i="17"/>
  <c r="AE325" i="17" s="1"/>
  <c r="AD360" i="17"/>
  <c r="AE360" i="17" s="1"/>
  <c r="AD283" i="17"/>
  <c r="AE283" i="17" s="1"/>
  <c r="AD63" i="17"/>
  <c r="AE63" i="17" s="1"/>
  <c r="AD326" i="17"/>
  <c r="AE326" i="17" s="1"/>
  <c r="AD576" i="17"/>
  <c r="AE576" i="17" s="1"/>
  <c r="AD593" i="17"/>
  <c r="AE593" i="17" s="1"/>
  <c r="AD592" i="17"/>
  <c r="AE592" i="17" s="1"/>
  <c r="AD316" i="17"/>
  <c r="AE316" i="17" s="1"/>
  <c r="AD101" i="17"/>
  <c r="AE101" i="17" s="1"/>
  <c r="AD90" i="17"/>
  <c r="AE90" i="17" s="1"/>
  <c r="AD410" i="17"/>
  <c r="AE410" i="17" s="1"/>
  <c r="AD294" i="17"/>
  <c r="AE294" i="17" s="1"/>
  <c r="AD413" i="17"/>
  <c r="AE413" i="17" s="1"/>
  <c r="AD234" i="17"/>
  <c r="AE234" i="17" s="1"/>
  <c r="AD58" i="17"/>
  <c r="AE58" i="17" s="1"/>
  <c r="AD233" i="17"/>
  <c r="AE233" i="17" s="1"/>
  <c r="AD459" i="17"/>
  <c r="AE459" i="17" s="1"/>
  <c r="AD590" i="17"/>
  <c r="AE590" i="17" s="1"/>
  <c r="AD405" i="17"/>
  <c r="AE405" i="17" s="1"/>
  <c r="AD92" i="17"/>
  <c r="AE92" i="17" s="1"/>
  <c r="AD453" i="17"/>
  <c r="AE453" i="17" s="1"/>
  <c r="AD259" i="17"/>
  <c r="AE259" i="17" s="1"/>
  <c r="AD132" i="17"/>
  <c r="AE132" i="17" s="1"/>
  <c r="AD482" i="17"/>
  <c r="AE482" i="17" s="1"/>
  <c r="AD457" i="17"/>
  <c r="AE457" i="17" s="1"/>
  <c r="AD146" i="17"/>
  <c r="AE146" i="17" s="1"/>
  <c r="AD135" i="17"/>
  <c r="AE135" i="17" s="1"/>
  <c r="AD266" i="17"/>
  <c r="AE266" i="17" s="1"/>
  <c r="AD99" i="17"/>
  <c r="AE99" i="17" s="1"/>
  <c r="AD205" i="17"/>
  <c r="AE205" i="17" s="1"/>
  <c r="AD213" i="17"/>
  <c r="AE213" i="17" s="1"/>
  <c r="AD469" i="17"/>
  <c r="AE469" i="17" s="1"/>
  <c r="AD397" i="17"/>
  <c r="AE397" i="17" s="1"/>
  <c r="AD156" i="17"/>
  <c r="AE156" i="17" s="1"/>
  <c r="AD569" i="17"/>
  <c r="AE569" i="17" s="1"/>
  <c r="AD288" i="17"/>
  <c r="AE288" i="17" s="1"/>
  <c r="AD122" i="17"/>
  <c r="AE122" i="17" s="1"/>
  <c r="AD145" i="17"/>
  <c r="AE145" i="17" s="1"/>
  <c r="AD470" i="17"/>
  <c r="AE470" i="17" s="1"/>
  <c r="AD37" i="17"/>
  <c r="AE37" i="17" s="1"/>
  <c r="AD585" i="17"/>
  <c r="AE585" i="17" s="1"/>
  <c r="AD464" i="17"/>
  <c r="AE464" i="17" s="1"/>
  <c r="AD393" i="17"/>
  <c r="AE393" i="17" s="1"/>
  <c r="AD211" i="17"/>
  <c r="AE211" i="17" s="1"/>
  <c r="AD501" i="17"/>
  <c r="AE501" i="17" s="1"/>
  <c r="AD380" i="17"/>
  <c r="AE380" i="17" s="1"/>
  <c r="AD309" i="17"/>
  <c r="AE309" i="17" s="1"/>
  <c r="AD512" i="17"/>
  <c r="AE512" i="17" s="1"/>
  <c r="AD241" i="17"/>
  <c r="AE241" i="17" s="1"/>
  <c r="AD123" i="17"/>
  <c r="AE123" i="17" s="1"/>
  <c r="AD540" i="17"/>
  <c r="AE540" i="17" s="1"/>
  <c r="AD448" i="17"/>
  <c r="AE448" i="17" s="1"/>
  <c r="AD500" i="17"/>
  <c r="AE500" i="17" s="1"/>
  <c r="AD499" i="17"/>
  <c r="AE499" i="17" s="1"/>
  <c r="AD483" i="17"/>
  <c r="AE483" i="17" s="1"/>
  <c r="U130" i="17"/>
  <c r="AD597" i="17"/>
  <c r="AE597" i="17" s="1"/>
  <c r="AD166" i="17"/>
  <c r="AE166" i="17" s="1"/>
  <c r="AD442" i="17"/>
  <c r="AE442" i="17" s="1"/>
  <c r="AD67" i="17"/>
  <c r="AE67" i="17" s="1"/>
  <c r="AD411" i="17"/>
  <c r="AE411" i="17" s="1"/>
  <c r="AD329" i="17"/>
  <c r="AE329" i="17" s="1"/>
  <c r="AD255" i="17"/>
  <c r="AE255" i="17" s="1"/>
  <c r="AD289" i="17"/>
  <c r="AE289" i="17" s="1"/>
  <c r="AD484" i="17"/>
  <c r="AE484" i="17" s="1"/>
  <c r="AD607" i="17"/>
  <c r="AE607" i="17" s="1"/>
  <c r="AD26" i="17"/>
  <c r="AE26" i="17" s="1"/>
  <c r="AD203" i="17"/>
  <c r="AE203" i="17" s="1"/>
  <c r="AD348" i="17"/>
  <c r="AE348" i="17" s="1"/>
  <c r="AD253" i="17"/>
  <c r="AE253" i="17" s="1"/>
  <c r="AD97" i="17"/>
  <c r="AE97" i="17" s="1"/>
  <c r="AD55" i="17"/>
  <c r="AE55" i="17" s="1"/>
  <c r="AD515" i="17"/>
  <c r="AE515" i="17" s="1"/>
  <c r="AD265" i="17"/>
  <c r="AE265" i="17" s="1"/>
  <c r="AD278" i="17"/>
  <c r="AE278" i="17" s="1"/>
  <c r="AD277" i="17"/>
  <c r="AE277" i="17" s="1"/>
  <c r="AD354" i="17"/>
  <c r="AE354" i="17" s="1"/>
  <c r="AD15" i="17"/>
  <c r="AE15" i="17" s="1"/>
  <c r="AD158" i="17"/>
  <c r="AE158" i="17" s="1"/>
  <c r="AD290" i="17"/>
  <c r="AE290" i="17" s="1"/>
  <c r="AD319" i="17"/>
  <c r="AE319" i="17" s="1"/>
  <c r="AD109" i="17"/>
  <c r="AE109" i="17" s="1"/>
  <c r="AD193" i="17"/>
  <c r="AE193" i="17" s="1"/>
  <c r="AD235" i="17"/>
  <c r="AE235" i="17" s="1"/>
  <c r="AD115" i="17"/>
  <c r="AE115" i="17" s="1"/>
  <c r="AD120" i="17"/>
  <c r="AE120" i="17" s="1"/>
  <c r="AD528" i="17"/>
  <c r="AE528" i="17" s="1"/>
  <c r="AD61" i="17"/>
  <c r="AE61" i="17" s="1"/>
  <c r="AD460" i="17"/>
  <c r="AE460" i="17" s="1"/>
  <c r="AD548" i="17"/>
  <c r="AE548" i="17" s="1"/>
  <c r="AD121" i="17"/>
  <c r="AE121" i="17" s="1"/>
  <c r="AD286" i="17"/>
  <c r="AE286" i="17" s="1"/>
  <c r="AD566" i="17"/>
  <c r="AE566" i="17" s="1"/>
  <c r="AD439" i="17"/>
  <c r="AE439" i="17" s="1"/>
  <c r="AD71" i="17"/>
  <c r="AE71" i="17" s="1"/>
  <c r="AD307" i="17"/>
  <c r="AE307" i="17" s="1"/>
  <c r="AD299" i="17"/>
  <c r="AE299" i="17" s="1"/>
  <c r="AD609" i="17"/>
  <c r="AE609" i="17" s="1"/>
  <c r="AD162" i="17"/>
  <c r="AE162" i="17" s="1"/>
  <c r="AD320" i="17"/>
  <c r="AE320" i="17" s="1"/>
  <c r="AD487" i="17"/>
  <c r="AE487" i="17" s="1"/>
  <c r="AD516" i="17"/>
  <c r="AE516" i="17" s="1"/>
  <c r="AD359" i="17"/>
  <c r="AE359" i="17" s="1"/>
  <c r="AD20" i="17"/>
  <c r="AE20" i="17" s="1"/>
  <c r="AD186" i="17"/>
  <c r="AE186" i="17" s="1"/>
  <c r="AD59" i="17"/>
  <c r="AE59" i="17" s="1"/>
  <c r="AD357" i="17"/>
  <c r="AE357" i="17" s="1"/>
  <c r="AD107" i="17"/>
  <c r="AE107" i="17" s="1"/>
  <c r="AD184" i="17"/>
  <c r="AE184" i="17" s="1"/>
  <c r="AD66" i="17"/>
  <c r="AE66" i="17" s="1"/>
  <c r="AD300" i="17"/>
  <c r="AE300" i="17" s="1"/>
  <c r="AD284" i="17"/>
  <c r="AE284" i="17" s="1"/>
  <c r="AD508" i="17"/>
  <c r="AE508" i="17" s="1"/>
  <c r="AD554" i="17"/>
  <c r="AE554" i="17" s="1"/>
  <c r="AD412" i="17"/>
  <c r="AE412" i="17" s="1"/>
  <c r="AD375" i="17"/>
  <c r="AE375" i="17" s="1"/>
  <c r="AD293" i="17"/>
  <c r="AE293" i="17" s="1"/>
  <c r="AD441" i="17"/>
  <c r="AE441" i="17" s="1"/>
  <c r="AD440" i="17"/>
  <c r="AE440" i="17" s="1"/>
  <c r="AD494" i="17"/>
  <c r="AE494" i="17" s="1"/>
  <c r="AD49" i="17"/>
  <c r="AE49" i="17" s="1"/>
  <c r="AD308" i="17"/>
  <c r="AE308" i="17" s="1"/>
  <c r="AD225" i="17"/>
  <c r="AE225" i="17" s="1"/>
  <c r="AD436" i="17"/>
  <c r="AE436" i="17" s="1"/>
  <c r="AD351" i="17"/>
  <c r="AE351" i="17" s="1"/>
  <c r="AD224" i="17"/>
  <c r="AE224" i="17" s="1"/>
  <c r="AD418" i="17"/>
  <c r="AE418" i="17" s="1"/>
  <c r="AD415" i="17"/>
  <c r="AE415" i="17" s="1"/>
  <c r="AD565" i="17"/>
  <c r="AE565" i="17" s="1"/>
  <c r="AD574" i="17"/>
  <c r="AE574" i="17" s="1"/>
  <c r="AD496" i="17"/>
  <c r="AE496" i="17" s="1"/>
  <c r="AD563" i="17"/>
  <c r="AE563" i="17" s="1"/>
  <c r="AD251" i="17"/>
  <c r="AE251" i="17" s="1"/>
  <c r="AD57" i="17"/>
  <c r="AE57" i="17" s="1"/>
  <c r="AD139" i="17"/>
  <c r="AE139" i="17" s="1"/>
  <c r="AD349" i="17"/>
  <c r="AE349" i="17" s="1"/>
  <c r="AD72" i="17"/>
  <c r="AE72" i="17" s="1"/>
  <c r="AD539" i="17"/>
  <c r="AE539" i="17" s="1"/>
  <c r="AD567" i="17"/>
  <c r="AE567" i="17" s="1"/>
  <c r="AD419" i="17"/>
  <c r="AE419" i="17" s="1"/>
  <c r="AD555" i="17"/>
  <c r="AE555" i="17" s="1"/>
  <c r="AD147" i="17"/>
  <c r="AE147" i="17" s="1"/>
  <c r="U293" i="17"/>
  <c r="AD340" i="17"/>
  <c r="AE340" i="17" s="1"/>
  <c r="AD517" i="17"/>
  <c r="AE517" i="17" s="1"/>
  <c r="AD389" i="17"/>
  <c r="AE389" i="17" s="1"/>
  <c r="AD337" i="17"/>
  <c r="AE337" i="17" s="1"/>
  <c r="AD148" i="17"/>
  <c r="AE148" i="17" s="1"/>
  <c r="AD94" i="17"/>
  <c r="AE94" i="17" s="1"/>
  <c r="AD323" i="17"/>
  <c r="AE323" i="17" s="1"/>
  <c r="AD287" i="17"/>
  <c r="AE287" i="17" s="1"/>
  <c r="AD23" i="17"/>
  <c r="AE23" i="17" s="1"/>
  <c r="AD130" i="17"/>
  <c r="AE130" i="17" s="1"/>
  <c r="AD185" i="17"/>
  <c r="AE185" i="17" s="1"/>
  <c r="AD174" i="17"/>
  <c r="AE174" i="17" s="1"/>
  <c r="AD187" i="17"/>
  <c r="AE187" i="17" s="1"/>
  <c r="AD196" i="17"/>
  <c r="AE196" i="17" s="1"/>
  <c r="AD345" i="17"/>
  <c r="AE345" i="17" s="1"/>
  <c r="AD370" i="17"/>
  <c r="AE370" i="17" s="1"/>
  <c r="AD564" i="17"/>
  <c r="AE564" i="17" s="1"/>
  <c r="AD575" i="17"/>
  <c r="AE575" i="17" s="1"/>
  <c r="AD433" i="17"/>
  <c r="AE433" i="17" s="1"/>
  <c r="AD530" i="17"/>
  <c r="AE530" i="17" s="1"/>
  <c r="AD435" i="17"/>
  <c r="AE435" i="17" s="1"/>
  <c r="AD189" i="17"/>
  <c r="AE189" i="17" s="1"/>
  <c r="AD589" i="17"/>
  <c r="AE589" i="17" s="1"/>
  <c r="AD173" i="17"/>
  <c r="AE173" i="17" s="1"/>
  <c r="AD13" i="17"/>
  <c r="AE13" i="17" s="1"/>
  <c r="AD481" i="17"/>
  <c r="AE481" i="17" s="1"/>
  <c r="AD402" i="17"/>
  <c r="AE402" i="17" s="1"/>
  <c r="AD599" i="17"/>
  <c r="AE599" i="17" s="1"/>
  <c r="AD495" i="17"/>
  <c r="AE495" i="17" s="1"/>
  <c r="AD314" i="17"/>
  <c r="AE314" i="17" s="1"/>
  <c r="AD258" i="17"/>
  <c r="AE258" i="17" s="1"/>
  <c r="AD431" i="17"/>
  <c r="AE431" i="17" s="1"/>
  <c r="AD472" i="17"/>
  <c r="AE472" i="17" s="1"/>
  <c r="AD280" i="17"/>
  <c r="AE280" i="17" s="1"/>
  <c r="AD274" i="17"/>
  <c r="AE274" i="17" s="1"/>
  <c r="AD471" i="17"/>
  <c r="AE471" i="17" s="1"/>
  <c r="AD369" i="17"/>
  <c r="AE369" i="17" s="1"/>
  <c r="AD527" i="17"/>
  <c r="AE527" i="17" s="1"/>
  <c r="AD454" i="17"/>
  <c r="AE454" i="17" s="1"/>
  <c r="AD315" i="17"/>
  <c r="AE315" i="17" s="1"/>
  <c r="AD429" i="17"/>
  <c r="AE429" i="17" s="1"/>
  <c r="AD17" i="17"/>
  <c r="AE17" i="17" s="1"/>
  <c r="AD414" i="17"/>
  <c r="AE414" i="17" s="1"/>
  <c r="AD324" i="17"/>
  <c r="AE324" i="17" s="1"/>
  <c r="AD392" i="17"/>
  <c r="AE392" i="17" s="1"/>
  <c r="AD149" i="17"/>
  <c r="AE149" i="17" s="1"/>
  <c r="AD124" i="17"/>
  <c r="AE124" i="17" s="1"/>
  <c r="AD24" i="17"/>
  <c r="AE24" i="17" s="1"/>
  <c r="AD404" i="17"/>
  <c r="AE404" i="17" s="1"/>
  <c r="AD598" i="17"/>
  <c r="AE598" i="17" s="1"/>
  <c r="AD612" i="17"/>
  <c r="AE612" i="17" s="1"/>
  <c r="AD498" i="17"/>
  <c r="AE498" i="17" s="1"/>
  <c r="AD212" i="17"/>
  <c r="AE212" i="17" s="1"/>
  <c r="AD568" i="17"/>
  <c r="AE568" i="17" s="1"/>
  <c r="AD582" i="17"/>
  <c r="AE582" i="17" s="1"/>
  <c r="AD25" i="17"/>
  <c r="AE25" i="17" s="1"/>
  <c r="AD172" i="17"/>
  <c r="AE172" i="17" s="1"/>
  <c r="AD506" i="17"/>
  <c r="AE506" i="17" s="1"/>
  <c r="AD553" i="17"/>
  <c r="AE553" i="17" s="1"/>
  <c r="AD56" i="17"/>
  <c r="AE56" i="17" s="1"/>
  <c r="AD562" i="17"/>
  <c r="AE562" i="17" s="1"/>
  <c r="AD22" i="17"/>
  <c r="AE22" i="17" s="1"/>
  <c r="AD505" i="17"/>
  <c r="AE505" i="17" s="1"/>
  <c r="AD113" i="17"/>
  <c r="AE113" i="17" s="1"/>
  <c r="AD138" i="17"/>
  <c r="AE138" i="17" s="1"/>
  <c r="AD34" i="17"/>
  <c r="AE34" i="17" s="1"/>
  <c r="AD310" i="17"/>
  <c r="AE310" i="17" s="1"/>
  <c r="AD267" i="17"/>
  <c r="AE267" i="17" s="1"/>
  <c r="AD492" i="17"/>
  <c r="AE492" i="17" s="1"/>
  <c r="AD281" i="17"/>
  <c r="AE281" i="17" s="1"/>
  <c r="AD254" i="17"/>
  <c r="AE254" i="17" s="1"/>
  <c r="AD250" i="17"/>
  <c r="AE250" i="17" s="1"/>
  <c r="AD432" i="17"/>
  <c r="AE432" i="17" s="1"/>
  <c r="AD236" i="17"/>
  <c r="AE236" i="17" s="1"/>
  <c r="AD198" i="17"/>
  <c r="AE198" i="17" s="1"/>
  <c r="AD144" i="17"/>
  <c r="AE144" i="17" s="1"/>
  <c r="AD526" i="17"/>
  <c r="AE526" i="17" s="1"/>
  <c r="AD552" i="17"/>
  <c r="AE552" i="17" s="1"/>
  <c r="AD321" i="17"/>
  <c r="AE321" i="17" s="1"/>
  <c r="AD428" i="17"/>
  <c r="AE428" i="17" s="1"/>
  <c r="AD338" i="17"/>
  <c r="AE338" i="17" s="1"/>
  <c r="AD497" i="17"/>
  <c r="AE497" i="17" s="1"/>
  <c r="AD458" i="17"/>
  <c r="AE458" i="17" s="1"/>
  <c r="AD600" i="17"/>
  <c r="AE600" i="17" s="1"/>
  <c r="AD303" i="17"/>
  <c r="AE303" i="17" s="1"/>
  <c r="AD232" i="17"/>
  <c r="AE232" i="17" s="1"/>
  <c r="AD427" i="17"/>
  <c r="AE427" i="17" s="1"/>
  <c r="AD493" i="17"/>
  <c r="AE493" i="17" s="1"/>
  <c r="AD304" i="17"/>
  <c r="AE304" i="17" s="1"/>
  <c r="AD322" i="17"/>
  <c r="AE322" i="17" s="1"/>
  <c r="AD81" i="17"/>
  <c r="AE81" i="17" s="1"/>
  <c r="AD514" i="17"/>
  <c r="AE514" i="17" s="1"/>
  <c r="AD390" i="17"/>
  <c r="AE390" i="17" s="1"/>
  <c r="AD570" i="17"/>
  <c r="AE570" i="17" s="1"/>
  <c r="AD48" i="17"/>
  <c r="AE48" i="17" s="1"/>
  <c r="AD46" i="17"/>
  <c r="AE46" i="17" s="1"/>
  <c r="AD102" i="17"/>
  <c r="AE102" i="17" s="1"/>
  <c r="AD217" i="17"/>
  <c r="AE217" i="17" s="1"/>
  <c r="AD275" i="17"/>
  <c r="AE275" i="17" s="1"/>
  <c r="AD394" i="17"/>
  <c r="AE394" i="17" s="1"/>
  <c r="AD420" i="17"/>
  <c r="AE420" i="17" s="1"/>
  <c r="AD161" i="17"/>
  <c r="AE161" i="17" s="1"/>
  <c r="AD228" i="17"/>
  <c r="AE228" i="17" s="1"/>
  <c r="AD54" i="17"/>
  <c r="AE54" i="17" s="1"/>
  <c r="AD610" i="17"/>
  <c r="AE610" i="17" s="1"/>
  <c r="AD502" i="17"/>
  <c r="AE502" i="17" s="1"/>
  <c r="AD50" i="17"/>
  <c r="AE50" i="17" s="1"/>
  <c r="AD529" i="17"/>
  <c r="AE529" i="17" s="1"/>
  <c r="AD381" i="17"/>
  <c r="AE381" i="17" s="1"/>
  <c r="AD19" i="17"/>
  <c r="AE19" i="17" s="1"/>
  <c r="AD545" i="17"/>
  <c r="AE545" i="17" s="1"/>
  <c r="AD136" i="17"/>
  <c r="AE136" i="17" s="1"/>
  <c r="AD204" i="17"/>
  <c r="AE204" i="17" s="1"/>
  <c r="AD358" i="17"/>
  <c r="AE358" i="17" s="1"/>
  <c r="AD446" i="17"/>
  <c r="AE446" i="17" s="1"/>
  <c r="AD489" i="17"/>
  <c r="AE489" i="17" s="1"/>
  <c r="AD572" i="17"/>
  <c r="AE572" i="17" s="1"/>
  <c r="AD14" i="17"/>
  <c r="AE14" i="17" s="1"/>
  <c r="AD100" i="17"/>
  <c r="AE100" i="17" s="1"/>
  <c r="AD245" i="17"/>
  <c r="AE245" i="17" s="1"/>
  <c r="AD76" i="17"/>
  <c r="AE76" i="17" s="1"/>
  <c r="AD463" i="17"/>
  <c r="AE463" i="17" s="1"/>
  <c r="AD531" i="17"/>
  <c r="AE531" i="17" s="1"/>
  <c r="AD194" i="17"/>
  <c r="AE194" i="17" s="1"/>
  <c r="AD79" i="17"/>
  <c r="AE79" i="17" s="1"/>
  <c r="AD242" i="17"/>
  <c r="AE242" i="17" s="1"/>
  <c r="AD332" i="17"/>
  <c r="AE332" i="17" s="1"/>
  <c r="AD550" i="17"/>
  <c r="AE550" i="17" s="1"/>
  <c r="AD89" i="17"/>
  <c r="AE89" i="17" s="1"/>
  <c r="AD330" i="17"/>
  <c r="AE330" i="17" s="1"/>
  <c r="AD36" i="17"/>
  <c r="AE36" i="17" s="1"/>
  <c r="AD571" i="17"/>
  <c r="AE571" i="17" s="1"/>
  <c r="AD587" i="17"/>
  <c r="AE587" i="17" s="1"/>
  <c r="AD301" i="17"/>
  <c r="AE301" i="17" s="1"/>
  <c r="AD305" i="17"/>
  <c r="AE305" i="17" s="1"/>
  <c r="AD231" i="17"/>
  <c r="AE231" i="17" s="1"/>
  <c r="AD525" i="17"/>
  <c r="AE525" i="17" s="1"/>
  <c r="AD32" i="17"/>
  <c r="AE32" i="17" s="1"/>
  <c r="AD544" i="17"/>
  <c r="AE544" i="17" s="1"/>
  <c r="AD218" i="17"/>
  <c r="AE218" i="17" s="1"/>
  <c r="AD462" i="17"/>
  <c r="AE462" i="17" s="1"/>
  <c r="AD33" i="17"/>
  <c r="AE33" i="17" s="1"/>
  <c r="AD75" i="17"/>
  <c r="AE75" i="17" s="1"/>
  <c r="AD84" i="17"/>
  <c r="AE84" i="17" s="1"/>
  <c r="AD461" i="17"/>
  <c r="AE461" i="17" s="1"/>
  <c r="AD169" i="17"/>
  <c r="AE169" i="17" s="1"/>
  <c r="AD366" i="17"/>
  <c r="AE366" i="17" s="1"/>
  <c r="AD31" i="17"/>
  <c r="AE31" i="17" s="1"/>
  <c r="AD573" i="17"/>
  <c r="AE573" i="17" s="1"/>
  <c r="AD154" i="17"/>
  <c r="AE154" i="17" s="1"/>
  <c r="AD346" i="17"/>
  <c r="AE346" i="17" s="1"/>
  <c r="AD507" i="17"/>
  <c r="AE507" i="17" s="1"/>
  <c r="AD382" i="17"/>
  <c r="AE382" i="17" s="1"/>
  <c r="AD596" i="17"/>
  <c r="AE596" i="17" s="1"/>
  <c r="AD18" i="17"/>
  <c r="AE18" i="17" s="1"/>
  <c r="AD155" i="17"/>
  <c r="AE155" i="17" s="1"/>
  <c r="AD95" i="17"/>
  <c r="AE95" i="17" s="1"/>
  <c r="AD125" i="17"/>
  <c r="AE125" i="17" s="1"/>
  <c r="AD549" i="17"/>
  <c r="AE549" i="17" s="1"/>
  <c r="AD541" i="17"/>
  <c r="AE541" i="17" s="1"/>
  <c r="AD179" i="17"/>
  <c r="AE179" i="17" s="1"/>
  <c r="AD197" i="17"/>
  <c r="AE197" i="17" s="1"/>
  <c r="AD606" i="17"/>
  <c r="AE606" i="17" s="1"/>
  <c r="AD108" i="17"/>
  <c r="AE108" i="17" s="1"/>
  <c r="AD395" i="17"/>
  <c r="AE395" i="17" s="1"/>
  <c r="AD444" i="17"/>
  <c r="AE444" i="17" s="1"/>
  <c r="AD588" i="17"/>
  <c r="AE588" i="17" s="1"/>
  <c r="AD51" i="17"/>
  <c r="AE51" i="17" s="1"/>
  <c r="AD532" i="17"/>
  <c r="AE532" i="17" s="1"/>
  <c r="AD167" i="17"/>
  <c r="AE167" i="17" s="1"/>
  <c r="AD240" i="17"/>
  <c r="AE240" i="17" s="1"/>
  <c r="AD168" i="17"/>
  <c r="AE168" i="17" s="1"/>
  <c r="AD246" i="17"/>
  <c r="AE246" i="17" s="1"/>
  <c r="AD195" i="17"/>
  <c r="AE195" i="17" s="1"/>
  <c r="AD170" i="17"/>
  <c r="AE170" i="17" s="1"/>
  <c r="AD551" i="17"/>
  <c r="AE551" i="17" s="1"/>
  <c r="AD488" i="17"/>
  <c r="AE488" i="17" s="1"/>
  <c r="AD114" i="17"/>
  <c r="AE114" i="17" s="1"/>
  <c r="AD85" i="17"/>
  <c r="AE85" i="17" s="1"/>
  <c r="AD374" i="17"/>
  <c r="AE374" i="17" s="1"/>
  <c r="AD409" i="17"/>
  <c r="AE409" i="17" s="1"/>
  <c r="AD601" i="17"/>
  <c r="AE601" i="17" s="1"/>
  <c r="AD262" i="17"/>
  <c r="AE262" i="17" s="1"/>
  <c r="AD222" i="17"/>
  <c r="AE222" i="17" s="1"/>
  <c r="AD248" i="17"/>
  <c r="AE248" i="17" s="1"/>
  <c r="AD157" i="17"/>
  <c r="AE157" i="17" s="1"/>
  <c r="AD273" i="17"/>
  <c r="AE273" i="17" s="1"/>
  <c r="AD408" i="17"/>
  <c r="AE408" i="17" s="1"/>
  <c r="AD559" i="17"/>
  <c r="AE559" i="17" s="1"/>
  <c r="AD105" i="17"/>
  <c r="AE105" i="17" s="1"/>
  <c r="AD511" i="17"/>
  <c r="AE511" i="17" s="1"/>
  <c r="AD223" i="17"/>
  <c r="AE223" i="17" s="1"/>
  <c r="AD181" i="17"/>
  <c r="AE181" i="17" s="1"/>
  <c r="AD455" i="17"/>
  <c r="AE455" i="17" s="1"/>
  <c r="AD29" i="17"/>
  <c r="AE29" i="17" s="1"/>
  <c r="AD244" i="17"/>
  <c r="AE244" i="17" s="1"/>
  <c r="AD611" i="17"/>
  <c r="AE611" i="17" s="1"/>
  <c r="AD473" i="17"/>
  <c r="AE473" i="17" s="1"/>
  <c r="AD83" i="17"/>
  <c r="AE83" i="17" s="1"/>
  <c r="AD227" i="17"/>
  <c r="AE227" i="17" s="1"/>
  <c r="AD510" i="17"/>
  <c r="AE510" i="17" s="1"/>
  <c r="AD272" i="17"/>
  <c r="AE272" i="17" s="1"/>
  <c r="AD479" i="17"/>
  <c r="AE479" i="17" s="1"/>
  <c r="AD353" i="17"/>
  <c r="AE353" i="17" s="1"/>
  <c r="AD226" i="17"/>
  <c r="AE226" i="17" s="1"/>
  <c r="AD474" i="17"/>
  <c r="AE474" i="17" s="1"/>
  <c r="AD243" i="17"/>
  <c r="AE243" i="17" s="1"/>
  <c r="AD456" i="17"/>
  <c r="AE456" i="17" s="1"/>
  <c r="AD180" i="17"/>
  <c r="AE180" i="17" s="1"/>
  <c r="AD352" i="17"/>
  <c r="AE352" i="17" s="1"/>
  <c r="AD261" i="17"/>
  <c r="AE261" i="17" s="1"/>
  <c r="AD542" i="17"/>
  <c r="AE542" i="17" s="1"/>
  <c r="AD478" i="17"/>
  <c r="AE478" i="17" s="1"/>
  <c r="AD543" i="17"/>
  <c r="AE543" i="17" s="1"/>
  <c r="AD285" i="17"/>
  <c r="AE285" i="17" s="1"/>
  <c r="AD249" i="17"/>
  <c r="AE249" i="17" s="1"/>
  <c r="AD605" i="17"/>
  <c r="AE605" i="17" s="1"/>
  <c r="AD247" i="17"/>
  <c r="AE247" i="17" s="1"/>
  <c r="AD221" i="17"/>
  <c r="AE221" i="17" s="1"/>
  <c r="AD602" i="17"/>
  <c r="AE602" i="17" s="1"/>
  <c r="AD80" i="17"/>
  <c r="AE80" i="17" s="1"/>
  <c r="AD331" i="17"/>
  <c r="AE331" i="17" s="1"/>
  <c r="AD201" i="17"/>
  <c r="AE201" i="17" s="1"/>
  <c r="AD268" i="17"/>
  <c r="AE268" i="17" s="1"/>
  <c r="AD521" i="17"/>
  <c r="AE521" i="17" s="1"/>
  <c r="AD87" i="17"/>
  <c r="AE87" i="17" s="1"/>
  <c r="AD522" i="17"/>
  <c r="AE522" i="17" s="1"/>
  <c r="AD480" i="17"/>
  <c r="AE480" i="17" s="1"/>
  <c r="AD557" i="17"/>
  <c r="AE557" i="17" s="1"/>
  <c r="AD447" i="17"/>
  <c r="AE447" i="17" s="1"/>
  <c r="AD141" i="17"/>
  <c r="AE141" i="17" s="1"/>
  <c r="AD425" i="17"/>
  <c r="AE425" i="17" s="1"/>
  <c r="AD30" i="17"/>
  <c r="AE30" i="17" s="1"/>
  <c r="AD430" i="17"/>
  <c r="AE430" i="17" s="1"/>
  <c r="AD142" i="17"/>
  <c r="AE142" i="17" s="1"/>
  <c r="AD103" i="17"/>
  <c r="AE103" i="17" s="1"/>
  <c r="AD177" i="17"/>
  <c r="AE177" i="17" s="1"/>
  <c r="AD608" i="17"/>
  <c r="AE608" i="17" s="1"/>
  <c r="AD518" i="17"/>
  <c r="AE518" i="17" s="1"/>
  <c r="AD524" i="17"/>
  <c r="AE524" i="17" s="1"/>
  <c r="AD96" i="17"/>
  <c r="AE96" i="17" s="1"/>
  <c r="AD264" i="17"/>
  <c r="AE264" i="17" s="1"/>
  <c r="AD191" i="17"/>
  <c r="AE191" i="17" s="1"/>
  <c r="AD581" i="17"/>
  <c r="AE581" i="17" s="1"/>
  <c r="AD339" i="17"/>
  <c r="AE339" i="17" s="1"/>
  <c r="AD547" i="17"/>
  <c r="AE547" i="17" s="1"/>
  <c r="AD371" i="17"/>
  <c r="AE371" i="17" s="1"/>
  <c r="AD347" i="17"/>
  <c r="AE347" i="17" s="1"/>
  <c r="AD372" i="17"/>
  <c r="AE372" i="17" s="1"/>
  <c r="AD16" i="17"/>
  <c r="AE16" i="17" s="1"/>
  <c r="AD47" i="17"/>
  <c r="AE47" i="17" s="1"/>
  <c r="AD445" i="17"/>
  <c r="AE445" i="17" s="1"/>
  <c r="U117" i="17"/>
  <c r="AD580" i="17"/>
  <c r="AE580" i="17" s="1"/>
  <c r="AD202" i="17"/>
  <c r="AE202" i="17" s="1"/>
  <c r="AD558" i="17"/>
  <c r="AE558" i="17" s="1"/>
  <c r="AD210" i="17"/>
  <c r="AE210" i="17" s="1"/>
  <c r="AD523" i="17"/>
  <c r="AE523" i="17" s="1"/>
  <c r="AD504" i="17"/>
  <c r="AE504" i="17" s="1"/>
  <c r="AD452" i="17"/>
  <c r="AE452" i="17" s="1"/>
  <c r="AD160" i="17"/>
  <c r="AE160" i="17" s="1"/>
  <c r="AD398" i="17"/>
  <c r="AE398" i="17" s="1"/>
  <c r="AD88" i="17"/>
  <c r="AE88" i="17" s="1"/>
  <c r="AD164" i="17"/>
  <c r="AE164" i="17" s="1"/>
  <c r="AD159" i="17"/>
  <c r="AE159" i="17" s="1"/>
  <c r="AD165" i="17"/>
  <c r="AE165" i="17" s="1"/>
  <c r="AD486" i="17"/>
  <c r="AE486" i="17" s="1"/>
  <c r="AD467" i="17"/>
  <c r="AE467" i="17" s="1"/>
  <c r="AD546" i="17"/>
  <c r="AE546" i="17" s="1"/>
  <c r="AD335" i="17"/>
  <c r="AE335" i="17" s="1"/>
  <c r="AD192" i="17"/>
  <c r="AE192" i="17" s="1"/>
  <c r="AD118" i="17"/>
  <c r="AE118" i="17" s="1"/>
  <c r="AD178" i="17"/>
  <c r="AE178" i="17" s="1"/>
  <c r="AD45" i="17"/>
  <c r="AE45" i="17" s="1"/>
  <c r="AD595" i="17"/>
  <c r="AE595" i="17" s="1"/>
  <c r="AD443" i="17"/>
  <c r="AE443" i="17" s="1"/>
  <c r="AD399" i="17"/>
  <c r="AE399" i="17" s="1"/>
  <c r="AD586" i="17"/>
  <c r="AE586" i="17" s="1"/>
  <c r="AD143" i="17"/>
  <c r="AE143" i="17" s="1"/>
  <c r="AD263" i="17"/>
  <c r="AE263" i="17" s="1"/>
  <c r="AD327" i="17"/>
  <c r="AE327" i="17" s="1"/>
  <c r="AD403" i="17"/>
  <c r="AE403" i="17" s="1"/>
  <c r="AD176" i="17"/>
  <c r="AE176" i="17" s="1"/>
  <c r="AD44" i="17"/>
  <c r="AE44" i="17" s="1"/>
  <c r="AD378" i="17"/>
  <c r="AE378" i="17" s="1"/>
  <c r="AD28" i="17"/>
  <c r="AE28" i="17" s="1"/>
  <c r="AD256" i="17"/>
  <c r="AE256" i="17" s="1"/>
  <c r="AD257" i="17"/>
  <c r="AE257" i="17" s="1"/>
  <c r="AD485" i="17"/>
  <c r="AE485" i="17" s="1"/>
  <c r="AD328" i="17"/>
  <c r="AE328" i="17" s="1"/>
  <c r="AD451" i="17"/>
  <c r="AE451" i="17" s="1"/>
  <c r="AD556" i="17"/>
  <c r="AE556" i="17" s="1"/>
  <c r="AD295" i="17"/>
  <c r="AE295" i="17" s="1"/>
  <c r="AD450" i="17"/>
  <c r="AE450" i="17" s="1"/>
  <c r="AD313" i="17"/>
  <c r="AE313" i="17" s="1"/>
  <c r="AD43" i="17"/>
  <c r="AE43" i="17" s="1"/>
  <c r="AD209" i="17"/>
  <c r="AE209" i="17" s="1"/>
  <c r="AD377" i="17"/>
  <c r="AE377" i="17" s="1"/>
  <c r="AD476" i="17"/>
  <c r="AE476" i="17" s="1"/>
  <c r="AD131" i="17"/>
  <c r="AE131" i="17" s="1"/>
  <c r="AD60" i="17"/>
  <c r="AE60" i="17" s="1"/>
  <c r="AD64" i="17"/>
  <c r="AE64" i="17" s="1"/>
  <c r="AD216" i="17"/>
  <c r="AE216" i="17" s="1"/>
  <c r="AD119" i="17"/>
  <c r="AE119" i="17" s="1"/>
  <c r="AD424" i="17"/>
  <c r="AE424" i="17" s="1"/>
  <c r="AD215" i="17"/>
  <c r="AE215" i="17" s="1"/>
  <c r="AD117" i="17"/>
  <c r="AE117" i="17" s="1"/>
  <c r="AD65" i="17"/>
  <c r="AE65" i="17" s="1"/>
  <c r="AD509" i="17"/>
  <c r="AE509" i="17" s="1"/>
  <c r="AD53" i="17"/>
  <c r="AE53" i="17" s="1"/>
  <c r="AD519" i="17"/>
  <c r="AE519" i="17" s="1"/>
  <c r="AD365" i="17"/>
  <c r="AE365" i="17" s="1"/>
  <c r="AD336" i="17"/>
  <c r="AE336" i="17" s="1"/>
  <c r="AD364" i="17"/>
  <c r="AE364" i="17" s="1"/>
  <c r="AD126" i="17"/>
  <c r="AE126" i="17" s="1"/>
  <c r="AD312" i="17"/>
  <c r="AE312" i="17" s="1"/>
  <c r="AD104" i="17"/>
  <c r="AE104" i="17" s="1"/>
  <c r="AD106" i="17"/>
  <c r="AE106" i="17" s="1"/>
  <c r="AD127" i="17"/>
  <c r="AE127" i="17" s="1"/>
  <c r="AD376" i="17"/>
  <c r="AE376" i="17" s="1"/>
  <c r="AD503" i="17"/>
  <c r="AE503" i="17" s="1"/>
  <c r="AD296" i="17"/>
  <c r="AE296" i="17" s="1"/>
  <c r="AD140" i="17"/>
  <c r="AE140" i="17" s="1"/>
  <c r="AD475" i="17"/>
  <c r="AE475" i="17" s="1"/>
  <c r="AD276" i="17"/>
  <c r="AE276" i="17" s="1"/>
  <c r="AD466" i="17"/>
  <c r="AE466" i="17" s="1"/>
  <c r="AD27" i="17"/>
  <c r="AE27" i="17" s="1"/>
  <c r="AD342" i="17"/>
  <c r="AE342" i="17" s="1"/>
  <c r="AD341" i="17"/>
  <c r="AE341" i="17" s="1"/>
  <c r="AD449" i="17"/>
  <c r="AE449" i="17" s="1"/>
  <c r="AD269" i="17"/>
  <c r="AE269" i="17" s="1"/>
  <c r="AB625" i="17"/>
  <c r="AE7" i="25" l="1"/>
  <c r="Q4" i="25" s="1"/>
  <c r="AE13" i="25"/>
  <c r="AE9" i="25" s="1"/>
  <c r="Q5" i="25" s="1"/>
  <c r="AE9" i="17"/>
  <c r="Q5" i="17" s="1"/>
  <c r="AE7" i="17"/>
  <c r="Q4" i="17" s="1"/>
  <c r="B365" i="2" l="1"/>
  <c r="A365" i="2"/>
  <c r="B366" i="2"/>
  <c r="A366" i="2"/>
  <c r="A640" i="25"/>
  <c r="A617" i="25"/>
  <c r="A639" i="25"/>
  <c r="A639" i="17"/>
  <c r="A640" i="17"/>
  <c r="A617" i="17"/>
  <c r="F617" i="17" s="1"/>
  <c r="D365" i="2"/>
  <c r="H617" i="25" l="1"/>
  <c r="G617" i="25"/>
  <c r="G617" i="17"/>
  <c r="H617" i="17"/>
  <c r="O617" i="25"/>
  <c r="P617" i="25"/>
  <c r="A618" i="25"/>
  <c r="A619" i="25" s="1"/>
  <c r="L617" i="25"/>
  <c r="D617" i="25"/>
  <c r="K617" i="25"/>
  <c r="C617" i="25"/>
  <c r="M617" i="25"/>
  <c r="I617" i="25"/>
  <c r="E617" i="25"/>
  <c r="J617" i="25"/>
  <c r="N617" i="25"/>
  <c r="F617" i="25"/>
  <c r="K617" i="17"/>
  <c r="N617" i="17"/>
  <c r="P617" i="17"/>
  <c r="L617" i="17"/>
  <c r="M617" i="17"/>
  <c r="J617" i="17"/>
  <c r="E617" i="17"/>
  <c r="O617" i="17"/>
  <c r="D617" i="17"/>
  <c r="A618" i="17"/>
  <c r="A619" i="17" s="1"/>
  <c r="C617" i="17"/>
  <c r="I617" i="17"/>
  <c r="X617" i="25" l="1"/>
  <c r="Q617" i="25"/>
  <c r="AA617" i="25"/>
  <c r="Y617" i="25"/>
  <c r="AB617" i="25"/>
  <c r="R617" i="25"/>
  <c r="X617" i="17"/>
  <c r="AB617" i="17"/>
  <c r="R617" i="17"/>
  <c r="R620" i="17" s="1"/>
  <c r="Y617" i="17"/>
  <c r="AA617" i="17"/>
  <c r="Q617" i="17"/>
  <c r="S617" i="25" l="1"/>
  <c r="R620" i="25"/>
  <c r="S61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LM(2)5143/-Q1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LM(2)5143/-Q1 dual-channel / multi-phase synchronous buck controller</t>
        </r>
        <r>
          <rPr>
            <sz val="9"/>
            <color indexed="81"/>
            <rFont val="Tahoma"/>
            <family val="2"/>
          </rPr>
          <t xml:space="preserve">. As such, the user can expeditiously arrive at an optimized design by virtue of the following:
- Determine curretn sense resistances, buck inductances and input and output capacitances
- Select components to set switching frequency, soft-start, hiccup time and dither
- Optimize compensation values and pole/zero placement in terms of control loop stability using crossover frequency as a performance metric (for both dual-channel and two-phase interleaved)
- Inspect regulator efficiency and component power dissipations vs. line and load
- Analyze efficiency based on selected MOSFET parameters
- Configure the controller for dual-output or single-output (2/3/4-phase) configurations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B,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LM(2)5143/-Q1 product datasheet and EVM user's guide for more details.
</t>
        </r>
        <r>
          <rPr>
            <b/>
            <sz val="9"/>
            <color indexed="81"/>
            <rFont val="Tahoma"/>
            <family val="2"/>
          </rPr>
          <t>Rev B, Timothy Hegarty, Texas Instruments, Inc.</t>
        </r>
      </text>
    </comment>
    <comment ref="F7"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9"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(LM5143) or 36V (LM25143) 
-The output voltage is below 0.6V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SYNCIN. The max frequency set by RT is 2.2MHz, but SYNCIN can be as high as 2.5MHz.
</t>
        </r>
        <r>
          <rPr>
            <b/>
            <sz val="9"/>
            <color indexed="81"/>
            <rFont val="Tahoma"/>
            <family val="2"/>
          </rPr>
          <t xml:space="preserve">The text in the cell is flagged red if:
</t>
        </r>
        <r>
          <rPr>
            <b/>
            <sz val="9"/>
            <color indexed="10"/>
            <rFont val="Tahoma"/>
            <family val="2"/>
          </rPr>
          <t>-The frequency is below 100 kHz
-The frequency is above 2.5 MHz</t>
        </r>
        <r>
          <rPr>
            <sz val="11"/>
            <color indexed="81"/>
            <rFont val="Tahoma"/>
            <family val="2"/>
          </rPr>
          <t xml:space="preserve">
</t>
        </r>
      </text>
    </comment>
    <comment ref="F17"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based on the total output current requirement. A typical level is 140% of full load current.</t>
        </r>
      </text>
    </comment>
    <comment ref="F18"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
        </r>
        <r>
          <rPr>
            <sz val="9"/>
            <color indexed="81"/>
            <rFont val="Tahoma"/>
            <family val="2"/>
          </rPr>
          <t xml:space="preserve">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VOUT pins.</t>
        </r>
      </text>
    </comment>
    <comment ref="F20"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1"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2"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3"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4"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7"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inductor current downslope di/dt equal to the slope compensation contribution.</t>
        </r>
      </text>
    </comment>
    <comment ref="F28"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Target inductor (peak-to-peak) ripple currrent is 30-40% of the DC full load current at nominal input voltage.
Setting the inductance equal to the recommended value gives ideal (one times inductor current downlope) slope compensation. As 0.5 times inductor current downslope is the absolute minimum slope comp requirement, do not choose an inductance less than half the recommended.</t>
        </r>
      </text>
    </comment>
    <comment ref="F29"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1" authorId="0" shapeId="0" xr:uid="{00000000-0006-0000-0000-000018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0.1 ms.</t>
        </r>
      </text>
    </comment>
    <comment ref="F53" authorId="0" shapeId="0" xr:uid="{00000000-0006-0000-0000-000019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hiccup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 ms.</t>
        </r>
      </text>
    </comment>
    <comment ref="F55" authorId="0" shapeId="0" xr:uid="{00000000-0006-0000-0000-00001A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1.2V bandgap, i.e. 120mV amplitude, and sets up a ±5% modulation of the nominal oscillator frequency.
Note that the LM5143-Q1 does not perform dither if the SYNC function is used.
</t>
        </r>
        <r>
          <rPr>
            <b/>
            <sz val="9"/>
            <color indexed="39"/>
            <rFont val="Tahoma"/>
            <family val="2"/>
          </rPr>
          <t xml:space="preserve">
If the dither feature is not required, the DITH pin should be tied to VDDA.</t>
        </r>
        <r>
          <rPr>
            <sz val="9"/>
            <color indexed="81"/>
            <rFont val="Tahoma"/>
            <family val="2"/>
          </rPr>
          <t xml:space="preserve">
</t>
        </r>
      </text>
    </comment>
    <comment ref="F63" authorId="0" shapeId="0" xr:uid="{00000000-0006-0000-0000-00001B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C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69" authorId="0" shapeId="0" xr:uid="{00000000-0006-0000-0000-00001D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3" authorId="2" shapeId="0" xr:uid="{00000000-0006-0000-0000-00001E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3" authorId="2"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4" authorId="2" shapeId="0" xr:uid="{00000000-0006-0000-0000-000020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4" authorId="2"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5V)</t>
        </r>
      </text>
    </comment>
    <comment ref="E85" authorId="2" shapeId="0" xr:uid="{00000000-0006-0000-0000-000022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5" authorId="2"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low-side MOSFET here.</t>
        </r>
      </text>
    </comment>
    <comment ref="E86" authorId="2" shapeId="0" xr:uid="{00000000-0006-0000-0000-000024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6" authorId="2"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low-side MOSFET gate-source charge here. </t>
        </r>
      </text>
    </comment>
    <comment ref="F87" authorId="2" shapeId="0" xr:uid="{00000000-0006-0000-0000-000026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charge here. </t>
        </r>
      </text>
    </comment>
    <comment ref="E88" authorId="2" shapeId="0" xr:uid="{00000000-0006-0000-0000-000027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8" authorId="2" shapeId="0" xr:uid="{00000000-0006-0000-0000-000028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9" authorId="2" shapeId="0" xr:uid="{00000000-0006-0000-0000-000029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9" authorId="2" shapeId="0" xr:uid="{00000000-0006-0000-0000-00002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0" authorId="2" shapeId="0" xr:uid="{00000000-0006-0000-0000-00002B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0" authorId="2" shapeId="0" xr:uid="{00000000-0006-0000-0000-00002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1" authorId="2" shapeId="0" xr:uid="{00000000-0006-0000-0000-00002D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1" authorId="2" shapeId="0" xr:uid="{00000000-0006-0000-0000-00002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2" shapeId="0" xr:uid="{00000000-0006-0000-0000-00002F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2" authorId="2" shapeId="0" xr:uid="{00000000-0006-0000-0000-000030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3" authorId="2" shapeId="0" xr:uid="{00000000-0006-0000-0000-000031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4" authorId="2" shapeId="0" xr:uid="{00000000-0006-0000-0000-000032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4" authorId="2" shapeId="0" xr:uid="{00000000-0006-0000-0000-00003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7" authorId="1" shapeId="0" xr:uid="{00000000-0006-0000-0000-000034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8" authorId="1" shapeId="0" xr:uid="{00000000-0006-0000-0000-000035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3" authorId="1" shapeId="0" xr:uid="{00000000-0006-0000-0000-000036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4" authorId="1" shapeId="0" xr:uid="{00000000-0006-0000-0000-000037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sharedStrings.xml><?xml version="1.0" encoding="utf-8"?>
<sst xmlns="http://schemas.openxmlformats.org/spreadsheetml/2006/main" count="1965" uniqueCount="863">
  <si>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</si>
  <si>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</si>
  <si>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</si>
  <si>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</si>
  <si>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</si>
  <si>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</si>
  <si>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</si>
  <si>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</si>
  <si>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</si>
  <si>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</si>
  <si>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</si>
  <si>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</si>
  <si>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</si>
  <si>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</si>
  <si>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</si>
  <si>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</si>
  <si>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</si>
  <si>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</si>
  <si>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</si>
  <si>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</si>
  <si>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</si>
  <si>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</si>
  <si>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</si>
  <si>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</si>
  <si>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</si>
  <si>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</si>
  <si>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</si>
  <si>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</si>
  <si>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</si>
  <si>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</si>
  <si>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</si>
  <si>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</si>
  <si>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</si>
  <si>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</si>
  <si>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</si>
  <si>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</si>
  <si>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</si>
  <si>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</si>
  <si>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</si>
  <si>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</si>
  <si>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</si>
  <si>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</si>
  <si>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</si>
  <si>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</si>
  <si>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</si>
  <si>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</si>
  <si>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</si>
  <si>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</si>
  <si>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</si>
  <si>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</si>
  <si>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</si>
  <si>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</si>
  <si>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</si>
  <si>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</si>
  <si>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</si>
  <si>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</si>
  <si>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</si>
  <si>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</si>
  <si>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</si>
  <si>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</si>
  <si>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</si>
  <si>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</si>
  <si>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</si>
  <si>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</si>
  <si>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</si>
  <si>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</si>
  <si>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</si>
  <si>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</si>
  <si>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</si>
  <si>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</si>
  <si>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</si>
  <si>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</si>
  <si>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</si>
  <si>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</si>
  <si>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</si>
  <si>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</si>
  <si>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</si>
  <si>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</si>
  <si>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</si>
  <si>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</si>
  <si>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</si>
  <si>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</si>
  <si>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</si>
  <si>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</si>
  <si>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</si>
  <si>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</si>
  <si>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</si>
  <si>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</si>
  <si>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</si>
  <si>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</si>
  <si>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</si>
  <si>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</si>
  <si>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</si>
  <si>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</si>
  <si>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</si>
  <si>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</si>
  <si>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</si>
  <si>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</si>
  <si>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</si>
  <si>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</si>
  <si>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</si>
  <si>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</si>
  <si>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</si>
  <si>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</si>
  <si>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</si>
  <si>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</si>
  <si>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</si>
  <si>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</si>
  <si>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</si>
  <si>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</si>
  <si>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</si>
  <si>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</si>
  <si>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</si>
  <si>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</si>
  <si>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</si>
  <si>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</si>
  <si>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</si>
  <si>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</si>
  <si>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</si>
  <si>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</si>
  <si>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</si>
  <si>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</si>
  <si>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</si>
  <si>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</si>
  <si>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</si>
  <si>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</si>
  <si>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</si>
  <si>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</si>
  <si>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</si>
  <si>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</si>
  <si>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</si>
  <si>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</si>
  <si>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</si>
  <si>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</si>
  <si>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</si>
  <si>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</si>
  <si>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</si>
  <si>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</si>
  <si>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</si>
  <si>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</si>
  <si>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</si>
  <si>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</si>
  <si>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</si>
  <si>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</si>
  <si>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</si>
  <si>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</si>
  <si>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</si>
  <si>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</si>
  <si>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</si>
  <si>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</si>
  <si>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</si>
  <si>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</si>
  <si>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</si>
  <si>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</si>
  <si>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</si>
  <si>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</si>
  <si>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</si>
  <si>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</si>
  <si>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</si>
  <si>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</si>
  <si>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</si>
  <si>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</si>
  <si>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</si>
  <si>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</si>
  <si>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</si>
  <si>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</si>
  <si>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</si>
  <si>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</si>
  <si>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</si>
  <si>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</si>
  <si>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</si>
  <si>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</si>
  <si>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</si>
  <si>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</si>
  <si>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</si>
  <si>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</si>
  <si>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</si>
  <si>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</si>
  <si>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</si>
  <si>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</si>
  <si>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</si>
  <si>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</si>
  <si>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</si>
  <si>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</si>
  <si>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</si>
  <si>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</si>
  <si>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</si>
  <si>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</si>
  <si>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</si>
  <si>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</si>
  <si>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</si>
  <si>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</si>
  <si>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</si>
  <si>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</si>
  <si>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</si>
  <si>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</si>
  <si>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</si>
  <si>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</si>
  <si>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</si>
  <si>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</si>
  <si>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</si>
  <si>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</si>
  <si>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</si>
  <si>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</si>
  <si>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</si>
  <si>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</si>
  <si>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</si>
  <si>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</si>
  <si>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</si>
  <si>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</si>
  <si>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</si>
  <si>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</si>
  <si>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</si>
  <si>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</si>
  <si>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</si>
  <si>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</si>
  <si>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</si>
  <si>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</si>
  <si>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</si>
  <si>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</si>
  <si>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</si>
  <si>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</si>
  <si>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</si>
  <si>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</si>
  <si>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</si>
  <si>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</si>
  <si>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</si>
  <si>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</si>
  <si>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</si>
  <si>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</si>
  <si>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</si>
  <si>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</si>
  <si>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</si>
  <si>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</si>
  <si>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</si>
  <si>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</si>
  <si>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</si>
  <si>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</si>
  <si>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</si>
  <si>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</si>
  <si>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</si>
  <si>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</si>
  <si>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</si>
  <si>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</si>
  <si>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</si>
  <si>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</si>
  <si>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</si>
  <si>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</si>
  <si>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</si>
  <si>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</si>
  <si>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</si>
  <si>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</si>
  <si>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</si>
  <si>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</si>
  <si>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</si>
  <si>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</si>
  <si>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</si>
  <si>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C1</t>
    </r>
  </si>
  <si>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</si>
  <si>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</si>
  <si>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</si>
  <si>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</si>
  <si>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</si>
  <si>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</si>
  <si>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</si>
  <si>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</si>
  <si>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</si>
  <si>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</si>
  <si>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</si>
  <si>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</si>
  <si>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</si>
  <si>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</si>
  <si>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</si>
  <si>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</si>
  <si>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</si>
  <si>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</si>
  <si>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</si>
  <si>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</si>
  <si>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</si>
  <si>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</si>
  <si>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</si>
  <si>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</si>
  <si>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</si>
  <si>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</si>
  <si>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</si>
  <si>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</si>
  <si>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</si>
  <si>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</si>
  <si>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</si>
  <si>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</si>
  <si>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</si>
  <si>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</si>
  <si>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</si>
  <si>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</si>
  <si>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</si>
  <si>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</si>
  <si>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</si>
  <si>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</si>
  <si>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</si>
  <si>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</si>
  <si>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</si>
  <si>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</si>
  <si>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</si>
  <si>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</si>
  <si>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</si>
  <si>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</si>
  <si>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</si>
  <si>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t>Sense Resistance, R</t>
    </r>
    <r>
      <rPr>
        <b/>
        <vertAlign val="subscript"/>
        <sz val="10"/>
        <color theme="1"/>
        <rFont val="Arial"/>
        <family val="2"/>
      </rPr>
      <t>S</t>
    </r>
  </si>
  <si>
    <t>Recommended Sense Resistance</t>
  </si>
  <si>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</si>
  <si>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</si>
  <si>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</si>
  <si>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</si>
  <si>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</si>
  <si>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</si>
  <si>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</si>
  <si>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</si>
  <si>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</si>
  <si>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</si>
  <si>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</si>
  <si>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</si>
  <si>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</si>
  <si>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</si>
  <si>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</si>
  <si>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</si>
  <si>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</si>
  <si>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</si>
  <si>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</si>
  <si>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</si>
  <si>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</si>
  <si>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</si>
  <si>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</si>
  <si>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</si>
  <si>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</si>
  <si>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</si>
  <si>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</si>
  <si>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</si>
  <si>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</si>
  <si>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</si>
  <si>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</si>
  <si>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</si>
  <si>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</si>
  <si>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</si>
  <si>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</si>
  <si>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</si>
  <si>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</si>
  <si>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</si>
  <si>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</si>
  <si>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</si>
  <si>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</si>
  <si>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</si>
  <si>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</si>
  <si>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</si>
  <si>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</si>
  <si>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</si>
  <si>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</si>
  <si>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</si>
  <si>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</si>
  <si>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</si>
  <si>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</si>
  <si>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</si>
  <si>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</si>
  <si>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</si>
  <si>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</si>
  <si>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</si>
  <si>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</si>
  <si>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</si>
  <si>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</si>
  <si>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</si>
  <si>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</si>
  <si>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</si>
  <si>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</si>
  <si>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</si>
  <si>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</si>
  <si>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</si>
  <si>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</si>
  <si>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</si>
  <si>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</si>
  <si>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</si>
  <si>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</si>
  <si>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</si>
  <si>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</si>
  <si>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</si>
  <si>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</si>
  <si>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</si>
  <si>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</si>
  <si>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</si>
  <si>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</si>
  <si>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</si>
  <si>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</si>
  <si>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</si>
  <si>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</si>
  <si>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</si>
  <si>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</si>
  <si>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</si>
  <si>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</si>
  <si>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</si>
  <si>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</si>
  <si>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</si>
  <si>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</si>
  <si>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</si>
  <si>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</si>
  <si>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</si>
  <si>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</si>
  <si>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</si>
  <si>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</si>
  <si>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</si>
  <si>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</si>
  <si>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</si>
  <si>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</si>
  <si>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</si>
  <si>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</si>
  <si>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</si>
  <si>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</si>
  <si>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</si>
  <si>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</si>
  <si>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</si>
  <si>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</si>
  <si>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</si>
  <si>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</si>
  <si>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</si>
  <si>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</si>
  <si>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</si>
  <si>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</si>
  <si>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</si>
  <si>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</si>
  <si>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</si>
  <si>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</si>
  <si>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</si>
  <si>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</si>
  <si>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</si>
  <si>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</si>
  <si>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</si>
  <si>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</si>
  <si>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</si>
  <si>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</si>
  <si>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</si>
  <si>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</si>
  <si>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</si>
  <si>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</si>
  <si>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</si>
  <si>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</si>
  <si>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</si>
  <si>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</si>
  <si>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</si>
  <si>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</si>
  <si>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</si>
  <si>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</si>
  <si>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</si>
  <si>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</si>
  <si>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</si>
  <si>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</si>
  <si>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</si>
  <si>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</si>
  <si>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</si>
  <si>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</si>
  <si>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</si>
  <si>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</si>
  <si>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</si>
  <si>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</si>
  <si>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</si>
  <si>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Effective input and output capacitances should be appropriately derated for applied voltage and temperature, particularly with ceramics **</t>
  </si>
  <si>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</si>
  <si>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</si>
  <si>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</si>
  <si>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</si>
  <si>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</si>
  <si>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</si>
  <si>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</si>
  <si>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</si>
  <si>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</si>
  <si>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</si>
  <si>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</si>
  <si>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</si>
  <si>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</si>
  <si>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</si>
  <si>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</si>
  <si>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</si>
  <si>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</si>
  <si>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</si>
  <si>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</si>
  <si>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</si>
  <si>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</si>
  <si>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</si>
  <si>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</si>
  <si>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</si>
  <si>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</si>
  <si>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</si>
  <si>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</si>
  <si>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</si>
  <si>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</si>
  <si>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</si>
  <si>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</si>
  <si>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</si>
  <si>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</si>
  <si>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</si>
  <si>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</si>
  <si>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</si>
  <si>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</si>
  <si>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</si>
  <si>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</si>
  <si>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</si>
  <si>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</si>
  <si>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</si>
  <si>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</si>
  <si>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</si>
  <si>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</si>
  <si>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</si>
  <si>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</si>
  <si>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</si>
  <si>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</si>
  <si>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</si>
  <si>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</si>
  <si>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</si>
  <si>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</si>
  <si>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</si>
  <si>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</si>
  <si>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</si>
  <si>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</si>
  <si>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</si>
  <si>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</si>
  <si>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</si>
  <si>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</si>
  <si>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</si>
  <si>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</si>
  <si>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</si>
  <si>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</si>
  <si>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</si>
  <si>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</si>
  <si>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</si>
  <si>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</si>
  <si>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</si>
  <si>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</si>
  <si>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</si>
  <si>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</si>
  <si>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</si>
  <si>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</si>
  <si>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</si>
  <si>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</si>
  <si>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</si>
  <si>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</si>
  <si>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</si>
  <si>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</si>
  <si>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</si>
  <si>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</si>
  <si>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</si>
  <si>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</si>
  <si>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</si>
  <si>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</si>
  <si>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</si>
  <si>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min of calculated inductances at VIN(min) and VIN(nom)</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</si>
  <si>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</si>
  <si>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</si>
  <si>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</si>
  <si>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</si>
  <si>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</si>
  <si>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</si>
  <si>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</si>
  <si>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</si>
  <si>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</si>
  <si>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</si>
  <si>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</si>
  <si>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</si>
  <si>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</si>
  <si>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</si>
  <si>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</si>
  <si>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</si>
  <si>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</si>
  <si>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</si>
  <si>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</si>
  <si>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</si>
  <si>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</si>
  <si>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</si>
  <si>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</si>
  <si>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</si>
  <si>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</si>
  <si>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</si>
  <si>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</si>
  <si>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</si>
  <si>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</si>
  <si>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</si>
  <si>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</si>
  <si>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</si>
  <si>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</si>
  <si>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</si>
  <si>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</si>
  <si>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</si>
  <si>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Transition Loss</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</si>
  <si>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</si>
  <si>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</si>
  <si>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</si>
  <si>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</si>
  <si>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</si>
  <si>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</si>
  <si>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</si>
  <si>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</si>
  <si>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</si>
  <si>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</si>
  <si>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</si>
  <si>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</si>
  <si>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</si>
  <si>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θJA</t>
  </si>
  <si>
    <t>10% load</t>
  </si>
  <si>
    <t>100% load</t>
  </si>
  <si>
    <t>50% load</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</si>
  <si>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</si>
  <si>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</si>
  <si>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</si>
  <si>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</si>
  <si>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DITHER Yes/No</t>
  </si>
  <si>
    <t>1 = Yes, 2 = No</t>
  </si>
  <si>
    <t>DITHER Disabled</t>
  </si>
  <si>
    <t>DITHER Enabled</t>
  </si>
  <si>
    <t>Modulating Frequency</t>
  </si>
  <si>
    <t>http://www.ti.com/product/lm5175</t>
  </si>
  <si>
    <t>VAR</t>
  </si>
  <si>
    <t>Step 4: Output Capacitors</t>
  </si>
  <si>
    <t>Step 5: Input Capacitors</t>
  </si>
  <si>
    <t>LM5143-Q1EVM-2100 PCB Layout</t>
  </si>
  <si>
    <t>Shunt or inductor DCR current sensing</t>
  </si>
  <si>
    <t>FPWM or DEM (DEMB)</t>
  </si>
  <si>
    <t>Single or dual output (MODE)</t>
  </si>
  <si>
    <t>With/without dither (DITH)</t>
  </si>
  <si>
    <t>3.3V or 5V fixed (FB1/2)</t>
  </si>
  <si>
    <t xml:space="preserve">Tie to VDDA or AGND for FPWM/DEM, respectively. </t>
  </si>
  <si>
    <t>VIN_nom</t>
  </si>
  <si>
    <t>Vout2</t>
  </si>
  <si>
    <t>Iout2</t>
  </si>
  <si>
    <t>Rout2</t>
  </si>
  <si>
    <t>Load resistance - Channel 1</t>
  </si>
  <si>
    <t>Calculate input power assuming finite efficiency</t>
  </si>
  <si>
    <t>Single/Dual Yes/No</t>
  </si>
  <si>
    <t>Ch2 Recommended Inductance</t>
  </si>
  <si>
    <r>
      <t>Ch2 Inductance, L</t>
    </r>
    <r>
      <rPr>
        <b/>
        <vertAlign val="subscript"/>
        <sz val="10"/>
        <color theme="1"/>
        <rFont val="Arial"/>
        <family val="2"/>
      </rPr>
      <t>O2</t>
    </r>
    <r>
      <rPr>
        <b/>
        <sz val="10"/>
        <color theme="1"/>
        <rFont val="Arial"/>
        <family val="2"/>
      </rPr>
      <t xml:space="preserve"> </t>
    </r>
  </si>
  <si>
    <r>
      <t>Ch1 Inductance, L</t>
    </r>
    <r>
      <rPr>
        <b/>
        <vertAlign val="subscript"/>
        <sz val="10"/>
        <color theme="1"/>
        <rFont val="Arial"/>
        <family val="2"/>
      </rPr>
      <t>O1</t>
    </r>
    <r>
      <rPr>
        <b/>
        <sz val="10"/>
        <color theme="1"/>
        <rFont val="Arial"/>
        <family val="2"/>
      </rPr>
      <t xml:space="preserve"> </t>
    </r>
  </si>
  <si>
    <t xml:space="preserve">Ch1 Inductor DCR </t>
  </si>
  <si>
    <t xml:space="preserve">Ch2 Inductor DCR </t>
  </si>
  <si>
    <r>
      <t>Output Voltage, V</t>
    </r>
    <r>
      <rPr>
        <b/>
        <vertAlign val="subscript"/>
        <sz val="10"/>
        <color theme="1"/>
        <rFont val="Arial"/>
        <family val="2"/>
      </rPr>
      <t>OUT2</t>
    </r>
    <r>
      <rPr>
        <b/>
        <sz val="10"/>
        <color theme="1"/>
        <rFont val="Arial"/>
        <family val="2"/>
      </rPr>
      <t xml:space="preserve"> </t>
    </r>
  </si>
  <si>
    <r>
      <t>Full Load Output Current, I</t>
    </r>
    <r>
      <rPr>
        <b/>
        <vertAlign val="subscript"/>
        <sz val="10"/>
        <color theme="1"/>
        <rFont val="Arial"/>
        <family val="2"/>
      </rPr>
      <t>OUT2</t>
    </r>
  </si>
  <si>
    <t>Output voltage - channel 1</t>
  </si>
  <si>
    <t>Output current - channel 1</t>
  </si>
  <si>
    <t>Output current - channel 2</t>
  </si>
  <si>
    <t>Output voltage - channel 2</t>
  </si>
  <si>
    <t>Switching period</t>
  </si>
  <si>
    <t>Reference voltage</t>
  </si>
  <si>
    <t>Frequency set resistor</t>
  </si>
  <si>
    <t>Nominal switching frequency - determines RT resistor (SYNCIN must be 80-120% of this)</t>
  </si>
  <si>
    <t>L_slopecomp</t>
  </si>
  <si>
    <t>Inductor copper temerature</t>
  </si>
  <si>
    <t>Channel 1</t>
  </si>
  <si>
    <t>Channel 2</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</si>
  <si>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</si>
  <si>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</si>
  <si>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</si>
  <si>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</si>
  <si>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</si>
  <si>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</si>
  <si>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</si>
  <si>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</si>
  <si>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</si>
  <si>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</si>
  <si>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</si>
  <si>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</si>
  <si>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</si>
  <si>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</si>
  <si>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</si>
  <si>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</si>
  <si>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</si>
  <si>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Max power loss in shunt</t>
  </si>
  <si>
    <t>Lo</t>
  </si>
  <si>
    <t>Note this is power loss at full load - not loss near OCP!</t>
  </si>
  <si>
    <t>Ripple current at Vin(max)</t>
  </si>
  <si>
    <r>
      <t>I</t>
    </r>
    <r>
      <rPr>
        <vertAlign val="subscript"/>
        <sz val="10"/>
        <rFont val="Arial"/>
        <family val="2"/>
      </rPr>
      <t>OUT2(typ)</t>
    </r>
    <r>
      <rPr>
        <sz val="10"/>
        <rFont val="Arial"/>
        <family val="2"/>
      </rPr>
      <t xml:space="preserve"> at OCP Inception:</t>
    </r>
  </si>
  <si>
    <r>
      <t>Min Inductor Sat Current, I</t>
    </r>
    <r>
      <rPr>
        <vertAlign val="subscript"/>
        <sz val="10"/>
        <color theme="1"/>
        <rFont val="Arial"/>
        <family val="2"/>
      </rPr>
      <t>LO2(SAT)</t>
    </r>
  </si>
  <si>
    <r>
      <t>Max power loss in shunt R</t>
    </r>
    <r>
      <rPr>
        <vertAlign val="subscript"/>
        <sz val="10"/>
        <color theme="1"/>
        <rFont val="Arial"/>
        <family val="2"/>
      </rPr>
      <t>S2</t>
    </r>
  </si>
  <si>
    <r>
      <rPr>
        <sz val="10"/>
        <rFont val="Symbol"/>
        <family val="1"/>
        <charset val="2"/>
      </rPr>
      <t>D</t>
    </r>
    <r>
      <rPr>
        <sz val="10"/>
        <rFont val="Arial"/>
        <family val="2"/>
      </rPr>
      <t>I</t>
    </r>
    <r>
      <rPr>
        <vertAlign val="subscript"/>
        <sz val="10"/>
        <rFont val="Arial"/>
        <family val="2"/>
      </rPr>
      <t>L2</t>
    </r>
    <r>
      <rPr>
        <sz val="10"/>
        <rFont val="Arial"/>
        <family val="2"/>
      </rPr>
      <t xml:space="preserve"> as a % at V</t>
    </r>
    <r>
      <rPr>
        <vertAlign val="subscript"/>
        <sz val="10"/>
        <rFont val="Arial"/>
        <family val="2"/>
      </rPr>
      <t>IN(nom)</t>
    </r>
  </si>
  <si>
    <r>
      <t>Sense Resistance, R</t>
    </r>
    <r>
      <rPr>
        <b/>
        <vertAlign val="subscript"/>
        <sz val="10"/>
        <color theme="1"/>
        <rFont val="Arial"/>
        <family val="2"/>
      </rPr>
      <t>S2</t>
    </r>
  </si>
  <si>
    <t>FPWM</t>
  </si>
  <si>
    <t>DEM</t>
  </si>
  <si>
    <t>FPWM/DEM</t>
  </si>
  <si>
    <t>Step 6b: Other Components - Dither, Hiccup, DEMB, MODE</t>
  </si>
  <si>
    <t>Tres</t>
  </si>
  <si>
    <t>Cres</t>
  </si>
  <si>
    <t>Cres_u</t>
  </si>
  <si>
    <r>
      <t>RES Capacitance, C</t>
    </r>
    <r>
      <rPr>
        <vertAlign val="subscript"/>
        <sz val="10"/>
        <rFont val="Arial"/>
        <family val="2"/>
      </rPr>
      <t>RES</t>
    </r>
    <r>
      <rPr>
        <sz val="10"/>
        <rFont val="Arial"/>
        <family val="2"/>
      </rPr>
      <t xml:space="preserve"> </t>
    </r>
  </si>
  <si>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</si>
  <si>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</si>
  <si>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</si>
  <si>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</si>
  <si>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</si>
  <si>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</si>
  <si>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</si>
  <si>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t>Step 6: Soft-start, Hiccup, Dither, DEMB, MODE</t>
  </si>
  <si>
    <r>
      <t>Min Inductor Sat Current, I</t>
    </r>
    <r>
      <rPr>
        <vertAlign val="subscript"/>
        <sz val="10"/>
        <color theme="1"/>
        <rFont val="Arial"/>
        <family val="2"/>
      </rPr>
      <t>LO(SAT)</t>
    </r>
  </si>
  <si>
    <t xml:space="preserve">Ch2 Output Capacitor ESR </t>
  </si>
  <si>
    <t xml:space="preserve">Ch2 Maximum Permitted ESR </t>
  </si>
  <si>
    <t>Ch2 Output Voltage Ripple Spec</t>
  </si>
  <si>
    <t xml:space="preserve">Ch2 Minimum Output Capacitance </t>
  </si>
  <si>
    <r>
      <t>Hiccup Fault Time, t</t>
    </r>
    <r>
      <rPr>
        <b/>
        <vertAlign val="subscript"/>
        <sz val="10"/>
        <color theme="1"/>
        <rFont val="Arial"/>
        <family val="2"/>
      </rPr>
      <t>RES</t>
    </r>
    <r>
      <rPr>
        <b/>
        <sz val="10"/>
        <color theme="1"/>
        <rFont val="Arial"/>
        <family val="2"/>
      </rPr>
      <t xml:space="preserve"> </t>
    </r>
  </si>
  <si>
    <t>VCC</t>
  </si>
  <si>
    <t>mc = 1 + Se/Sf for peak current-mode buck</t>
  </si>
  <si>
    <t>mc*(1-d)</t>
  </si>
  <si>
    <t>Ch1 Recommended Inductance</t>
  </si>
  <si>
    <t>This along with Rcea1 will set a zero at Fcrossover/5 to optimize phase margin</t>
  </si>
  <si>
    <t>Ch2 Load Pole Frequency</t>
  </si>
  <si>
    <t>Ch2 Error Amp Pole Frequency</t>
  </si>
  <si>
    <t>Ch2 Desired Crossover Frequency</t>
  </si>
  <si>
    <r>
      <t>Ch2</t>
    </r>
    <r>
      <rPr>
        <sz val="10"/>
        <rFont val="Arial"/>
        <family val="2"/>
      </rPr>
      <t xml:space="preserve"> ESR Zero Frequency </t>
    </r>
  </si>
  <si>
    <r>
      <t>R</t>
    </r>
    <r>
      <rPr>
        <b/>
        <vertAlign val="subscript"/>
        <sz val="10"/>
        <rFont val="Arial"/>
        <family val="2"/>
      </rPr>
      <t>C1</t>
    </r>
  </si>
  <si>
    <r>
      <t>R</t>
    </r>
    <r>
      <rPr>
        <b/>
        <vertAlign val="subscript"/>
        <sz val="10"/>
        <rFont val="Arial"/>
        <family val="2"/>
      </rPr>
      <t>C2</t>
    </r>
  </si>
  <si>
    <r>
      <t>C</t>
    </r>
    <r>
      <rPr>
        <b/>
        <vertAlign val="subscript"/>
        <sz val="10"/>
        <rFont val="Arial"/>
        <family val="2"/>
      </rPr>
      <t>C3</t>
    </r>
  </si>
  <si>
    <r>
      <t>C</t>
    </r>
    <r>
      <rPr>
        <b/>
        <vertAlign val="subscript"/>
        <sz val="10"/>
        <rFont val="Arial"/>
        <family val="2"/>
      </rPr>
      <t>C4</t>
    </r>
  </si>
  <si>
    <t>3.3V</t>
  </si>
  <si>
    <t>5V</t>
  </si>
  <si>
    <t>Adjustable</t>
  </si>
  <si>
    <t>Ch1 Output Setting</t>
  </si>
  <si>
    <t>Ch2 Output Setting</t>
  </si>
  <si>
    <r>
      <t>kHz (F</t>
    </r>
    <r>
      <rPr>
        <vertAlign val="subscript"/>
        <sz val="10"/>
        <rFont val="Arial"/>
        <family val="2"/>
      </rPr>
      <t>ZCOMP2</t>
    </r>
    <r>
      <rPr>
        <sz val="10"/>
        <rFont val="Arial"/>
        <family val="2"/>
      </rPr>
      <t>)</t>
    </r>
  </si>
  <si>
    <r>
      <t>kHz (F</t>
    </r>
    <r>
      <rPr>
        <vertAlign val="subscript"/>
        <sz val="10"/>
        <rFont val="Arial"/>
        <family val="2"/>
      </rPr>
      <t>PCOMP2</t>
    </r>
    <r>
      <rPr>
        <sz val="10"/>
        <rFont val="Arial"/>
        <family val="2"/>
      </rPr>
      <t>)</t>
    </r>
  </si>
  <si>
    <r>
      <t>Hz   (F</t>
    </r>
    <r>
      <rPr>
        <vertAlign val="subscript"/>
        <sz val="10"/>
        <rFont val="Arial"/>
        <family val="2"/>
      </rPr>
      <t>PEA2</t>
    </r>
    <r>
      <rPr>
        <sz val="10"/>
        <rFont val="Arial"/>
        <family val="2"/>
      </rPr>
      <t>)</t>
    </r>
  </si>
  <si>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</si>
  <si>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</si>
  <si>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</si>
  <si>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</si>
  <si>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</si>
  <si>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</si>
  <si>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</si>
  <si>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</si>
  <si>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</si>
  <si>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</si>
  <si>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</si>
  <si>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</si>
  <si>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</si>
  <si>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</si>
  <si>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</si>
  <si>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</si>
  <si>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Rfb3</t>
  </si>
  <si>
    <t>Rfb4</t>
  </si>
  <si>
    <t>High- &amp; low-side MOSFETs - Ch1</t>
  </si>
  <si>
    <t>High- &amp; low-side MOSFETs - Ch2</t>
  </si>
  <si>
    <t>with 170mA current limit</t>
  </si>
  <si>
    <t>Quiescent Current of LM5143-Q1 Controller (One channel disabled)</t>
  </si>
  <si>
    <t>Controller Characteristics</t>
  </si>
  <si>
    <t>Gate Charge at VCC = 5V</t>
  </si>
  <si>
    <t>Drain-Source Resistances of Channel 1 FETs</t>
  </si>
  <si>
    <t>Drain-Source Resistances of Channel 2 FETs</t>
  </si>
  <si>
    <t>Junction-to-Ambient Resistance</t>
  </si>
  <si>
    <t>Transconductance</t>
  </si>
  <si>
    <t>Threshold Voltage</t>
  </si>
  <si>
    <t>Switch Point Voltage of FETs</t>
  </si>
  <si>
    <t>** Specify Inductor Core Loss **</t>
  </si>
  <si>
    <t>Control MOSFET Loss</t>
  </si>
  <si>
    <t>SYNC MOSFET Loss</t>
  </si>
  <si>
    <t>BUCK CONTROLLER POWER DESIGN TOOL</t>
  </si>
  <si>
    <t>High-side</t>
  </si>
  <si>
    <t>High Efficiency Synchronous Buck Regulator BOM</t>
  </si>
  <si>
    <t>LM5143-Q1</t>
  </si>
  <si>
    <t>VQFN-40</t>
  </si>
  <si>
    <r>
      <t>L</t>
    </r>
    <r>
      <rPr>
        <vertAlign val="subscript"/>
        <sz val="10"/>
        <rFont val="Arial"/>
        <family val="2"/>
      </rPr>
      <t>O1</t>
    </r>
  </si>
  <si>
    <r>
      <t>L</t>
    </r>
    <r>
      <rPr>
        <vertAlign val="subscript"/>
        <sz val="10"/>
        <rFont val="Arial"/>
        <family val="2"/>
      </rPr>
      <t>O2</t>
    </r>
  </si>
  <si>
    <r>
      <t>D</t>
    </r>
    <r>
      <rPr>
        <vertAlign val="subscript"/>
        <sz val="10"/>
        <rFont val="Arial"/>
        <family val="2"/>
      </rPr>
      <t>BOOT1</t>
    </r>
    <r>
      <rPr>
        <sz val="10"/>
        <rFont val="Arial"/>
        <family val="2"/>
      </rPr>
      <t>, D</t>
    </r>
    <r>
      <rPr>
        <vertAlign val="subscript"/>
        <sz val="10"/>
        <rFont val="Arial"/>
        <family val="2"/>
      </rPr>
      <t>BOOT2</t>
    </r>
  </si>
  <si>
    <r>
      <t>R</t>
    </r>
    <r>
      <rPr>
        <vertAlign val="subscript"/>
        <sz val="10"/>
        <rFont val="Arial"/>
        <family val="2"/>
      </rPr>
      <t>C2</t>
    </r>
  </si>
  <si>
    <r>
      <t>R</t>
    </r>
    <r>
      <rPr>
        <vertAlign val="subscript"/>
        <sz val="10"/>
        <rFont val="Arial"/>
        <family val="2"/>
      </rPr>
      <t>S1</t>
    </r>
  </si>
  <si>
    <t>0508</t>
  </si>
  <si>
    <r>
      <t>R</t>
    </r>
    <r>
      <rPr>
        <vertAlign val="subscript"/>
        <sz val="10"/>
        <rFont val="Arial"/>
        <family val="2"/>
      </rPr>
      <t>S2</t>
    </r>
  </si>
  <si>
    <r>
      <t>R</t>
    </r>
    <r>
      <rPr>
        <vertAlign val="subscript"/>
        <sz val="10"/>
        <rFont val="Arial"/>
        <family val="2"/>
      </rPr>
      <t>FB3</t>
    </r>
  </si>
  <si>
    <r>
      <t>R</t>
    </r>
    <r>
      <rPr>
        <vertAlign val="subscript"/>
        <sz val="10"/>
        <rFont val="Arial"/>
        <family val="2"/>
      </rPr>
      <t>FB4</t>
    </r>
  </si>
  <si>
    <r>
      <t>C</t>
    </r>
    <r>
      <rPr>
        <vertAlign val="subscript"/>
        <sz val="10"/>
        <rFont val="Arial"/>
        <family val="2"/>
      </rPr>
      <t>SS1</t>
    </r>
    <r>
      <rPr>
        <sz val="10"/>
        <rFont val="Arial"/>
        <family val="2"/>
      </rPr>
      <t>, C</t>
    </r>
    <r>
      <rPr>
        <vertAlign val="subscript"/>
        <sz val="10"/>
        <rFont val="Arial"/>
        <family val="2"/>
      </rPr>
      <t>SS2</t>
    </r>
  </si>
  <si>
    <r>
      <t>C</t>
    </r>
    <r>
      <rPr>
        <vertAlign val="subscript"/>
        <sz val="10"/>
        <rFont val="Arial"/>
        <family val="2"/>
      </rPr>
      <t>VCC1</t>
    </r>
    <r>
      <rPr>
        <sz val="10"/>
        <rFont val="Arial"/>
        <family val="2"/>
      </rPr>
      <t>, C</t>
    </r>
    <r>
      <rPr>
        <vertAlign val="subscript"/>
        <sz val="10"/>
        <rFont val="Arial"/>
        <family val="2"/>
      </rPr>
      <t>VCC2</t>
    </r>
    <r>
      <rPr>
        <sz val="10"/>
        <rFont val="Arial"/>
        <family val="2"/>
      </rPr>
      <t>, C</t>
    </r>
    <r>
      <rPr>
        <vertAlign val="subscript"/>
        <sz val="10"/>
        <rFont val="Arial"/>
        <family val="2"/>
      </rPr>
      <t>VCCX</t>
    </r>
  </si>
  <si>
    <r>
      <t>C</t>
    </r>
    <r>
      <rPr>
        <vertAlign val="subscript"/>
        <sz val="10"/>
        <rFont val="Arial"/>
        <family val="2"/>
      </rPr>
      <t>RES</t>
    </r>
  </si>
  <si>
    <r>
      <t>C</t>
    </r>
    <r>
      <rPr>
        <vertAlign val="subscript"/>
        <sz val="10"/>
        <rFont val="Arial"/>
        <family val="2"/>
      </rPr>
      <t>C3</t>
    </r>
  </si>
  <si>
    <r>
      <t>C</t>
    </r>
    <r>
      <rPr>
        <vertAlign val="subscript"/>
        <sz val="10"/>
        <rFont val="Arial"/>
        <family val="2"/>
      </rPr>
      <t>C4</t>
    </r>
  </si>
  <si>
    <r>
      <t>C</t>
    </r>
    <r>
      <rPr>
        <vertAlign val="subscript"/>
        <sz val="10"/>
        <rFont val="Arial"/>
        <family val="2"/>
      </rPr>
      <t>VDDA</t>
    </r>
  </si>
  <si>
    <r>
      <t>R</t>
    </r>
    <r>
      <rPr>
        <vertAlign val="subscript"/>
        <sz val="10"/>
        <rFont val="Arial"/>
        <family val="2"/>
      </rPr>
      <t>PGOOD1</t>
    </r>
    <r>
      <rPr>
        <sz val="10"/>
        <rFont val="Arial"/>
        <family val="2"/>
      </rPr>
      <t>, R</t>
    </r>
    <r>
      <rPr>
        <vertAlign val="subscript"/>
        <sz val="10"/>
        <rFont val="Arial"/>
        <family val="2"/>
      </rPr>
      <t>PGOOD2</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</si>
  <si>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</si>
  <si>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</si>
  <si>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</si>
  <si>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</si>
  <si>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</si>
  <si>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r>
      <t>(Q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</si>
  <si>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t>Dual  Outputs</t>
  </si>
  <si>
    <t>Single Output – 2  Phases</t>
  </si>
  <si>
    <t>Single Output – 3  Phases</t>
  </si>
  <si>
    <t>Single Output – 4  Phases</t>
  </si>
  <si>
    <t>BODE_PLOT_TYPE</t>
  </si>
  <si>
    <r>
      <t xml:space="preserve">   ** For </t>
    </r>
    <r>
      <rPr>
        <b/>
        <sz val="10"/>
        <color rgb="FFFF0000"/>
        <rFont val="Arial"/>
        <family val="2"/>
      </rPr>
      <t>Dual-Output Operation</t>
    </r>
    <r>
      <rPr>
        <sz val="10"/>
        <rFont val="Arial"/>
        <family val="2"/>
      </rPr>
      <t>, tie FB1/FB2 to to VDDA for Fixed 3.3V, AGND for Fixed 5V Output **</t>
    </r>
  </si>
  <si>
    <t xml:space="preserve">   ** Tie MODE to VDDA for Single, AGND for Dual Outputs **</t>
  </si>
  <si>
    <t xml:space="preserve">   ** Tie DEMB to VDDA for FPWM, AGND for DCM **</t>
  </si>
  <si>
    <r>
      <t xml:space="preserve">   ** For </t>
    </r>
    <r>
      <rPr>
        <b/>
        <sz val="10"/>
        <color rgb="FFFF0000"/>
        <rFont val="Arial"/>
        <family val="2"/>
      </rPr>
      <t>Single-Output Operation in 2-Phase Mode</t>
    </r>
    <r>
      <rPr>
        <sz val="10"/>
        <rFont val="Arial"/>
        <family val="2"/>
      </rPr>
      <t>, tie MODE to VDDA and use FB1 to set VOUT. Connect FB2 to AGND to disable EA of channel 2 **</t>
    </r>
  </si>
  <si>
    <r>
      <t xml:space="preserve">   ** For </t>
    </r>
    <r>
      <rPr>
        <b/>
        <sz val="10"/>
        <color rgb="FFFF0000"/>
        <rFont val="Arial"/>
        <family val="2"/>
      </rPr>
      <t>Single-Output Operation in 3-Phase or 4-Phase Mode</t>
    </r>
    <r>
      <rPr>
        <sz val="10"/>
        <rFont val="Arial"/>
        <family val="2"/>
      </rPr>
      <t>, tie all MODE pins to VDDA. Use FB1 of master IC to set VOUT. Connect FB2 of master IC to AGND. Connect FB2 of slave IC to VDDA to configure it as a slave **</t>
    </r>
  </si>
  <si>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</si>
  <si>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</si>
  <si>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</si>
  <si>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</si>
  <si>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</si>
  <si>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</si>
  <si>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</si>
  <si>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</si>
  <si>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</si>
  <si>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</si>
  <si>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R</t>
    </r>
    <r>
      <rPr>
        <vertAlign val="subscript"/>
        <sz val="10"/>
        <rFont val="Arial"/>
        <family val="2"/>
      </rPr>
      <t>DEMB</t>
    </r>
  </si>
  <si>
    <r>
      <t>R</t>
    </r>
    <r>
      <rPr>
        <vertAlign val="subscript"/>
        <sz val="10"/>
        <rFont val="Arial"/>
        <family val="2"/>
      </rPr>
      <t>PG1</t>
    </r>
    <r>
      <rPr>
        <sz val="10"/>
        <rFont val="Arial"/>
        <family val="2"/>
      </rPr>
      <t>, R</t>
    </r>
    <r>
      <rPr>
        <vertAlign val="subscript"/>
        <sz val="10"/>
        <rFont val="Arial"/>
        <family val="2"/>
      </rPr>
      <t>PG2</t>
    </r>
  </si>
  <si>
    <t>Schottky Diode, 60V, 200mA</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</si>
  <si>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</si>
  <si>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</si>
  <si>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</si>
  <si>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</si>
  <si>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</si>
  <si>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</si>
  <si>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</si>
  <si>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</si>
  <si>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</si>
  <si>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</si>
  <si>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</si>
  <si>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Css2</t>
  </si>
  <si>
    <t>I_VCC</t>
  </si>
  <si>
    <t>LDO Loss Saved from Gate Drive Current (ext VCC)</t>
  </si>
  <si>
    <t>IC Power Dissipation</t>
  </si>
  <si>
    <t>Step 2: Current Sense Resistors</t>
  </si>
  <si>
    <t>Step 3: Buck Inductances</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</si>
  <si>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</si>
  <si>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</si>
  <si>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</si>
  <si>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</si>
  <si>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</si>
  <si>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</si>
  <si>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</si>
  <si>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</si>
  <si>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</si>
  <si>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</si>
  <si>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</si>
  <si>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</si>
  <si>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</si>
  <si>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</si>
  <si>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</si>
  <si>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</si>
  <si>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</si>
  <si>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</si>
  <si>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</si>
  <si>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</si>
  <si>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</si>
  <si>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</si>
  <si>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</si>
  <si>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Valley inductor Current</t>
  </si>
  <si>
    <t>SW node voltage at Q3 turn-on</t>
  </si>
  <si>
    <t>14ns for LM513-Q1</t>
  </si>
  <si>
    <t>Tsw (us)</t>
  </si>
  <si>
    <t>Slope comp amplitude</t>
  </si>
  <si>
    <r>
      <t>Output Capacitance (derated), C</t>
    </r>
    <r>
      <rPr>
        <b/>
        <vertAlign val="subscript"/>
        <sz val="10"/>
        <rFont val="Arial"/>
        <family val="2"/>
      </rPr>
      <t>OUT</t>
    </r>
    <r>
      <rPr>
        <b/>
        <sz val="10"/>
        <rFont val="Arial"/>
        <family val="2"/>
      </rPr>
      <t xml:space="preserve"> </t>
    </r>
  </si>
  <si>
    <r>
      <t>Ch2 Output Cap (derated), C</t>
    </r>
    <r>
      <rPr>
        <b/>
        <vertAlign val="subscript"/>
        <sz val="10"/>
        <rFont val="Arial"/>
        <family val="2"/>
      </rPr>
      <t>OUT2</t>
    </r>
    <r>
      <rPr>
        <b/>
        <sz val="10"/>
        <rFont val="Arial"/>
        <family val="2"/>
      </rPr>
      <t xml:space="preserve"> </t>
    </r>
  </si>
  <si>
    <t xml:space="preserve">                        LM(2)5143/-Q1 Synchronous Buck Controller Design Tool</t>
  </si>
  <si>
    <t>VARIANT</t>
  </si>
  <si>
    <t>VIN-MAX</t>
  </si>
  <si>
    <t>LM5143</t>
  </si>
  <si>
    <t>LM25143-Q1</t>
  </si>
  <si>
    <t>LM25143</t>
  </si>
  <si>
    <t>VOUT-MAX</t>
  </si>
  <si>
    <t xml:space="preserve"> LM(2)5143/-Q1 Quickstart Design Tool</t>
  </si>
  <si>
    <t>Shunt current sensing</t>
  </si>
  <si>
    <t>Inductor DCR current sensing</t>
  </si>
  <si>
    <t>SENSING_TYPE</t>
  </si>
  <si>
    <t>LM5143A-Q1</t>
  </si>
  <si>
    <t>NVMFS5H663, NVMFS5C628NL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</si>
</sst>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_(* \(#,##0.00\);_(* &quot;-&quot;??_);_(@_)"/>
    <numFmt numFmtId="165" formatCode="0.000000"/>
    <numFmt numFmtId="166" formatCode="0.00000"/>
    <numFmt numFmtId="167" formatCode="0.0000"/>
    <numFmt numFmtId="168" formatCode="0.000"/>
    <numFmt numFmtId="169" formatCode="0.0"/>
    <numFmt numFmtId="170" formatCode="0.000E+00"/>
    <numFmt numFmtId="171" formatCode="0.00000000"/>
    <numFmt numFmtId="172" formatCode="#0.0#"/>
    <numFmt numFmtId="173" formatCode="General&quot;nF&quot;"/>
    <numFmt numFmtId="174" formatCode="General&quot;k&quot;"/>
    <numFmt numFmtId="175" formatCode="General&quot;pF&quot;"/>
    <numFmt numFmtId="176" formatCode="General&quot;µF&quot;"/>
    <numFmt numFmtId="177" formatCode="&quot;Capacitor, Ceramic, &quot;General&quot;-µF, 25V, X5R, 20%&quot;"/>
    <numFmt numFmtId="178" formatCode="&quot;Capacitor, Ceramic, &quot;General&quot;-pF, 50V, NP0, 5%&quot;"/>
    <numFmt numFmtId="179" formatCode="&quot;Capacitor, Ceramic, &quot;General&quot;-nF, 16V, X7R, 10%&quot;"/>
    <numFmt numFmtId="180" formatCode="&quot;Capacitor, Ceramic, &quot;General&quot;-µF, 25V, X7R, 20%&quot;"/>
    <numFmt numFmtId="181" formatCode="General&quot;µH&quot;"/>
    <numFmt numFmtId="182" formatCode="&quot;Inductor, &quot;General&quot;-µH, 10%&quot;"/>
    <numFmt numFmtId="183" formatCode="&quot;Resistor, Chip, &quot;General&quot;-kΩ, 1/16W, 1%&quot;"/>
    <numFmt numFmtId="184" formatCode="&quot;Resistor, Chip, &quot;General&quot;-Ω, 1/16W, 1%&quot;"/>
    <numFmt numFmtId="185" formatCode="0.0%"/>
    <numFmt numFmtId="186" formatCode="0.0E+00"/>
    <numFmt numFmtId="187" formatCode="General&quot;m&quot;"/>
    <numFmt numFmtId="188" formatCode="&quot;Capacitor, Ceramic, &quot;General&quot;-µF, 50V, X7R, 20%&quot;"/>
    <numFmt numFmtId="189" formatCode="&quot;Resistor, Chip, &quot;General&quot;-mΩ, 2W, 1%&quot;"/>
    <numFmt numFmtId="190" formatCode="0.0.E+00"/>
    <numFmt numFmtId="191" formatCode="&quot;MOSFET, N-CH, 40V, &quot;General&quot;mΩ&quot;"/>
    <numFmt numFmtId="192" formatCode="&quot;Capacitor, Ceramic, &quot;General&quot;-µF, 10V, X7R, 20%&quot;"/>
  </numFmts>
  <fonts count="90"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perscript"/>
      <sz val="10"/>
      <name val="Arial"/>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10"/>
      <color rgb="FFCC00FF"/>
      <name val="Arial"/>
      <family val="2"/>
    </font>
    <font>
      <b/>
      <sz val="9"/>
      <color rgb="FF000000"/>
      <name val="Arial"/>
      <family val="2"/>
      <charset val="238"/>
    </font>
  </fonts>
  <fills count="28">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92D050"/>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top style="medium">
        <color indexed="64"/>
      </top>
      <bottom style="thin">
        <color indexed="64"/>
      </bottom>
      <diagonal/>
    </border>
  </borders>
  <cellStyleXfs count="6">
    <xf numFmtId="0" fontId="0" fillId="0" borderId="0"/>
    <xf numFmtId="164"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164" fontId="1" fillId="0" borderId="0" applyFont="0" applyFill="0" applyBorder="0" applyAlignment="0" applyProtection="0"/>
  </cellStyleXfs>
  <cellXfs count="769">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70"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9"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6" fontId="0" fillId="0" borderId="0" xfId="0" applyNumberFormat="1"/>
    <xf numFmtId="172" fontId="17" fillId="3" borderId="0" xfId="0" applyNumberFormat="1" applyFont="1" applyFill="1" applyAlignment="1">
      <alignment horizontal="center"/>
    </xf>
    <xf numFmtId="172"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8" fontId="17" fillId="9" borderId="0" xfId="0" applyNumberFormat="1" applyFont="1" applyFill="1"/>
    <xf numFmtId="171" fontId="17" fillId="9" borderId="0" xfId="0" applyNumberFormat="1" applyFont="1" applyFill="1"/>
    <xf numFmtId="167"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4"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7" fillId="9" borderId="0" xfId="0" applyFont="1" applyFill="1"/>
    <xf numFmtId="1" fontId="3" fillId="19" borderId="0" xfId="0" applyNumberFormat="1" applyFont="1" applyFill="1" applyProtection="1">
      <protection locked="0"/>
    </xf>
    <xf numFmtId="0" fontId="59" fillId="9" borderId="0" xfId="0" applyFont="1" applyFill="1"/>
    <xf numFmtId="0" fontId="3" fillId="9" borderId="0" xfId="0" applyFont="1" applyFill="1"/>
    <xf numFmtId="169" fontId="3" fillId="9" borderId="0" xfId="0" applyNumberFormat="1" applyFont="1" applyFill="1"/>
    <xf numFmtId="0" fontId="2" fillId="16" borderId="0" xfId="0" applyFont="1" applyFill="1"/>
    <xf numFmtId="0" fontId="3" fillId="9" borderId="28" xfId="0" applyFont="1" applyFill="1" applyBorder="1"/>
    <xf numFmtId="0" fontId="59" fillId="16" borderId="0" xfId="0" applyFont="1" applyFill="1"/>
    <xf numFmtId="1" fontId="56" fillId="9" borderId="0" xfId="0" applyNumberFormat="1" applyFont="1" applyFill="1" applyAlignment="1">
      <alignment horizontal="right"/>
    </xf>
    <xf numFmtId="0" fontId="61" fillId="15" borderId="19" xfId="0" applyFont="1" applyFill="1" applyBorder="1"/>
    <xf numFmtId="0" fontId="59" fillId="9" borderId="0" xfId="0" applyFont="1" applyFill="1" applyAlignment="1">
      <alignment vertical="center"/>
    </xf>
    <xf numFmtId="0" fontId="7" fillId="9" borderId="0" xfId="0" applyFont="1" applyFill="1" applyAlignment="1">
      <alignment horizontal="right"/>
    </xf>
    <xf numFmtId="169"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2" fillId="9" borderId="0" xfId="0" applyFont="1" applyFill="1"/>
    <xf numFmtId="0" fontId="2" fillId="9" borderId="0" xfId="0" applyFont="1" applyFill="1" applyAlignment="1">
      <alignment horizontal="left"/>
    </xf>
    <xf numFmtId="0" fontId="60" fillId="19" borderId="0" xfId="0" applyFont="1" applyFill="1" applyAlignment="1" applyProtection="1">
      <alignment horizontal="right"/>
      <protection locked="0" hidden="1"/>
    </xf>
    <xf numFmtId="0" fontId="63" fillId="15" borderId="19" xfId="0" applyFont="1" applyFill="1" applyBorder="1"/>
    <xf numFmtId="0" fontId="22" fillId="9" borderId="28" xfId="0" applyFont="1" applyFill="1" applyBorder="1"/>
    <xf numFmtId="1" fontId="2" fillId="9" borderId="0" xfId="0" applyNumberFormat="1" applyFont="1" applyFill="1"/>
    <xf numFmtId="0" fontId="65"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5"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0" fillId="19" borderId="41" xfId="0" applyFont="1" applyFill="1" applyBorder="1" applyAlignment="1" applyProtection="1">
      <alignment horizontal="right"/>
      <protection locked="0" hidden="1"/>
    </xf>
    <xf numFmtId="0" fontId="60" fillId="9" borderId="42" xfId="0" applyFont="1" applyFill="1" applyBorder="1" applyAlignment="1">
      <alignment horizontal="left"/>
    </xf>
    <xf numFmtId="0" fontId="60"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0" fillId="19" borderId="45" xfId="0" applyFont="1" applyFill="1" applyBorder="1" applyAlignment="1" applyProtection="1">
      <alignment horizontal="right"/>
      <protection locked="0" hidden="1"/>
    </xf>
    <xf numFmtId="0" fontId="60" fillId="9" borderId="46" xfId="0" applyFont="1" applyFill="1" applyBorder="1" applyAlignment="1">
      <alignment horizontal="left"/>
    </xf>
    <xf numFmtId="169"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1" fillId="15" borderId="47" xfId="0" applyFont="1" applyFill="1" applyBorder="1"/>
    <xf numFmtId="0" fontId="17" fillId="3" borderId="28" xfId="0" applyFont="1" applyFill="1" applyBorder="1"/>
    <xf numFmtId="172" fontId="17" fillId="18" borderId="0" xfId="0" applyNumberFormat="1" applyFont="1" applyFill="1" applyAlignment="1">
      <alignment horizontal="center"/>
    </xf>
    <xf numFmtId="0" fontId="17" fillId="18" borderId="0" xfId="0" applyFont="1" applyFill="1"/>
    <xf numFmtId="172"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69" fillId="9" borderId="0" xfId="0" applyFont="1" applyFill="1"/>
    <xf numFmtId="0" fontId="69" fillId="9" borderId="29" xfId="0" applyFont="1" applyFill="1" applyBorder="1"/>
    <xf numFmtId="172" fontId="69" fillId="18" borderId="0" xfId="0" applyNumberFormat="1" applyFont="1" applyFill="1" applyAlignment="1">
      <alignment horizontal="center"/>
    </xf>
    <xf numFmtId="0" fontId="69" fillId="18" borderId="0" xfId="0" applyFont="1" applyFill="1"/>
    <xf numFmtId="172" fontId="69" fillId="3" borderId="0" xfId="0" applyNumberFormat="1" applyFont="1" applyFill="1" applyAlignment="1">
      <alignment horizontal="center"/>
    </xf>
    <xf numFmtId="0" fontId="69" fillId="3" borderId="0" xfId="0" applyFont="1" applyFill="1"/>
    <xf numFmtId="0" fontId="67"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8" fillId="9" borderId="28" xfId="0" applyFont="1" applyFill="1" applyBorder="1" applyAlignment="1">
      <alignment vertical="center"/>
    </xf>
    <xf numFmtId="0" fontId="67" fillId="9" borderId="0" xfId="0" applyFont="1" applyFill="1" applyAlignment="1">
      <alignment horizontal="right" vertical="center"/>
    </xf>
    <xf numFmtId="0" fontId="67" fillId="0" borderId="0" xfId="0" applyFont="1" applyAlignment="1">
      <alignment horizontal="left" vertical="center"/>
    </xf>
    <xf numFmtId="0" fontId="2" fillId="0" borderId="1" xfId="0" applyFont="1" applyBorder="1"/>
    <xf numFmtId="0" fontId="2" fillId="0" borderId="28" xfId="0" applyFont="1" applyBorder="1"/>
    <xf numFmtId="0" fontId="72"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4"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4"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6"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5"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6" fontId="2" fillId="16" borderId="11" xfId="3" applyNumberFormat="1" applyFill="1" applyBorder="1" applyAlignment="1">
      <alignment horizontal="center" vertical="center"/>
    </xf>
    <xf numFmtId="176" fontId="2" fillId="20" borderId="11" xfId="3" applyNumberFormat="1" applyFill="1" applyBorder="1" applyAlignment="1">
      <alignment horizontal="center" vertical="center"/>
    </xf>
    <xf numFmtId="173"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1"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4" fillId="16" borderId="0" xfId="0" applyFont="1" applyFill="1"/>
    <xf numFmtId="169"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9"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5"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5" fillId="16"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1" fontId="2" fillId="9" borderId="0" xfId="0" applyNumberFormat="1" applyFont="1" applyFill="1" applyAlignment="1">
      <alignment horizontal="right" vertical="center"/>
    </xf>
    <xf numFmtId="0" fontId="65"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5"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5"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8" fontId="7" fillId="12" borderId="0" xfId="0" applyNumberFormat="1" applyFont="1" applyFill="1"/>
    <xf numFmtId="168" fontId="8" fillId="12" borderId="0" xfId="0" applyNumberFormat="1" applyFont="1" applyFill="1"/>
    <xf numFmtId="0" fontId="3" fillId="19" borderId="2" xfId="0" applyFont="1" applyFill="1" applyBorder="1" applyProtection="1">
      <protection locked="0"/>
    </xf>
    <xf numFmtId="0" fontId="64" fillId="16" borderId="0" xfId="0" applyFont="1" applyFill="1" applyAlignment="1">
      <alignment horizontal="center"/>
    </xf>
    <xf numFmtId="169" fontId="2" fillId="9" borderId="0" xfId="0" applyNumberFormat="1" applyFont="1" applyFill="1"/>
    <xf numFmtId="2" fontId="0" fillId="22" borderId="0" xfId="0" applyNumberFormat="1" applyFill="1"/>
    <xf numFmtId="1" fontId="0" fillId="12" borderId="0" xfId="0" applyNumberFormat="1" applyFill="1"/>
    <xf numFmtId="167" fontId="0" fillId="22" borderId="0" xfId="0" applyNumberFormat="1" applyFill="1"/>
    <xf numFmtId="167" fontId="0" fillId="12" borderId="0" xfId="0" applyNumberFormat="1" applyFill="1"/>
    <xf numFmtId="1" fontId="0" fillId="0" borderId="0" xfId="0" applyNumberFormat="1"/>
    <xf numFmtId="1" fontId="0" fillId="24" borderId="0" xfId="0" applyNumberFormat="1" applyFill="1"/>
    <xf numFmtId="167" fontId="0" fillId="0" borderId="0" xfId="0" applyNumberFormat="1"/>
    <xf numFmtId="169" fontId="0" fillId="22" borderId="0" xfId="0" applyNumberFormat="1" applyFill="1"/>
    <xf numFmtId="0" fontId="2" fillId="0" borderId="41" xfId="0" applyFont="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9"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7" fontId="2" fillId="0" borderId="67" xfId="3" applyNumberFormat="1" applyBorder="1" applyAlignment="1">
      <alignment horizontal="center"/>
    </xf>
    <xf numFmtId="167" fontId="2" fillId="0" borderId="12" xfId="3" applyNumberFormat="1" applyBorder="1" applyAlignment="1">
      <alignment horizontal="center"/>
    </xf>
    <xf numFmtId="167" fontId="2" fillId="0" borderId="68" xfId="3" applyNumberFormat="1" applyBorder="1" applyAlignment="1">
      <alignment horizontal="center"/>
    </xf>
    <xf numFmtId="167" fontId="2" fillId="0" borderId="69" xfId="3" applyNumberFormat="1" applyBorder="1" applyAlignment="1">
      <alignment horizontal="center"/>
    </xf>
    <xf numFmtId="165" fontId="2" fillId="0" borderId="67" xfId="3" applyNumberFormat="1" applyBorder="1" applyAlignment="1">
      <alignment horizontal="center"/>
    </xf>
    <xf numFmtId="165"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7" fontId="2" fillId="0" borderId="11" xfId="3" applyNumberFormat="1" applyBorder="1" applyAlignment="1">
      <alignment horizontal="center"/>
    </xf>
    <xf numFmtId="167" fontId="2" fillId="0" borderId="58" xfId="3" applyNumberFormat="1" applyBorder="1" applyAlignment="1">
      <alignment horizontal="center"/>
    </xf>
    <xf numFmtId="0" fontId="2" fillId="0" borderId="0" xfId="3" applyAlignment="1">
      <alignment horizontal="center"/>
    </xf>
    <xf numFmtId="167" fontId="2" fillId="0" borderId="0" xfId="3" applyNumberFormat="1" applyAlignment="1">
      <alignment horizontal="center"/>
    </xf>
    <xf numFmtId="165"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7" fontId="2" fillId="0" borderId="18" xfId="3" applyNumberFormat="1" applyBorder="1" applyAlignment="1">
      <alignment horizontal="center"/>
    </xf>
    <xf numFmtId="167"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8" fontId="0" fillId="0" borderId="0" xfId="0" applyNumberFormat="1"/>
    <xf numFmtId="1" fontId="7" fillId="12" borderId="0" xfId="0" applyNumberFormat="1" applyFont="1" applyFill="1"/>
    <xf numFmtId="0" fontId="62"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8" fontId="2" fillId="0" borderId="77" xfId="0" applyNumberFormat="1" applyFont="1" applyBorder="1"/>
    <xf numFmtId="11" fontId="7" fillId="0" borderId="77" xfId="0" applyNumberFormat="1" applyFont="1" applyBorder="1"/>
    <xf numFmtId="0" fontId="72" fillId="0" borderId="77" xfId="0" applyFont="1" applyBorder="1"/>
    <xf numFmtId="1" fontId="62" fillId="0" borderId="0" xfId="0" applyNumberFormat="1" applyFont="1"/>
    <xf numFmtId="0" fontId="80" fillId="0" borderId="0" xfId="0" applyFont="1"/>
    <xf numFmtId="168" fontId="62" fillId="0" borderId="0" xfId="0" applyNumberFormat="1" applyFont="1"/>
    <xf numFmtId="0" fontId="3" fillId="0" borderId="30" xfId="0" applyFont="1" applyBorder="1"/>
    <xf numFmtId="166"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5" fillId="0" borderId="0" xfId="0" applyNumberFormat="1" applyFont="1"/>
    <xf numFmtId="0" fontId="65" fillId="0" borderId="0" xfId="0" applyFont="1"/>
    <xf numFmtId="0" fontId="72" fillId="0" borderId="58" xfId="3" applyFont="1" applyBorder="1"/>
    <xf numFmtId="168" fontId="0" fillId="12" borderId="0" xfId="0" applyNumberFormat="1" applyFill="1"/>
    <xf numFmtId="167"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8" fontId="30" fillId="22" borderId="0" xfId="0" applyNumberFormat="1" applyFont="1" applyFill="1"/>
    <xf numFmtId="167" fontId="30" fillId="22" borderId="34" xfId="0" applyNumberFormat="1" applyFont="1" applyFill="1" applyBorder="1"/>
    <xf numFmtId="168"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8"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8" fontId="2" fillId="0" borderId="11" xfId="3" applyNumberFormat="1" applyBorder="1"/>
    <xf numFmtId="0" fontId="2" fillId="0" borderId="0" xfId="3" applyAlignment="1">
      <alignment horizontal="left"/>
    </xf>
    <xf numFmtId="1" fontId="2" fillId="0" borderId="0" xfId="3" applyNumberFormat="1"/>
    <xf numFmtId="168" fontId="2" fillId="0" borderId="0" xfId="3" applyNumberFormat="1"/>
    <xf numFmtId="0" fontId="0" fillId="23" borderId="0" xfId="0" applyFill="1"/>
    <xf numFmtId="185" fontId="8" fillId="12" borderId="0" xfId="0" applyNumberFormat="1" applyFont="1" applyFill="1"/>
    <xf numFmtId="2" fontId="2" fillId="0" borderId="0" xfId="0" applyNumberFormat="1" applyFont="1"/>
    <xf numFmtId="168" fontId="3" fillId="0" borderId="0" xfId="0" applyNumberFormat="1" applyFont="1" applyAlignment="1">
      <alignment horizontal="right"/>
    </xf>
    <xf numFmtId="1" fontId="2" fillId="24" borderId="0" xfId="0" applyNumberFormat="1" applyFont="1" applyFill="1"/>
    <xf numFmtId="0" fontId="2" fillId="24" borderId="0" xfId="0" applyFont="1" applyFill="1"/>
    <xf numFmtId="167" fontId="2" fillId="22" borderId="31" xfId="0" applyNumberFormat="1" applyFont="1" applyFill="1" applyBorder="1"/>
    <xf numFmtId="0" fontId="2" fillId="0" borderId="8" xfId="3" applyBorder="1"/>
    <xf numFmtId="169" fontId="2" fillId="0" borderId="8" xfId="3" applyNumberFormat="1" applyBorder="1"/>
    <xf numFmtId="0" fontId="3" fillId="0" borderId="57" xfId="3" applyFont="1" applyBorder="1" applyAlignment="1">
      <alignment horizontal="center"/>
    </xf>
    <xf numFmtId="0" fontId="2" fillId="8" borderId="64" xfId="3" applyFill="1" applyBorder="1"/>
    <xf numFmtId="168" fontId="2" fillId="0" borderId="44" xfId="3" applyNumberFormat="1" applyBorder="1"/>
    <xf numFmtId="165" fontId="2" fillId="0" borderId="58" xfId="3" applyNumberFormat="1" applyBorder="1" applyAlignment="1">
      <alignment horizontal="center"/>
    </xf>
    <xf numFmtId="168" fontId="65" fillId="0" borderId="0" xfId="0" applyNumberFormat="1" applyFont="1"/>
    <xf numFmtId="186" fontId="3" fillId="12" borderId="0" xfId="0" applyNumberFormat="1" applyFont="1" applyFill="1"/>
    <xf numFmtId="186" fontId="2" fillId="4" borderId="0" xfId="0" applyNumberFormat="1" applyFont="1" applyFill="1"/>
    <xf numFmtId="186" fontId="30" fillId="4" borderId="0" xfId="0" applyNumberFormat="1" applyFont="1" applyFill="1"/>
    <xf numFmtId="186" fontId="0" fillId="12" borderId="0" xfId="0" applyNumberFormat="1" applyFill="1"/>
    <xf numFmtId="186"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8" fontId="2" fillId="8" borderId="11" xfId="3" applyNumberFormat="1" applyFill="1" applyBorder="1"/>
    <xf numFmtId="0" fontId="2" fillId="9" borderId="76" xfId="0" applyFont="1" applyFill="1" applyBorder="1" applyAlignment="1">
      <alignment horizontal="left"/>
    </xf>
    <xf numFmtId="169"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9" fontId="2" fillId="22" borderId="0" xfId="0" applyNumberFormat="1" applyFont="1" applyFill="1"/>
    <xf numFmtId="1" fontId="2" fillId="9" borderId="44" xfId="0" applyNumberFormat="1" applyFont="1" applyFill="1" applyBorder="1" applyAlignment="1">
      <alignment horizontal="right"/>
    </xf>
    <xf numFmtId="187" fontId="2" fillId="21" borderId="11" xfId="3" applyNumberFormat="1" applyFill="1" applyBorder="1" applyAlignment="1">
      <alignment horizontal="center" vertical="center"/>
    </xf>
    <xf numFmtId="173"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2"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7"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70"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8" fontId="3" fillId="2" borderId="6" xfId="0" applyNumberFormat="1" applyFont="1" applyFill="1" applyBorder="1" applyAlignment="1">
      <alignment horizontal="center" vertical="center" wrapText="1"/>
    </xf>
    <xf numFmtId="167" fontId="3" fillId="2" borderId="5"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7" fontId="3" fillId="4" borderId="2" xfId="0" applyNumberFormat="1" applyFont="1" applyFill="1" applyBorder="1" applyAlignment="1">
      <alignment horizontal="center"/>
    </xf>
    <xf numFmtId="167" fontId="3" fillId="7" borderId="23" xfId="0" applyNumberFormat="1" applyFont="1" applyFill="1" applyBorder="1" applyAlignment="1">
      <alignment horizontal="center" vertical="center" wrapText="1"/>
    </xf>
    <xf numFmtId="0" fontId="62"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79"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7" fontId="3" fillId="12" borderId="0" xfId="0" applyNumberFormat="1" applyFont="1" applyFill="1"/>
    <xf numFmtId="168" fontId="8" fillId="0" borderId="0" xfId="0" applyNumberFormat="1" applyFont="1"/>
    <xf numFmtId="168"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9" fontId="2" fillId="9" borderId="0" xfId="0" applyNumberFormat="1" applyFont="1" applyFill="1" applyAlignment="1">
      <alignment horizontal="left" vertical="center"/>
    </xf>
    <xf numFmtId="0" fontId="67" fillId="9" borderId="77" xfId="0" applyFont="1" applyFill="1" applyBorder="1" applyAlignment="1">
      <alignment horizontal="left"/>
    </xf>
    <xf numFmtId="0" fontId="3" fillId="4" borderId="0" xfId="0" applyFont="1" applyFill="1"/>
    <xf numFmtId="0" fontId="73" fillId="3" borderId="49" xfId="3" applyFont="1" applyFill="1" applyBorder="1" applyAlignment="1">
      <alignment horizontal="center" vertical="center"/>
    </xf>
    <xf numFmtId="0" fontId="73" fillId="3" borderId="50" xfId="3" applyFont="1" applyFill="1" applyBorder="1" applyAlignment="1">
      <alignment horizontal="center" vertical="center"/>
    </xf>
    <xf numFmtId="0" fontId="73" fillId="3" borderId="50" xfId="3" applyFont="1" applyFill="1" applyBorder="1" applyAlignment="1">
      <alignment horizontal="left" vertical="center"/>
    </xf>
    <xf numFmtId="0" fontId="2" fillId="9" borderId="0" xfId="0" applyFont="1" applyFill="1" applyAlignment="1">
      <alignment horizontal="left" vertical="top"/>
    </xf>
    <xf numFmtId="0" fontId="2" fillId="9" borderId="0" xfId="0" applyFont="1" applyFill="1" applyAlignment="1">
      <alignment horizontal="right" vertical="top" readingOrder="1"/>
    </xf>
    <xf numFmtId="169" fontId="0" fillId="0" borderId="0" xfId="0" applyNumberFormat="1" applyAlignment="1">
      <alignment horizontal="left"/>
    </xf>
    <xf numFmtId="0" fontId="67" fillId="0" borderId="0" xfId="0" applyFont="1"/>
    <xf numFmtId="168"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2" fontId="17" fillId="25" borderId="0" xfId="0" applyNumberFormat="1" applyFont="1" applyFill="1" applyAlignment="1">
      <alignment horizontal="center"/>
    </xf>
    <xf numFmtId="0" fontId="17" fillId="25" borderId="0" xfId="0" applyFont="1" applyFill="1"/>
    <xf numFmtId="172" fontId="69" fillId="25" borderId="0" xfId="0" applyNumberFormat="1" applyFont="1" applyFill="1" applyAlignment="1">
      <alignment horizontal="center"/>
    </xf>
    <xf numFmtId="172"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1"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3" fillId="25" borderId="0" xfId="2" applyFont="1" applyFill="1" applyBorder="1" applyAlignment="1" applyProtection="1">
      <alignment horizontal="left" vertical="center"/>
    </xf>
    <xf numFmtId="0" fontId="83" fillId="25" borderId="0" xfId="2" applyFont="1" applyFill="1" applyAlignment="1" applyProtection="1"/>
    <xf numFmtId="1" fontId="2" fillId="9" borderId="75" xfId="0" applyNumberFormat="1" applyFont="1" applyFill="1" applyBorder="1" applyAlignment="1">
      <alignment horizontal="right"/>
    </xf>
    <xf numFmtId="168" fontId="0" fillId="22" borderId="0" xfId="0" applyNumberFormat="1" applyFill="1"/>
    <xf numFmtId="2" fontId="8" fillId="12" borderId="0" xfId="0" applyNumberFormat="1" applyFont="1" applyFill="1"/>
    <xf numFmtId="169" fontId="15" fillId="4" borderId="0" xfId="0" applyNumberFormat="1" applyFont="1" applyFill="1" applyAlignment="1">
      <alignment horizontal="right"/>
    </xf>
    <xf numFmtId="186" fontId="3" fillId="0" borderId="0" xfId="0" applyNumberFormat="1" applyFont="1"/>
    <xf numFmtId="2" fontId="30" fillId="0" borderId="0" xfId="0" applyNumberFormat="1" applyFont="1"/>
    <xf numFmtId="0" fontId="74" fillId="0" borderId="0" xfId="0" applyFont="1"/>
    <xf numFmtId="169" fontId="2" fillId="9" borderId="0" xfId="0" applyNumberFormat="1" applyFont="1" applyFill="1" applyAlignment="1">
      <alignment horizontal="right"/>
    </xf>
    <xf numFmtId="169" fontId="2" fillId="9" borderId="0" xfId="0" applyNumberFormat="1" applyFont="1" applyFill="1" applyAlignment="1">
      <alignment horizontal="right" vertical="center"/>
    </xf>
    <xf numFmtId="11" fontId="64" fillId="22" borderId="0" xfId="0" applyNumberFormat="1" applyFont="1" applyFill="1"/>
    <xf numFmtId="0" fontId="64"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8" fontId="30" fillId="0" borderId="0" xfId="0" applyNumberFormat="1" applyFont="1"/>
    <xf numFmtId="0" fontId="74" fillId="0" borderId="0" xfId="0" applyFont="1" applyAlignment="1">
      <alignment horizontal="left"/>
    </xf>
    <xf numFmtId="0" fontId="62" fillId="0" borderId="0" xfId="0" applyFont="1" applyAlignment="1">
      <alignment horizontal="right"/>
    </xf>
    <xf numFmtId="0" fontId="62"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8" fontId="0" fillId="0" borderId="0" xfId="0" applyNumberFormat="1" applyAlignment="1">
      <alignment horizontal="right"/>
    </xf>
    <xf numFmtId="185" fontId="0" fillId="0" borderId="0" xfId="0" applyNumberFormat="1"/>
    <xf numFmtId="0" fontId="3" fillId="0" borderId="28" xfId="0" applyFont="1" applyBorder="1" applyAlignment="1">
      <alignment horizontal="center"/>
    </xf>
    <xf numFmtId="168" fontId="82" fillId="26" borderId="0" xfId="0" applyNumberFormat="1" applyFont="1" applyFill="1" applyAlignment="1">
      <alignment horizontal="center" vertical="center"/>
    </xf>
    <xf numFmtId="167"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62" fillId="2" borderId="6" xfId="0" applyFont="1" applyFill="1" applyBorder="1" applyAlignment="1">
      <alignment horizontal="center" vertical="center" wrapText="1"/>
    </xf>
    <xf numFmtId="169" fontId="80" fillId="0" borderId="0" xfId="0" applyNumberFormat="1" applyFont="1"/>
    <xf numFmtId="10" fontId="80" fillId="0" borderId="0" xfId="0" applyNumberFormat="1" applyFont="1" applyAlignment="1">
      <alignment horizontal="center"/>
    </xf>
    <xf numFmtId="0" fontId="10" fillId="9" borderId="0" xfId="2" applyFill="1" applyAlignment="1" applyProtection="1"/>
    <xf numFmtId="0" fontId="3" fillId="19" borderId="0" xfId="0" applyFont="1" applyFill="1" applyAlignment="1" applyProtection="1">
      <alignment horizontal="right" vertical="center"/>
      <protection locked="0"/>
    </xf>
    <xf numFmtId="169" fontId="2" fillId="16" borderId="0" xfId="0" applyNumberFormat="1" applyFont="1" applyFill="1"/>
    <xf numFmtId="0" fontId="3" fillId="9" borderId="45" xfId="0" applyFont="1" applyFill="1" applyBorder="1" applyAlignment="1">
      <alignment horizontal="left" vertical="center"/>
    </xf>
    <xf numFmtId="0" fontId="64" fillId="0" borderId="28" xfId="0" applyFont="1" applyBorder="1"/>
    <xf numFmtId="1" fontId="67" fillId="0" borderId="0" xfId="0" applyNumberFormat="1" applyFont="1"/>
    <xf numFmtId="168" fontId="7" fillId="0" borderId="0" xfId="0" applyNumberFormat="1" applyFont="1"/>
    <xf numFmtId="2" fontId="64" fillId="9" borderId="2" xfId="1" applyNumberFormat="1" applyFont="1" applyFill="1" applyBorder="1" applyAlignment="1" applyProtection="1">
      <alignment horizontal="right"/>
    </xf>
    <xf numFmtId="0" fontId="17" fillId="16" borderId="41" xfId="0" applyFont="1" applyFill="1" applyBorder="1"/>
    <xf numFmtId="0" fontId="17" fillId="16" borderId="42" xfId="0" applyFont="1" applyFill="1" applyBorder="1"/>
    <xf numFmtId="0" fontId="57" fillId="9" borderId="43" xfId="0" applyFont="1" applyFill="1" applyBorder="1"/>
    <xf numFmtId="0" fontId="57" fillId="9" borderId="44" xfId="0" applyFont="1" applyFill="1" applyBorder="1"/>
    <xf numFmtId="1" fontId="2" fillId="9" borderId="45" xfId="0" applyNumberFormat="1" applyFont="1" applyFill="1" applyBorder="1" applyAlignment="1">
      <alignment vertical="center"/>
    </xf>
    <xf numFmtId="0" fontId="57" fillId="9" borderId="75" xfId="0" applyFont="1" applyFill="1" applyBorder="1"/>
    <xf numFmtId="0" fontId="65"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0" fontId="17" fillId="16" borderId="45" xfId="0" applyFont="1" applyFill="1" applyBorder="1"/>
    <xf numFmtId="0" fontId="65" fillId="9" borderId="45" xfId="0" applyFont="1" applyFill="1" applyBorder="1" applyAlignment="1">
      <alignment horizontal="right" vertical="center"/>
    </xf>
    <xf numFmtId="0" fontId="3" fillId="19" borderId="45" xfId="0" applyFont="1" applyFill="1" applyBorder="1" applyAlignment="1" applyProtection="1">
      <alignment vertical="center"/>
      <protection locked="0"/>
    </xf>
    <xf numFmtId="0" fontId="3" fillId="9" borderId="46" xfId="0" applyFont="1" applyFill="1" applyBorder="1" applyAlignment="1">
      <alignment vertical="center"/>
    </xf>
    <xf numFmtId="0" fontId="64" fillId="16" borderId="45" xfId="0" applyFont="1" applyFill="1" applyBorder="1" applyAlignment="1">
      <alignment horizontal="center"/>
    </xf>
    <xf numFmtId="169" fontId="2" fillId="9" borderId="45" xfId="0" applyNumberFormat="1" applyFont="1" applyFill="1" applyBorder="1" applyAlignment="1">
      <alignment vertical="center"/>
    </xf>
    <xf numFmtId="0" fontId="3" fillId="0" borderId="45" xfId="0" applyFont="1" applyBorder="1"/>
    <xf numFmtId="0" fontId="0" fillId="0" borderId="46" xfId="0" applyBorder="1"/>
    <xf numFmtId="2" fontId="8" fillId="0" borderId="0" xfId="0" applyNumberFormat="1" applyFont="1"/>
    <xf numFmtId="168" fontId="3" fillId="0" borderId="2" xfId="0" applyNumberFormat="1" applyFont="1" applyBorder="1"/>
    <xf numFmtId="2" fontId="2" fillId="22" borderId="0" xfId="0" applyNumberFormat="1" applyFont="1" applyFill="1"/>
    <xf numFmtId="168" fontId="2" fillId="22" borderId="0" xfId="0" applyNumberFormat="1" applyFont="1" applyFill="1"/>
    <xf numFmtId="0" fontId="2" fillId="27" borderId="0" xfId="0" applyFont="1" applyFill="1"/>
    <xf numFmtId="185" fontId="8" fillId="0" borderId="0" xfId="0" applyNumberFormat="1" applyFont="1"/>
    <xf numFmtId="168" fontId="0" fillId="24" borderId="0" xfId="0" applyNumberFormat="1" applyFill="1"/>
    <xf numFmtId="0" fontId="2" fillId="9" borderId="75" xfId="0" applyFont="1" applyFill="1" applyBorder="1"/>
    <xf numFmtId="0" fontId="58" fillId="9" borderId="44" xfId="0" applyFont="1" applyFill="1" applyBorder="1"/>
    <xf numFmtId="0" fontId="2" fillId="16" borderId="45" xfId="0" applyFont="1" applyFill="1" applyBorder="1" applyAlignment="1">
      <alignment horizontal="right" vertical="center"/>
    </xf>
    <xf numFmtId="0" fontId="85" fillId="9" borderId="0" xfId="0" applyFont="1" applyFill="1" applyAlignment="1">
      <alignment horizontal="right" vertical="center"/>
    </xf>
    <xf numFmtId="168" fontId="0" fillId="12" borderId="2" xfId="0" applyNumberFormat="1" applyFill="1" applyBorder="1"/>
    <xf numFmtId="2" fontId="2" fillId="9" borderId="31" xfId="0" applyNumberFormat="1" applyFont="1" applyFill="1" applyBorder="1"/>
    <xf numFmtId="168" fontId="0" fillId="4" borderId="2" xfId="0" applyNumberFormat="1" applyFill="1" applyBorder="1"/>
    <xf numFmtId="186" fontId="0" fillId="4" borderId="0" xfId="0" applyNumberFormat="1" applyFill="1"/>
    <xf numFmtId="0" fontId="85" fillId="9" borderId="45" xfId="0" applyFont="1" applyFill="1" applyBorder="1" applyAlignment="1">
      <alignment horizontal="right" vertical="center"/>
    </xf>
    <xf numFmtId="0" fontId="88" fillId="0" borderId="0" xfId="0" applyFont="1" applyAlignment="1">
      <alignment horizontal="left"/>
    </xf>
    <xf numFmtId="1" fontId="2" fillId="9" borderId="0" xfId="0" applyNumberFormat="1" applyFont="1" applyFill="1" applyAlignment="1">
      <alignment horizontal="right"/>
    </xf>
    <xf numFmtId="190" fontId="0" fillId="23" borderId="0" xfId="0" applyNumberFormat="1" applyFill="1"/>
    <xf numFmtId="169" fontId="2" fillId="9" borderId="31" xfId="0" applyNumberFormat="1" applyFont="1" applyFill="1" applyBorder="1" applyAlignment="1">
      <alignment vertical="center"/>
    </xf>
    <xf numFmtId="0" fontId="88" fillId="0" borderId="0" xfId="0" applyFont="1" applyAlignment="1">
      <alignment horizontal="right"/>
    </xf>
    <xf numFmtId="0" fontId="65"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8" fontId="8" fillId="7" borderId="11" xfId="0" applyNumberFormat="1" applyFont="1" applyFill="1" applyBorder="1"/>
    <xf numFmtId="168" fontId="15" fillId="7" borderId="11" xfId="0" applyNumberFormat="1" applyFont="1" applyFill="1" applyBorder="1"/>
    <xf numFmtId="168"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7"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9" fontId="67" fillId="9" borderId="45" xfId="0" applyNumberFormat="1" applyFont="1" applyFill="1" applyBorder="1" applyAlignment="1">
      <alignment horizontal="left" vertical="center"/>
    </xf>
    <xf numFmtId="1" fontId="3" fillId="0" borderId="0" xfId="3" applyNumberFormat="1" applyFont="1" applyAlignment="1">
      <alignment horizontal="right"/>
    </xf>
    <xf numFmtId="0" fontId="3" fillId="0" borderId="0" xfId="3" applyFont="1" applyAlignment="1">
      <alignment horizontal="right"/>
    </xf>
    <xf numFmtId="167" fontId="3" fillId="0" borderId="18" xfId="3" applyNumberFormat="1" applyFont="1" applyBorder="1" applyAlignment="1">
      <alignment horizontal="center"/>
    </xf>
    <xf numFmtId="167" fontId="3" fillId="0" borderId="11" xfId="3" applyNumberFormat="1" applyFont="1" applyBorder="1" applyAlignment="1">
      <alignment horizontal="center"/>
    </xf>
    <xf numFmtId="167" fontId="3" fillId="0" borderId="58" xfId="3" applyNumberFormat="1" applyFont="1" applyBorder="1" applyAlignment="1">
      <alignment horizontal="center"/>
    </xf>
    <xf numFmtId="167" fontId="3" fillId="0" borderId="12" xfId="3" applyNumberFormat="1" applyFont="1" applyBorder="1" applyAlignment="1">
      <alignment horizontal="center"/>
    </xf>
    <xf numFmtId="167" fontId="3" fillId="0" borderId="68" xfId="3" applyNumberFormat="1" applyFont="1" applyBorder="1" applyAlignment="1">
      <alignment horizontal="center"/>
    </xf>
    <xf numFmtId="167" fontId="3" fillId="0" borderId="8" xfId="3" applyNumberFormat="1" applyFont="1" applyBorder="1" applyAlignment="1">
      <alignment horizontal="center"/>
    </xf>
    <xf numFmtId="167" fontId="3" fillId="0" borderId="67" xfId="3" applyNumberFormat="1" applyFont="1" applyBorder="1" applyAlignment="1">
      <alignment horizontal="center"/>
    </xf>
    <xf numFmtId="167" fontId="3" fillId="0" borderId="69" xfId="3" applyNumberFormat="1" applyFont="1" applyBorder="1" applyAlignment="1">
      <alignment horizontal="center"/>
    </xf>
    <xf numFmtId="165" fontId="3" fillId="0" borderId="68" xfId="3" applyNumberFormat="1" applyFont="1" applyBorder="1" applyAlignment="1">
      <alignment horizontal="center"/>
    </xf>
    <xf numFmtId="2" fontId="3" fillId="0" borderId="67" xfId="3" applyNumberFormat="1" applyFont="1" applyBorder="1" applyAlignment="1">
      <alignment horizontal="center"/>
    </xf>
    <xf numFmtId="2" fontId="3" fillId="0" borderId="12" xfId="3" applyNumberFormat="1" applyFont="1" applyBorder="1" applyAlignment="1">
      <alignment horizontal="center"/>
    </xf>
    <xf numFmtId="2" fontId="3" fillId="0" borderId="58" xfId="3" applyNumberFormat="1" applyFont="1" applyBorder="1" applyAlignment="1">
      <alignment horizontal="center"/>
    </xf>
    <xf numFmtId="0" fontId="3" fillId="0" borderId="0" xfId="3" applyFont="1"/>
    <xf numFmtId="2" fontId="3" fillId="0" borderId="18" xfId="3" applyNumberFormat="1" applyFont="1" applyBorder="1" applyAlignment="1">
      <alignment horizontal="center"/>
    </xf>
    <xf numFmtId="0" fontId="3" fillId="0" borderId="63" xfId="3" applyFont="1" applyBorder="1" applyAlignment="1">
      <alignment horizontal="center"/>
    </xf>
    <xf numFmtId="0" fontId="3" fillId="0" borderId="71" xfId="3" applyFont="1" applyBorder="1" applyAlignment="1">
      <alignment horizontal="center"/>
    </xf>
    <xf numFmtId="165" fontId="3" fillId="0" borderId="67" xfId="3" applyNumberFormat="1" applyFont="1" applyBorder="1" applyAlignment="1">
      <alignment horizontal="center"/>
    </xf>
    <xf numFmtId="0" fontId="3" fillId="9" borderId="80" xfId="0" applyFont="1" applyFill="1" applyBorder="1"/>
    <xf numFmtId="0" fontId="67" fillId="9" borderId="0" xfId="0" applyFont="1" applyFill="1" applyAlignment="1">
      <alignment horizontal="right"/>
    </xf>
    <xf numFmtId="0" fontId="67" fillId="9" borderId="0" xfId="0" applyFont="1" applyFill="1" applyAlignment="1">
      <alignment horizontal="left"/>
    </xf>
    <xf numFmtId="0" fontId="62" fillId="9" borderId="0" xfId="0" applyFont="1" applyFill="1" applyProtection="1">
      <protection locked="0"/>
    </xf>
    <xf numFmtId="0" fontId="67" fillId="9" borderId="42" xfId="0" applyFont="1" applyFill="1" applyBorder="1" applyAlignment="1">
      <alignment horizontal="left"/>
    </xf>
    <xf numFmtId="0" fontId="67" fillId="9" borderId="42" xfId="0" applyFont="1" applyFill="1" applyBorder="1" applyAlignment="1">
      <alignment horizontal="righ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9"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6" borderId="29" xfId="0" applyFont="1" applyFill="1" applyBorder="1"/>
    <xf numFmtId="0" fontId="3" fillId="19" borderId="45" xfId="0" applyFont="1" applyFill="1" applyBorder="1" applyAlignment="1" applyProtection="1">
      <alignment horizontal="right" vertical="center"/>
      <protection locked="0"/>
    </xf>
    <xf numFmtId="0" fontId="3" fillId="16" borderId="0" xfId="0" applyFont="1" applyFill="1" applyAlignment="1">
      <alignment horizontal="right" vertical="center"/>
    </xf>
    <xf numFmtId="0" fontId="17" fillId="16" borderId="80" xfId="0" applyFont="1" applyFill="1" applyBorder="1"/>
    <xf numFmtId="0" fontId="3" fillId="16" borderId="0" xfId="0" applyFont="1" applyFill="1" applyAlignment="1">
      <alignment vertical="center"/>
    </xf>
    <xf numFmtId="0" fontId="3" fillId="16" borderId="0" xfId="0" applyFont="1" applyFill="1" applyAlignment="1" applyProtection="1">
      <alignment horizontal="right" vertical="center"/>
      <protection locked="0"/>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62" fillId="2" borderId="82" xfId="0" applyFont="1" applyFill="1" applyBorder="1" applyAlignment="1">
      <alignment horizontal="center" vertical="center" wrapText="1"/>
    </xf>
    <xf numFmtId="169" fontId="30" fillId="22" borderId="0" xfId="0" applyNumberFormat="1" applyFont="1" applyFill="1" applyAlignment="1">
      <alignment horizontal="right"/>
    </xf>
    <xf numFmtId="169" fontId="30" fillId="12" borderId="0" xfId="0" applyNumberFormat="1" applyFont="1" applyFill="1"/>
    <xf numFmtId="2" fontId="0" fillId="22" borderId="0" xfId="0" applyNumberFormat="1" applyFill="1" applyAlignment="1">
      <alignment horizontal="right"/>
    </xf>
    <xf numFmtId="2" fontId="0" fillId="0" borderId="0" xfId="0" applyNumberFormat="1" applyAlignment="1">
      <alignment horizontal="right"/>
    </xf>
    <xf numFmtId="169" fontId="30" fillId="0" borderId="0" xfId="0" applyNumberFormat="1" applyFont="1"/>
    <xf numFmtId="2" fontId="62" fillId="0" borderId="0" xfId="0" applyNumberFormat="1" applyFont="1"/>
    <xf numFmtId="2" fontId="2" fillId="9" borderId="31" xfId="0" applyNumberFormat="1" applyFont="1" applyFill="1" applyBorder="1" applyAlignment="1">
      <alignment vertical="center"/>
    </xf>
    <xf numFmtId="0" fontId="3" fillId="4" borderId="83" xfId="0" applyFont="1" applyFill="1" applyBorder="1" applyAlignment="1">
      <alignment horizontal="center"/>
    </xf>
    <xf numFmtId="2" fontId="3" fillId="2" borderId="82" xfId="0" applyNumberFormat="1" applyFont="1" applyFill="1" applyBorder="1" applyAlignment="1">
      <alignment horizontal="center" vertical="center" wrapText="1"/>
    </xf>
    <xf numFmtId="170" fontId="0" fillId="23" borderId="0" xfId="0" applyNumberFormat="1" applyFill="1"/>
    <xf numFmtId="0" fontId="3" fillId="24" borderId="0" xfId="0" applyFont="1" applyFill="1" applyAlignment="1">
      <alignment horizontal="right"/>
    </xf>
    <xf numFmtId="0" fontId="62" fillId="9" borderId="80" xfId="0" applyFont="1" applyFill="1" applyBorder="1" applyAlignment="1" applyProtection="1">
      <alignment horizontal="left"/>
      <protection locked="0"/>
    </xf>
    <xf numFmtId="0" fontId="62" fillId="9" borderId="0" xfId="0" applyFont="1" applyFill="1" applyAlignment="1" applyProtection="1">
      <alignment horizontal="left"/>
      <protection locked="0"/>
    </xf>
    <xf numFmtId="0" fontId="67" fillId="9" borderId="0" xfId="0" applyFont="1" applyFill="1" applyAlignment="1">
      <alignment horizontal="left" vertical="center"/>
    </xf>
    <xf numFmtId="0" fontId="24" fillId="25" borderId="0" xfId="0" applyFont="1" applyFill="1" applyAlignment="1">
      <alignment horizontal="center" vertical="center"/>
    </xf>
    <xf numFmtId="0" fontId="53" fillId="17" borderId="43" xfId="0" applyFont="1" applyFill="1" applyBorder="1" applyAlignment="1">
      <alignment horizontal="left" vertical="center"/>
    </xf>
    <xf numFmtId="0" fontId="53"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80" xfId="0" applyFont="1" applyFill="1" applyBorder="1" applyAlignment="1">
      <alignment horizontal="left" vertical="center" wrapText="1"/>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183" fontId="2" fillId="21" borderId="8" xfId="3" applyNumberFormat="1" applyFill="1" applyBorder="1" applyAlignment="1">
      <alignment horizontal="left" vertical="center"/>
    </xf>
    <xf numFmtId="183" fontId="2" fillId="21" borderId="9" xfId="3" applyNumberFormat="1" applyFill="1" applyBorder="1" applyAlignment="1">
      <alignment horizontal="left" vertical="center"/>
    </xf>
    <xf numFmtId="183" fontId="2" fillId="21" borderId="15"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84" fontId="2" fillId="16" borderId="8" xfId="3" applyNumberFormat="1" applyFill="1" applyBorder="1" applyAlignment="1">
      <alignment horizontal="left" vertical="center"/>
    </xf>
    <xf numFmtId="184" fontId="2" fillId="16" borderId="9" xfId="3" applyNumberFormat="1" applyFill="1" applyBorder="1" applyAlignment="1">
      <alignment horizontal="left" vertical="center"/>
    </xf>
    <xf numFmtId="184" fontId="2" fillId="16" borderId="15" xfId="3" applyNumberFormat="1" applyFill="1" applyBorder="1" applyAlignment="1">
      <alignment horizontal="left" vertical="center"/>
    </xf>
    <xf numFmtId="177" fontId="2" fillId="16" borderId="8" xfId="3" applyNumberFormat="1" applyFill="1" applyBorder="1" applyAlignment="1">
      <alignment horizontal="left" vertical="center"/>
    </xf>
    <xf numFmtId="0" fontId="0" fillId="0" borderId="9" xfId="0" applyBorder="1"/>
    <xf numFmtId="192" fontId="2" fillId="20" borderId="8" xfId="3" applyNumberFormat="1" applyFill="1" applyBorder="1" applyAlignment="1">
      <alignment horizontal="left" vertical="center"/>
    </xf>
    <xf numFmtId="192" fontId="2" fillId="20" borderId="9" xfId="3" applyNumberFormat="1" applyFill="1" applyBorder="1" applyAlignment="1">
      <alignment horizontal="left" vertical="center"/>
    </xf>
    <xf numFmtId="179" fontId="2" fillId="20" borderId="8" xfId="3" applyNumberFormat="1" applyFill="1" applyBorder="1" applyAlignment="1">
      <alignment horizontal="left" vertical="center"/>
    </xf>
    <xf numFmtId="179" fontId="2" fillId="20" borderId="9" xfId="3" applyNumberFormat="1" applyFill="1" applyBorder="1" applyAlignment="1">
      <alignment horizontal="left" vertical="center"/>
    </xf>
    <xf numFmtId="180" fontId="2" fillId="16" borderId="8" xfId="3" applyNumberFormat="1" applyFill="1" applyBorder="1" applyAlignment="1">
      <alignment horizontal="left" vertical="center"/>
    </xf>
    <xf numFmtId="180" fontId="2" fillId="16" borderId="9" xfId="3" applyNumberFormat="1" applyFill="1" applyBorder="1" applyAlignment="1">
      <alignment horizontal="left" vertical="center"/>
    </xf>
    <xf numFmtId="179" fontId="2" fillId="21" borderId="8" xfId="3" applyNumberFormat="1" applyFill="1" applyBorder="1" applyAlignment="1">
      <alignment horizontal="left" vertical="center"/>
    </xf>
    <xf numFmtId="179" fontId="2" fillId="21" borderId="9" xfId="3" applyNumberFormat="1" applyFill="1" applyBorder="1" applyAlignment="1">
      <alignment horizontal="left" vertical="center"/>
    </xf>
    <xf numFmtId="188" fontId="2" fillId="20" borderId="8" xfId="3" applyNumberFormat="1" applyFill="1" applyBorder="1" applyAlignment="1">
      <alignment horizontal="left" vertical="center"/>
    </xf>
    <xf numFmtId="188" fontId="2" fillId="20" borderId="9" xfId="3" applyNumberFormat="1" applyFill="1" applyBorder="1" applyAlignment="1">
      <alignment horizontal="left" vertical="center"/>
    </xf>
    <xf numFmtId="0" fontId="73" fillId="3" borderId="51" xfId="3" applyFont="1" applyFill="1" applyBorder="1" applyAlignment="1">
      <alignment horizontal="left" vertical="center"/>
    </xf>
    <xf numFmtId="0" fontId="73" fillId="3" borderId="52" xfId="3" applyFont="1" applyFill="1" applyBorder="1" applyAlignment="1">
      <alignment horizontal="left" vertical="center"/>
    </xf>
    <xf numFmtId="0" fontId="73" fillId="3" borderId="53" xfId="3" applyFon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91" fontId="2" fillId="16" borderId="8" xfId="3" applyNumberFormat="1" applyFill="1" applyBorder="1" applyAlignment="1">
      <alignment horizontal="left" vertical="center"/>
    </xf>
    <xf numFmtId="191" fontId="2" fillId="16" borderId="9" xfId="3" applyNumberFormat="1" applyFill="1" applyBorder="1" applyAlignment="1">
      <alignment horizontal="left" vertical="center"/>
    </xf>
    <xf numFmtId="191" fontId="2" fillId="16" borderId="15" xfId="3" applyNumberFormat="1" applyFill="1" applyBorder="1" applyAlignment="1">
      <alignment horizontal="left" vertical="center"/>
    </xf>
    <xf numFmtId="189" fontId="2" fillId="21" borderId="8" xfId="3" applyNumberFormat="1" applyFill="1" applyBorder="1" applyAlignment="1">
      <alignment horizontal="left" vertical="center"/>
    </xf>
    <xf numFmtId="189" fontId="2" fillId="21" borderId="9" xfId="3" applyNumberFormat="1" applyFill="1" applyBorder="1" applyAlignment="1">
      <alignment horizontal="left" vertical="center"/>
    </xf>
    <xf numFmtId="189" fontId="2" fillId="21" borderId="15" xfId="3" applyNumberFormat="1" applyFill="1" applyBorder="1" applyAlignment="1">
      <alignment horizontal="left" vertical="center"/>
    </xf>
    <xf numFmtId="182" fontId="2" fillId="20" borderId="8" xfId="3" applyNumberFormat="1" applyFill="1" applyBorder="1" applyAlignment="1">
      <alignment horizontal="left" vertical="center"/>
    </xf>
    <xf numFmtId="182" fontId="2" fillId="20" borderId="9" xfId="3" applyNumberFormat="1" applyFill="1" applyBorder="1" applyAlignment="1">
      <alignment horizontal="left" vertical="center"/>
    </xf>
    <xf numFmtId="182" fontId="2" fillId="20" borderId="15" xfId="3" applyNumberFormat="1" applyFill="1" applyBorder="1" applyAlignment="1">
      <alignment horizontal="left" vertical="center"/>
    </xf>
    <xf numFmtId="180" fontId="2" fillId="9" borderId="8" xfId="3" applyNumberFormat="1" applyFill="1" applyBorder="1" applyAlignment="1">
      <alignment horizontal="left" vertical="center"/>
    </xf>
    <xf numFmtId="180" fontId="2" fillId="9" borderId="9"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2" fillId="9" borderId="14" xfId="3" applyFont="1" applyFill="1" applyBorder="1" applyAlignment="1">
      <alignment horizontal="center" vertical="center"/>
    </xf>
    <xf numFmtId="0" fontId="62"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51" fillId="16" borderId="28" xfId="0" applyFont="1" applyFill="1" applyBorder="1" applyAlignment="1">
      <alignment horizontal="left" vertical="center"/>
    </xf>
    <xf numFmtId="0" fontId="51"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79" fillId="4" borderId="74" xfId="3" applyFont="1" applyFill="1" applyBorder="1" applyAlignment="1">
      <alignment horizontal="center" vertical="center"/>
    </xf>
    <xf numFmtId="0" fontId="79"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9"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9" fillId="4" borderId="60" xfId="3" applyFont="1" applyFill="1" applyBorder="1" applyAlignment="1">
      <alignment horizontal="center"/>
    </xf>
    <xf numFmtId="0" fontId="79"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9" fillId="4" borderId="55" xfId="3" applyFont="1" applyFill="1" applyBorder="1" applyAlignment="1">
      <alignment horizontal="center"/>
    </xf>
    <xf numFmtId="0" fontId="79" fillId="4" borderId="56" xfId="3" applyFont="1" applyFill="1" applyBorder="1" applyAlignment="1">
      <alignment horizontal="center"/>
    </xf>
    <xf numFmtId="0" fontId="79"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70" fontId="3" fillId="4" borderId="55" xfId="0" applyNumberFormat="1" applyFont="1" applyFill="1" applyBorder="1" applyAlignment="1">
      <alignment horizontal="center"/>
    </xf>
    <xf numFmtId="170" fontId="3" fillId="4" borderId="56" xfId="0" applyNumberFormat="1" applyFont="1" applyFill="1" applyBorder="1" applyAlignment="1">
      <alignment horizontal="center"/>
    </xf>
    <xf numFmtId="170" fontId="3" fillId="4" borderId="57" xfId="0" applyNumberFormat="1" applyFont="1" applyFill="1" applyBorder="1" applyAlignment="1">
      <alignment horizontal="center"/>
    </xf>
    <xf numFmtId="0" fontId="3" fillId="24" borderId="0" xfId="0" applyFont="1" applyFill="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3" fillId="4" borderId="83" xfId="0" applyFont="1" applyFill="1" applyBorder="1" applyAlignment="1">
      <alignment horizontal="center"/>
    </xf>
  </cellXfs>
  <cellStyles count="6">
    <cellStyle name="Comma 2" xfId="5" xr:uid="{00000000-0005-0000-0000-000001000000}"/>
    <cellStyle name="Čárka" xfId="1" builtinId="3"/>
    <cellStyle name="Hypertextový odkaz" xfId="2" builtinId="8"/>
    <cellStyle name="Normal 2" xfId="3" xr:uid="{00000000-0005-0000-0000-000004000000}"/>
    <cellStyle name="Normal 3" xfId="4" xr:uid="{00000000-0005-0000-0000-000005000000}"/>
    <cellStyle name="Normální" xfId="0" builtinId="0"/>
  </cellStyles>
  <dxfs count="30">
    <dxf>
      <font>
        <color theme="0"/>
      </font>
      <fill>
        <patternFill>
          <bgColor theme="0"/>
        </patternFill>
      </fill>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rgb="FFC00000"/>
      </font>
    </dxf>
    <dxf>
      <font>
        <color rgb="FFC00000"/>
      </font>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color rgb="FFFF0000"/>
      </font>
    </dxf>
    <dxf>
      <font>
        <b/>
        <i val="0"/>
        <color rgb="FFFF0000"/>
      </font>
    </dxf>
    <dxf>
      <font>
        <b/>
        <i val="0"/>
        <color rgb="FFFF0000"/>
      </font>
    </dxf>
    <dxf>
      <font>
        <color theme="0"/>
      </font>
    </dxf>
    <dxf>
      <font>
        <b/>
        <i val="0"/>
        <color rgb="FFC00000"/>
      </font>
    </dxf>
    <dxf>
      <font>
        <color theme="0"/>
      </font>
      <fill>
        <patternFill>
          <bgColor theme="0"/>
        </patternFill>
      </fill>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FF9900"/>
      <color rgb="FF0000FF"/>
      <color rgb="FFC00000"/>
      <color rgb="FF99CC00"/>
      <color rgb="FFCC00FF"/>
      <color rgb="FFC0C0C0"/>
      <color rgb="FFE8FCFE"/>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72.675341978961711</c:v>
                </c:pt>
                <c:pt idx="1">
                  <c:v>71.878129953865198</c:v>
                </c:pt>
                <c:pt idx="2">
                  <c:v>71.080509909242522</c:v>
                </c:pt>
                <c:pt idx="3">
                  <c:v>70.282532782338905</c:v>
                </c:pt>
                <c:pt idx="4">
                  <c:v>69.484762952859896</c:v>
                </c:pt>
                <c:pt idx="5">
                  <c:v>68.685908403274695</c:v>
                </c:pt>
                <c:pt idx="6">
                  <c:v>67.887133073741126</c:v>
                </c:pt>
                <c:pt idx="7">
                  <c:v>67.087935507079152</c:v>
                </c:pt>
                <c:pt idx="8">
                  <c:v>66.288919281931641</c:v>
                </c:pt>
                <c:pt idx="9">
                  <c:v>65.489497190285462</c:v>
                </c:pt>
                <c:pt idx="10">
                  <c:v>64.690143869903267</c:v>
                </c:pt>
                <c:pt idx="11">
                  <c:v>63.890758269330078</c:v>
                </c:pt>
                <c:pt idx="12">
                  <c:v>63.090928266976661</c:v>
                </c:pt>
                <c:pt idx="13">
                  <c:v>62.291431525807077</c:v>
                </c:pt>
                <c:pt idx="14">
                  <c:v>61.491637835105955</c:v>
                </c:pt>
                <c:pt idx="15">
                  <c:v>60.691861649720245</c:v>
                </c:pt>
                <c:pt idx="16">
                  <c:v>59.892044364201737</c:v>
                </c:pt>
                <c:pt idx="17">
                  <c:v>59.092304694531698</c:v>
                </c:pt>
                <c:pt idx="18">
                  <c:v>58.292414548088729</c:v>
                </c:pt>
                <c:pt idx="19">
                  <c:v>57.492592218547536</c:v>
                </c:pt>
                <c:pt idx="20">
                  <c:v>56.692680882812148</c:v>
                </c:pt>
                <c:pt idx="21">
                  <c:v>55.892845798483826</c:v>
                </c:pt>
                <c:pt idx="22">
                  <c:v>55.092917883580739</c:v>
                </c:pt>
                <c:pt idx="23">
                  <c:v>54.293096727076176</c:v>
                </c:pt>
                <c:pt idx="24">
                  <c:v>53.493180519773503</c:v>
                </c:pt>
                <c:pt idx="25">
                  <c:v>52.69329508838063</c:v>
                </c:pt>
                <c:pt idx="26">
                  <c:v>51.893256513638029</c:v>
                </c:pt>
                <c:pt idx="27">
                  <c:v>51.093322540507238</c:v>
                </c:pt>
                <c:pt idx="28">
                  <c:v>50.293465901758623</c:v>
                </c:pt>
                <c:pt idx="29">
                  <c:v>49.494188296171501</c:v>
                </c:pt>
                <c:pt idx="30">
                  <c:v>48.69414434611771</c:v>
                </c:pt>
                <c:pt idx="31">
                  <c:v>47.894459727707321</c:v>
                </c:pt>
                <c:pt idx="32">
                  <c:v>47.094601512883813</c:v>
                </c:pt>
                <c:pt idx="33">
                  <c:v>46.295151308993432</c:v>
                </c:pt>
                <c:pt idx="34">
                  <c:v>45.495506798038846</c:v>
                </c:pt>
                <c:pt idx="35">
                  <c:v>44.696135189428993</c:v>
                </c:pt>
                <c:pt idx="36">
                  <c:v>43.89693463583648</c:v>
                </c:pt>
                <c:pt idx="37">
                  <c:v>43.097499389454825</c:v>
                </c:pt>
                <c:pt idx="38">
                  <c:v>42.298619923033002</c:v>
                </c:pt>
                <c:pt idx="39">
                  <c:v>41.499687125050862</c:v>
                </c:pt>
                <c:pt idx="40">
                  <c:v>40.701043994405239</c:v>
                </c:pt>
                <c:pt idx="41">
                  <c:v>39.902669814930313</c:v>
                </c:pt>
                <c:pt idx="42">
                  <c:v>39.10473107339601</c:v>
                </c:pt>
                <c:pt idx="43">
                  <c:v>38.307059969166147</c:v>
                </c:pt>
                <c:pt idx="44">
                  <c:v>37.509947517123848</c:v>
                </c:pt>
                <c:pt idx="45">
                  <c:v>36.713326455334553</c:v>
                </c:pt>
                <c:pt idx="46">
                  <c:v>35.917468712184288</c:v>
                </c:pt>
                <c:pt idx="47">
                  <c:v>35.122334808102337</c:v>
                </c:pt>
                <c:pt idx="48">
                  <c:v>34.328276726962997</c:v>
                </c:pt>
                <c:pt idx="49">
                  <c:v>33.535276621392789</c:v>
                </c:pt>
                <c:pt idx="50">
                  <c:v>32.743675252121555</c:v>
                </c:pt>
                <c:pt idx="51">
                  <c:v>31.95354512635836</c:v>
                </c:pt>
                <c:pt idx="52">
                  <c:v>31.165438545660976</c:v>
                </c:pt>
                <c:pt idx="53">
                  <c:v>30.379674190393132</c:v>
                </c:pt>
                <c:pt idx="54">
                  <c:v>29.597141417318618</c:v>
                </c:pt>
                <c:pt idx="55">
                  <c:v>28.816981617868947</c:v>
                </c:pt>
                <c:pt idx="56">
                  <c:v>28.040813100245444</c:v>
                </c:pt>
                <c:pt idx="57">
                  <c:v>27.268696848399735</c:v>
                </c:pt>
                <c:pt idx="58">
                  <c:v>26.501829187580384</c:v>
                </c:pt>
                <c:pt idx="59">
                  <c:v>25.74031645756946</c:v>
                </c:pt>
                <c:pt idx="60">
                  <c:v>24.985322170834724</c:v>
                </c:pt>
                <c:pt idx="61">
                  <c:v>24.23747337672145</c:v>
                </c:pt>
                <c:pt idx="62">
                  <c:v>23.497094722728868</c:v>
                </c:pt>
                <c:pt idx="63">
                  <c:v>22.765545358086587</c:v>
                </c:pt>
                <c:pt idx="64">
                  <c:v>22.042763268153944</c:v>
                </c:pt>
                <c:pt idx="65">
                  <c:v>21.329364619366544</c:v>
                </c:pt>
                <c:pt idx="66">
                  <c:v>20.625367868452283</c:v>
                </c:pt>
                <c:pt idx="67">
                  <c:v>19.930625036620985</c:v>
                </c:pt>
                <c:pt idx="68">
                  <c:v>19.244313414188014</c:v>
                </c:pt>
                <c:pt idx="69">
                  <c:v>18.565594420236767</c:v>
                </c:pt>
                <c:pt idx="70">
                  <c:v>17.892912672109805</c:v>
                </c:pt>
                <c:pt idx="71">
                  <c:v>17.224635691657998</c:v>
                </c:pt>
                <c:pt idx="72">
                  <c:v>16.558586923880682</c:v>
                </c:pt>
                <c:pt idx="73">
                  <c:v>15.892752108562361</c:v>
                </c:pt>
                <c:pt idx="74">
                  <c:v>15.224774114809538</c:v>
                </c:pt>
                <c:pt idx="75">
                  <c:v>14.552698260360739</c:v>
                </c:pt>
                <c:pt idx="76">
                  <c:v>13.874559677591101</c:v>
                </c:pt>
                <c:pt idx="77">
                  <c:v>13.189107941871068</c:v>
                </c:pt>
                <c:pt idx="78">
                  <c:v>12.495245747978604</c:v>
                </c:pt>
                <c:pt idx="79">
                  <c:v>11.792745445453111</c:v>
                </c:pt>
                <c:pt idx="80">
                  <c:v>11.080125306123234</c:v>
                </c:pt>
                <c:pt idx="81">
                  <c:v>10.358413256032685</c:v>
                </c:pt>
                <c:pt idx="82">
                  <c:v>9.6274283952386916</c:v>
                </c:pt>
                <c:pt idx="83">
                  <c:v>8.8881978617658621</c:v>
                </c:pt>
                <c:pt idx="84">
                  <c:v>8.140788795444168</c:v>
                </c:pt>
                <c:pt idx="85">
                  <c:v>7.386330146321952</c:v>
                </c:pt>
                <c:pt idx="86">
                  <c:v>6.6254457783412786</c:v>
                </c:pt>
                <c:pt idx="87">
                  <c:v>5.8584494409254519</c:v>
                </c:pt>
                <c:pt idx="88">
                  <c:v>5.086763700454993</c:v>
                </c:pt>
                <c:pt idx="89">
                  <c:v>4.3104085645337475</c:v>
                </c:pt>
                <c:pt idx="90">
                  <c:v>3.5302548291487303</c:v>
                </c:pt>
                <c:pt idx="91">
                  <c:v>2.7467484789728132</c:v>
                </c:pt>
                <c:pt idx="92">
                  <c:v>1.9604439140566483</c:v>
                </c:pt>
                <c:pt idx="93">
                  <c:v>1.1714907687048834</c:v>
                </c:pt>
                <c:pt idx="94">
                  <c:v>0.97397800488938324</c:v>
                </c:pt>
                <c:pt idx="95">
                  <c:v>0.87455967693527759</c:v>
                </c:pt>
                <c:pt idx="96">
                  <c:v>0.77624690907410687</c:v>
                </c:pt>
                <c:pt idx="97">
                  <c:v>0.67677421197792287</c:v>
                </c:pt>
                <c:pt idx="98">
                  <c:v>0.57840859277344636</c:v>
                </c:pt>
                <c:pt idx="99">
                  <c:v>0.47885855192042293</c:v>
                </c:pt>
                <c:pt idx="100">
                  <c:v>0.38041758356478711</c:v>
                </c:pt>
                <c:pt idx="101">
                  <c:v>0.28084435906950556</c:v>
                </c:pt>
                <c:pt idx="102">
                  <c:v>0.18238096930926209</c:v>
                </c:pt>
                <c:pt idx="103">
                  <c:v>8.2690686829037657E-2</c:v>
                </c:pt>
                <c:pt idx="104">
                  <c:v>-1.5886949035082597E-2</c:v>
                </c:pt>
                <c:pt idx="105">
                  <c:v>-0.11563742105778618</c:v>
                </c:pt>
                <c:pt idx="106">
                  <c:v>-0.21427372791604166</c:v>
                </c:pt>
                <c:pt idx="107">
                  <c:v>-0.3140311818871771</c:v>
                </c:pt>
                <c:pt idx="108">
                  <c:v>-0.41267416727358031</c:v>
                </c:pt>
                <c:pt idx="109">
                  <c:v>-0.51245644824651693</c:v>
                </c:pt>
                <c:pt idx="110">
                  <c:v>-0.61112359443028974</c:v>
                </c:pt>
                <c:pt idx="111">
                  <c:v>-0.71101194296827819</c:v>
                </c:pt>
                <c:pt idx="112">
                  <c:v>-0.80978271720175232</c:v>
                </c:pt>
                <c:pt idx="113">
                  <c:v>-0.90972089201570716</c:v>
                </c:pt>
                <c:pt idx="114">
                  <c:v>-1.0085403368967356</c:v>
                </c:pt>
                <c:pt idx="115">
                  <c:v>-1.108538887918797</c:v>
                </c:pt>
                <c:pt idx="116">
                  <c:v>-1.2074173521728975</c:v>
                </c:pt>
                <c:pt idx="117">
                  <c:v>-1.3074847089847219</c:v>
                </c:pt>
                <c:pt idx="118">
                  <c:v>-1.4064304681917383</c:v>
                </c:pt>
                <c:pt idx="119">
                  <c:v>-1.506512749513405</c:v>
                </c:pt>
                <c:pt idx="120">
                  <c:v>-1.605473157998021</c:v>
                </c:pt>
                <c:pt idx="121">
                  <c:v>-1.7055790613425437</c:v>
                </c:pt>
                <c:pt idx="122">
                  <c:v>-1.8045626580069989</c:v>
                </c:pt>
                <c:pt idx="123">
                  <c:v>-1.9047567271387389</c:v>
                </c:pt>
                <c:pt idx="124">
                  <c:v>-2.0038266517043577</c:v>
                </c:pt>
                <c:pt idx="125">
                  <c:v>-2.1040537801413168</c:v>
                </c:pt>
                <c:pt idx="126">
                  <c:v>-2.2031561913528237</c:v>
                </c:pt>
                <c:pt idx="127">
                  <c:v>-2.303420057664828</c:v>
                </c:pt>
                <c:pt idx="128">
                  <c:v>-2.4025585886850758</c:v>
                </c:pt>
                <c:pt idx="129">
                  <c:v>-2.5028614349191343</c:v>
                </c:pt>
                <c:pt idx="130">
                  <c:v>-2.6020383150302373</c:v>
                </c:pt>
                <c:pt idx="131">
                  <c:v>-2.7023810691757717</c:v>
                </c:pt>
                <c:pt idx="132">
                  <c:v>-2.7521283862241481</c:v>
                </c:pt>
                <c:pt idx="133">
                  <c:v>-2.8015972435991183</c:v>
                </c:pt>
                <c:pt idx="134">
                  <c:v>-2.8519568530626054</c:v>
                </c:pt>
                <c:pt idx="135">
                  <c:v>-2.9020311659876334</c:v>
                </c:pt>
                <c:pt idx="136">
                  <c:v>-2.9518234175835136</c:v>
                </c:pt>
                <c:pt idx="137">
                  <c:v>-3.0013367888337719</c:v>
                </c:pt>
                <c:pt idx="138">
                  <c:v>-3.0516891124409211</c:v>
                </c:pt>
                <c:pt idx="139">
                  <c:v>-3.1017563098378531</c:v>
                </c:pt>
                <c:pt idx="140">
                  <c:v>-3.1515416153508897</c:v>
                </c:pt>
                <c:pt idx="141">
                  <c:v>-3.2010482090756804</c:v>
                </c:pt>
                <c:pt idx="142">
                  <c:v>-3.2514433339783055</c:v>
                </c:pt>
                <c:pt idx="143">
                  <c:v>-3.3015529474138381</c:v>
                </c:pt>
                <c:pt idx="144">
                  <c:v>-3.3513802922520668</c:v>
                </c:pt>
                <c:pt idx="145">
                  <c:v>-3.4009285569178171</c:v>
                </c:pt>
                <c:pt idx="146">
                  <c:v>-3.4513389812312085</c:v>
                </c:pt>
                <c:pt idx="147">
                  <c:v>-3.5014638299782637</c:v>
                </c:pt>
                <c:pt idx="148">
                  <c:v>-3.55130634912233</c:v>
                </c:pt>
                <c:pt idx="149">
                  <c:v>-3.6008697300898529</c:v>
                </c:pt>
                <c:pt idx="150">
                  <c:v>-3.6512934637898873</c:v>
                </c:pt>
                <c:pt idx="151">
                  <c:v>-3.7014315909991922</c:v>
                </c:pt>
                <c:pt idx="152">
                  <c:v>-3.7512873602137327</c:v>
                </c:pt>
                <c:pt idx="153">
                  <c:v>-3.800863965313948</c:v>
                </c:pt>
                <c:pt idx="154">
                  <c:v>-3.8513218064562005</c:v>
                </c:pt>
                <c:pt idx="155">
                  <c:v>-3.9014937862008852</c:v>
                </c:pt>
                <c:pt idx="156">
                  <c:v>-3.9513831593968751</c:v>
                </c:pt>
                <c:pt idx="157">
                  <c:v>-4.0009931261141949</c:v>
                </c:pt>
                <c:pt idx="158">
                  <c:v>-4.0514808640674431</c:v>
                </c:pt>
                <c:pt idx="159">
                  <c:v>-4.101682544591946</c:v>
                </c:pt>
                <c:pt idx="160">
                  <c:v>-4.1516014279029338</c:v>
                </c:pt>
                <c:pt idx="161">
                  <c:v>-4.2012407192960941</c:v>
                </c:pt>
                <c:pt idx="162">
                  <c:v>-4.2517318172597225</c:v>
                </c:pt>
                <c:pt idx="163">
                  <c:v>-4.3019369731692505</c:v>
                </c:pt>
                <c:pt idx="164">
                  <c:v>-4.3518594473123287</c:v>
                </c:pt>
                <c:pt idx="165">
                  <c:v>-4.4015024450356748</c:v>
                </c:pt>
                <c:pt idx="166">
                  <c:v>-4.4520370531949158</c:v>
                </c:pt>
                <c:pt idx="167">
                  <c:v>-4.5022853930299247</c:v>
                </c:pt>
                <c:pt idx="168">
                  <c:v>-4.5522507324532828</c:v>
                </c:pt>
                <c:pt idx="169">
                  <c:v>-4.6019362842466212</c:v>
                </c:pt>
                <c:pt idx="170">
                  <c:v>-4.6524024758274605</c:v>
                </c:pt>
                <c:pt idx="171">
                  <c:v>-4.7025833484654758</c:v>
                </c:pt>
                <c:pt idx="172">
                  <c:v>-4.7524821559448487</c:v>
                </c:pt>
                <c:pt idx="173">
                  <c:v>-4.8021020972171673</c:v>
                </c:pt>
                <c:pt idx="174">
                  <c:v>-4.8526867535670846</c:v>
                </c:pt>
                <c:pt idx="175">
                  <c:v>-4.9029849437726085</c:v>
                </c:pt>
                <c:pt idx="176">
                  <c:v>-4.9529999433098384</c:v>
                </c:pt>
                <c:pt idx="177">
                  <c:v>-5.002734972317926</c:v>
                </c:pt>
                <c:pt idx="178">
                  <c:v>-5.0534059222353198</c:v>
                </c:pt>
                <c:pt idx="179">
                  <c:v>-5.1037896345222586</c:v>
                </c:pt>
                <c:pt idx="180">
                  <c:v>-5.1538894000022868</c:v>
                </c:pt>
                <c:pt idx="181">
                  <c:v>-5.2037084537996794</c:v>
                </c:pt>
                <c:pt idx="182">
                  <c:v>-5.2542379977922335</c:v>
                </c:pt>
                <c:pt idx="183">
                  <c:v>-5.3044821166336966</c:v>
                </c:pt>
                <c:pt idx="184">
                  <c:v>-5.3544440722929814</c:v>
                </c:pt>
                <c:pt idx="185">
                  <c:v>-5.4041270716716756</c:v>
                </c:pt>
                <c:pt idx="186">
                  <c:v>-5.4548866840238119</c:v>
                </c:pt>
                <c:pt idx="187">
                  <c:v>-5.5053585049843878</c:v>
                </c:pt>
                <c:pt idx="188">
                  <c:v>-5.5555458392704598</c:v>
                </c:pt>
                <c:pt idx="189">
                  <c:v>-5.6054519355539991</c:v>
                </c:pt>
                <c:pt idx="190">
                  <c:v>-5.6560244048629027</c:v>
                </c:pt>
                <c:pt idx="191">
                  <c:v>-5.7063114392687799</c:v>
                </c:pt>
                <c:pt idx="192">
                  <c:v>-5.7563163053303912</c:v>
                </c:pt>
                <c:pt idx="193">
                  <c:v>-5.8060422144047745</c:v>
                </c:pt>
                <c:pt idx="194">
                  <c:v>-5.8567850868860347</c:v>
                </c:pt>
                <c:pt idx="195">
                  <c:v>-5.9072408630808528</c:v>
                </c:pt>
                <c:pt idx="196">
                  <c:v>-5.9574128403200604</c:v>
                </c:pt>
                <c:pt idx="197">
                  <c:v>-6.0073042600252098</c:v>
                </c:pt>
                <c:pt idx="198">
                  <c:v>-6.0580016683067628</c:v>
                </c:pt>
                <c:pt idx="199">
                  <c:v>-6.1084127680829088</c:v>
                </c:pt>
                <c:pt idx="200">
                  <c:v>-6.1585408454961419</c:v>
                </c:pt>
                <c:pt idx="201">
                  <c:v>-6.208389131017209</c:v>
                </c:pt>
                <c:pt idx="202">
                  <c:v>-6.2590200466293977</c:v>
                </c:pt>
                <c:pt idx="203">
                  <c:v>-6.3093656915386518</c:v>
                </c:pt>
                <c:pt idx="204">
                  <c:v>-6.3594293364588372</c:v>
                </c:pt>
                <c:pt idx="205">
                  <c:v>-6.4092141967653387</c:v>
                </c:pt>
                <c:pt idx="206">
                  <c:v>-6.4599317691111544</c:v>
                </c:pt>
                <c:pt idx="207">
                  <c:v>-6.5103634022921444</c:v>
                </c:pt>
                <c:pt idx="208">
                  <c:v>-6.5605123809270074</c:v>
                </c:pt>
                <c:pt idx="209">
                  <c:v>-6.6103819339692818</c:v>
                </c:pt>
                <c:pt idx="210">
                  <c:v>-6.6613254746711821</c:v>
                </c:pt>
                <c:pt idx="211">
                  <c:v>-6.7119808560095198</c:v>
                </c:pt>
                <c:pt idx="212">
                  <c:v>-6.762351403352663</c:v>
                </c:pt>
                <c:pt idx="213">
                  <c:v>-6.81244038547025</c:v>
                </c:pt>
                <c:pt idx="214">
                  <c:v>-6.8632411108798621</c:v>
                </c:pt>
                <c:pt idx="215">
                  <c:v>-6.9137556281591213</c:v>
                </c:pt>
                <c:pt idx="216">
                  <c:v>-6.9639872316289155</c:v>
                </c:pt>
                <c:pt idx="217">
                  <c:v>-7.013939159699869</c:v>
                </c:pt>
                <c:pt idx="218">
                  <c:v>-7.0647440614557198</c:v>
                </c:pt>
                <c:pt idx="219">
                  <c:v>-7.1152630675944692</c:v>
                </c:pt>
                <c:pt idx="220">
                  <c:v>-7.165499469693617</c:v>
                </c:pt>
                <c:pt idx="221">
                  <c:v>-7.2154565034696674</c:v>
                </c:pt>
                <c:pt idx="222">
                  <c:v>-7.266241761802549</c:v>
                </c:pt>
                <c:pt idx="223">
                  <c:v>-7.3167417223499855</c:v>
                </c:pt>
                <c:pt idx="224">
                  <c:v>-7.3669596691004617</c:v>
                </c:pt>
                <c:pt idx="225">
                  <c:v>-7.4168988303402887</c:v>
                </c:pt>
                <c:pt idx="226">
                  <c:v>-7.4677966077698601</c:v>
                </c:pt>
                <c:pt idx="227">
                  <c:v>-7.518408223524748</c:v>
                </c:pt>
                <c:pt idx="228">
                  <c:v>-7.5687369792704615</c:v>
                </c:pt>
                <c:pt idx="229">
                  <c:v>-7.6187861205590846</c:v>
                </c:pt>
                <c:pt idx="230">
                  <c:v>-7.7204586215763884</c:v>
                </c:pt>
                <c:pt idx="231">
                  <c:v>-7.7708681957078927</c:v>
                </c:pt>
                <c:pt idx="232">
                  <c:v>-7.8209976800729457</c:v>
                </c:pt>
                <c:pt idx="233">
                  <c:v>-7.8720303821292674</c:v>
                </c:pt>
                <c:pt idx="234">
                  <c:v>-7.9227762704219007</c:v>
                </c:pt>
                <c:pt idx="235">
                  <c:v>-7.9732386637519239</c:v>
                </c:pt>
                <c:pt idx="236">
                  <c:v>-8.0234208243955205</c:v>
                </c:pt>
                <c:pt idx="237">
                  <c:v>-8.0743356819747341</c:v>
                </c:pt>
                <c:pt idx="238">
                  <c:v>-8.1249655063190502</c:v>
                </c:pt>
                <c:pt idx="239">
                  <c:v>-8.1753135885112869</c:v>
                </c:pt>
                <c:pt idx="240">
                  <c:v>-8.2253831637245476</c:v>
                </c:pt>
                <c:pt idx="241">
                  <c:v>-8.276446978886824</c:v>
                </c:pt>
                <c:pt idx="242">
                  <c:v>-8.3272245805786174</c:v>
                </c:pt>
                <c:pt idx="243">
                  <c:v>-8.3777192834516327</c:v>
                </c:pt>
                <c:pt idx="244">
                  <c:v>-8.4279343457032283</c:v>
                </c:pt>
                <c:pt idx="245">
                  <c:v>-8.4789765367116665</c:v>
                </c:pt>
                <c:pt idx="246">
                  <c:v>-8.5297332645389687</c:v>
                </c:pt>
                <c:pt idx="247">
                  <c:v>-8.580207834111647</c:v>
                </c:pt>
                <c:pt idx="248">
                  <c:v>-8.6304034941104177</c:v>
                </c:pt>
                <c:pt idx="249">
                  <c:v>-8.6815375800298185</c:v>
                </c:pt>
                <c:pt idx="250">
                  <c:v>-8.7323857109367324</c:v>
                </c:pt>
                <c:pt idx="251">
                  <c:v>-8.7829512036589925</c:v>
                </c:pt>
                <c:pt idx="252">
                  <c:v>-8.8332373184976056</c:v>
                </c:pt>
                <c:pt idx="253">
                  <c:v>-8.8843027106922818</c:v>
                </c:pt>
                <c:pt idx="254">
                  <c:v>-8.9350834710632512</c:v>
                </c:pt>
                <c:pt idx="255">
                  <c:v>-8.9855828969832956</c:v>
                </c:pt>
                <c:pt idx="256">
                  <c:v>-9.035804229727221</c:v>
                </c:pt>
                <c:pt idx="257">
                  <c:v>-9.0870409796033353</c:v>
                </c:pt>
                <c:pt idx="258">
                  <c:v>-9.1379917760625169</c:v>
                </c:pt>
                <c:pt idx="259">
                  <c:v>-9.1886599430218858</c:v>
                </c:pt>
                <c:pt idx="260">
                  <c:v>-9.2390487476876206</c:v>
                </c:pt>
                <c:pt idx="261">
                  <c:v>-9.2902971412440074</c:v>
                </c:pt>
                <c:pt idx="262">
                  <c:v>-9.3412600662934437</c:v>
                </c:pt>
                <c:pt idx="263">
                  <c:v>-9.3919408420695518</c:v>
                </c:pt>
                <c:pt idx="264">
                  <c:v>-9.4423427311893704</c:v>
                </c:pt>
                <c:pt idx="265">
                  <c:v>-9.4935797497707561</c:v>
                </c:pt>
                <c:pt idx="266">
                  <c:v>-9.544532067678265</c:v>
                </c:pt>
                <c:pt idx="267">
                  <c:v>-9.595202994660573</c:v>
                </c:pt>
                <c:pt idx="268">
                  <c:v>-9.6455957840528157</c:v>
                </c:pt>
                <c:pt idx="269">
                  <c:v>-9.6969208357545327</c:v>
                </c:pt>
                <c:pt idx="270">
                  <c:v>-9.7479608823204327</c:v>
                </c:pt>
                <c:pt idx="271">
                  <c:v>-9.7987192427978957</c:v>
                </c:pt>
                <c:pt idx="272">
                  <c:v>-9.849199179597683</c:v>
                </c:pt>
                <c:pt idx="273">
                  <c:v>-9.9005846771149706</c:v>
                </c:pt>
                <c:pt idx="274">
                  <c:v>-9.9516852034321985</c:v>
                </c:pt>
                <c:pt idx="275">
                  <c:v>-10.00250408115676</c:v>
                </c:pt>
                <c:pt idx="276">
                  <c:v>-10.05304457616605</c:v>
                </c:pt>
                <c:pt idx="277">
                  <c:v>-10.104349377589985</c:v>
                </c:pt>
                <c:pt idx="278">
                  <c:v>-10.155370831615677</c:v>
                </c:pt>
                <c:pt idx="279">
                  <c:v>-10.20611223683739</c:v>
                </c:pt>
                <c:pt idx="280">
                  <c:v>-10.256576835651039</c:v>
                </c:pt>
                <c:pt idx="281">
                  <c:v>-10.308123613887432</c:v>
                </c:pt>
                <c:pt idx="282">
                  <c:v>-10.359385143164875</c:v>
                </c:pt>
                <c:pt idx="283">
                  <c:v>-10.41036475970474</c:v>
                </c:pt>
                <c:pt idx="284">
                  <c:v>-10.461065742662738</c:v>
                </c:pt>
                <c:pt idx="285">
                  <c:v>-10.512485988223172</c:v>
                </c:pt>
                <c:pt idx="286">
                  <c:v>-10.563623180376769</c:v>
                </c:pt>
                <c:pt idx="287">
                  <c:v>-10.614480621591776</c:v>
                </c:pt>
                <c:pt idx="288">
                  <c:v>-10.665061558023375</c:v>
                </c:pt>
                <c:pt idx="289">
                  <c:v>-10.716666642581396</c:v>
                </c:pt>
                <c:pt idx="290">
                  <c:v>-10.767987479830662</c:v>
                </c:pt>
                <c:pt idx="291">
                  <c:v>-10.819027397867076</c:v>
                </c:pt>
                <c:pt idx="292">
                  <c:v>-10.869789667877313</c:v>
                </c:pt>
                <c:pt idx="293">
                  <c:v>-10.921441022231013</c:v>
                </c:pt>
                <c:pt idx="294">
                  <c:v>-10.97280849828628</c:v>
                </c:pt>
                <c:pt idx="295">
                  <c:v>-11.023895422625682</c:v>
                </c:pt>
                <c:pt idx="296">
                  <c:v>-11.074705064941867</c:v>
                </c:pt>
                <c:pt idx="297">
                  <c:v>-11.126378959504281</c:v>
                </c:pt>
                <c:pt idx="298">
                  <c:v>-11.177769643273678</c:v>
                </c:pt>
                <c:pt idx="299">
                  <c:v>-11.228880436249728</c:v>
                </c:pt>
                <c:pt idx="300">
                  <c:v>-11.279714601676066</c:v>
                </c:pt>
                <c:pt idx="301">
                  <c:v>-11.331389088638165</c:v>
                </c:pt>
                <c:pt idx="302">
                  <c:v>-11.382781309961207</c:v>
                </c:pt>
                <c:pt idx="303">
                  <c:v>-11.433894574353669</c:v>
                </c:pt>
                <c:pt idx="304">
                  <c:v>-11.484732134008002</c:v>
                </c:pt>
                <c:pt idx="305">
                  <c:v>-11.53658509027367</c:v>
                </c:pt>
                <c:pt idx="306">
                  <c:v>-11.58815483014579</c:v>
                </c:pt>
                <c:pt idx="307">
                  <c:v>-11.639444684502038</c:v>
                </c:pt>
                <c:pt idx="308">
                  <c:v>-11.690457927182525</c:v>
                </c:pt>
                <c:pt idx="309">
                  <c:v>-11.742264088555777</c:v>
                </c:pt>
                <c:pt idx="310">
                  <c:v>-11.793788579650396</c:v>
                </c:pt>
                <c:pt idx="311">
                  <c:v>-11.845034709829916</c:v>
                </c:pt>
                <c:pt idx="312">
                  <c:v>-11.896005731891242</c:v>
                </c:pt>
                <c:pt idx="313">
                  <c:v>-11.947938036783848</c:v>
                </c:pt>
                <c:pt idx="314">
                  <c:v>-11.999588383576683</c:v>
                </c:pt>
                <c:pt idx="315">
                  <c:v>-12.050960092545054</c:v>
                </c:pt>
                <c:pt idx="316">
                  <c:v>-12.102056427129922</c:v>
                </c:pt>
                <c:pt idx="317">
                  <c:v>-12.154087403277993</c:v>
                </c:pt>
                <c:pt idx="318">
                  <c:v>-12.205836481681933</c:v>
                </c:pt>
                <c:pt idx="319">
                  <c:v>-12.257306987621476</c:v>
                </c:pt>
                <c:pt idx="320">
                  <c:v>-12.308502189407267</c:v>
                </c:pt>
                <c:pt idx="321">
                  <c:v>-12.360606346062754</c:v>
                </c:pt>
                <c:pt idx="322">
                  <c:v>-12.412428991438611</c:v>
                </c:pt>
                <c:pt idx="323">
                  <c:v>-12.463973450272492</c:v>
                </c:pt>
                <c:pt idx="324">
                  <c:v>-12.515242990323108</c:v>
                </c:pt>
                <c:pt idx="325">
                  <c:v>-12.567396732423337</c:v>
                </c:pt>
                <c:pt idx="326">
                  <c:v>-12.61926965414921</c:v>
                </c:pt>
                <c:pt idx="327">
                  <c:v>-12.670865074513063</c:v>
                </c:pt>
                <c:pt idx="328">
                  <c:v>-12.722186255655041</c:v>
                </c:pt>
                <c:pt idx="329">
                  <c:v>-12.774454822508714</c:v>
                </c:pt>
                <c:pt idx="330">
                  <c:v>-12.826442612042053</c:v>
                </c:pt>
                <c:pt idx="331">
                  <c:v>-12.878152949202049</c:v>
                </c:pt>
                <c:pt idx="332">
                  <c:v>-12.929589101902955</c:v>
                </c:pt>
                <c:pt idx="333">
                  <c:v>-12.981861731383068</c:v>
                </c:pt>
                <c:pt idx="334">
                  <c:v>-13.03385486615549</c:v>
                </c:pt>
                <c:pt idx="335">
                  <c:v>-13.08557181535663</c:v>
                </c:pt>
                <c:pt idx="336">
                  <c:v>-13.137015831423557</c:v>
                </c:pt>
                <c:pt idx="337">
                  <c:v>-13.189441023072535</c:v>
                </c:pt>
                <c:pt idx="338">
                  <c:v>-13.241586472923753</c:v>
                </c:pt>
                <c:pt idx="339">
                  <c:v>-13.293455501610005</c:v>
                </c:pt>
                <c:pt idx="340">
                  <c:v>-13.345051372773744</c:v>
                </c:pt>
                <c:pt idx="341">
                  <c:v>-13.397601907070364</c:v>
                </c:pt>
                <c:pt idx="342">
                  <c:v>-13.449872805402407</c:v>
                </c:pt>
                <c:pt idx="343">
                  <c:v>-13.501867393887041</c:v>
                </c:pt>
                <c:pt idx="344">
                  <c:v>-13.553588941494761</c:v>
                </c:pt>
                <c:pt idx="345">
                  <c:v>-13.606159679074917</c:v>
                </c:pt>
                <c:pt idx="346">
                  <c:v>-13.658452061256234</c:v>
                </c:pt>
                <c:pt idx="347">
                  <c:v>-13.710469398955883</c:v>
                </c:pt>
                <c:pt idx="348">
                  <c:v>-13.762214946258096</c:v>
                </c:pt>
                <c:pt idx="349">
                  <c:v>-13.814944108412428</c:v>
                </c:pt>
                <c:pt idx="350">
                  <c:v>-13.867394795912356</c:v>
                </c:pt>
                <c:pt idx="351">
                  <c:v>-13.919570329596972</c:v>
                </c:pt>
                <c:pt idx="352">
                  <c:v>-13.971473973210049</c:v>
                </c:pt>
                <c:pt idx="353">
                  <c:v>-14.024335089819054</c:v>
                </c:pt>
                <c:pt idx="354">
                  <c:v>-14.076917960726753</c:v>
                </c:pt>
                <c:pt idx="355">
                  <c:v>-14.129225910735359</c:v>
                </c:pt>
                <c:pt idx="356">
                  <c:v>-14.181262207422552</c:v>
                </c:pt>
                <c:pt idx="357">
                  <c:v>-14.23415575573787</c:v>
                </c:pt>
                <c:pt idx="358">
                  <c:v>-14.286772396645777</c:v>
                </c:pt>
                <c:pt idx="359">
                  <c:v>-14.339115439295608</c:v>
                </c:pt>
                <c:pt idx="360">
                  <c:v>-14.39118813592877</c:v>
                </c:pt>
                <c:pt idx="361">
                  <c:v>-14.44424316702812</c:v>
                </c:pt>
                <c:pt idx="362">
                  <c:v>-14.497021346897911</c:v>
                </c:pt>
                <c:pt idx="363">
                  <c:v>-14.549525992159664</c:v>
                </c:pt>
                <c:pt idx="364">
                  <c:v>-14.601760362311589</c:v>
                </c:pt>
                <c:pt idx="365">
                  <c:v>-14.654879480688454</c:v>
                </c:pt>
                <c:pt idx="366">
                  <c:v>-14.707722888781557</c:v>
                </c:pt>
                <c:pt idx="367">
                  <c:v>-14.760293891465345</c:v>
                </c:pt>
                <c:pt idx="368">
                  <c:v>-14.81259573671219</c:v>
                </c:pt>
                <c:pt idx="369">
                  <c:v>-14.865900928321585</c:v>
                </c:pt>
                <c:pt idx="370">
                  <c:v>-14.91893035957796</c:v>
                </c:pt>
                <c:pt idx="371">
                  <c:v>-14.97168734517401</c:v>
                </c:pt>
                <c:pt idx="372">
                  <c:v>-15.024175142624019</c:v>
                </c:pt>
                <c:pt idx="373">
                  <c:v>-15.077571326825458</c:v>
                </c:pt>
                <c:pt idx="374">
                  <c:v>-15.13069275905263</c:v>
                </c:pt>
                <c:pt idx="375">
                  <c:v>-15.183542745007552</c:v>
                </c:pt>
                <c:pt idx="376">
                  <c:v>-15.23612453336472</c:v>
                </c:pt>
                <c:pt idx="377">
                  <c:v>-15.289727257410206</c:v>
                </c:pt>
                <c:pt idx="378">
                  <c:v>-15.343055129970672</c:v>
                </c:pt>
                <c:pt idx="379">
                  <c:v>-15.396111467904435</c:v>
                </c:pt>
                <c:pt idx="380">
                  <c:v>-15.448899530726585</c:v>
                </c:pt>
                <c:pt idx="381">
                  <c:v>-15.502549873498513</c:v>
                </c:pt>
                <c:pt idx="382">
                  <c:v>-15.555926969280536</c:v>
                </c:pt>
                <c:pt idx="383">
                  <c:v>-15.609034115535831</c:v>
                </c:pt>
                <c:pt idx="384">
                  <c:v>-15.661874552765999</c:v>
                </c:pt>
                <c:pt idx="385">
                  <c:v>-15.715751167721521</c:v>
                </c:pt>
                <c:pt idx="386">
                  <c:v>-15.769354402722904</c:v>
                </c:pt>
                <c:pt idx="387">
                  <c:v>-15.822687567382165</c:v>
                </c:pt>
                <c:pt idx="388">
                  <c:v>-15.875753914001745</c:v>
                </c:pt>
                <c:pt idx="389">
                  <c:v>-15.929766687847049</c:v>
                </c:pt>
                <c:pt idx="390">
                  <c:v>-15.98350694978385</c:v>
                </c:pt>
                <c:pt idx="391">
                  <c:v>-16.036978003649971</c:v>
                </c:pt>
                <c:pt idx="392">
                  <c:v>-16.090183096032614</c:v>
                </c:pt>
                <c:pt idx="393">
                  <c:v>-16.144311436883196</c:v>
                </c:pt>
                <c:pt idx="394">
                  <c:v>-16.198168422546239</c:v>
                </c:pt>
                <c:pt idx="395">
                  <c:v>-16.251757345977943</c:v>
                </c:pt>
                <c:pt idx="396">
                  <c:v>-16.305081443055457</c:v>
                </c:pt>
                <c:pt idx="397">
                  <c:v>-16.359428888390291</c:v>
                </c:pt>
                <c:pt idx="398">
                  <c:v>-16.413505186876542</c:v>
                </c:pt>
                <c:pt idx="399">
                  <c:v>-16.467313637939949</c:v>
                </c:pt>
                <c:pt idx="400">
                  <c:v>-16.520857483692918</c:v>
                </c:pt>
                <c:pt idx="401">
                  <c:v>-16.575339681120116</c:v>
                </c:pt>
                <c:pt idx="402">
                  <c:v>-16.629551871261906</c:v>
                </c:pt>
                <c:pt idx="403">
                  <c:v>-16.683497343196553</c:v>
                </c:pt>
                <c:pt idx="404">
                  <c:v>-16.737179328836756</c:v>
                </c:pt>
                <c:pt idx="405">
                  <c:v>-16.791836193277383</c:v>
                </c:pt>
                <c:pt idx="406">
                  <c:v>-16.846223882912323</c:v>
                </c:pt>
                <c:pt idx="407">
                  <c:v>-16.900345682142579</c:v>
                </c:pt>
                <c:pt idx="408">
                  <c:v>-16.95420481821418</c:v>
                </c:pt>
                <c:pt idx="409">
                  <c:v>-17.009073387861619</c:v>
                </c:pt>
                <c:pt idx="410">
                  <c:v>-17.06367334590713</c:v>
                </c:pt>
                <c:pt idx="411">
                  <c:v>-17.118007977065492</c:v>
                </c:pt>
                <c:pt idx="412">
                  <c:v>-17.172080508784646</c:v>
                </c:pt>
                <c:pt idx="413">
                  <c:v>-17.227138589681129</c:v>
                </c:pt>
                <c:pt idx="414">
                  <c:v>-17.281928936080291</c:v>
                </c:pt>
                <c:pt idx="415">
                  <c:v>-17.336454827323855</c:v>
                </c:pt>
                <c:pt idx="416">
                  <c:v>-17.390719485499432</c:v>
                </c:pt>
                <c:pt idx="417">
                  <c:v>-17.446002223332915</c:v>
                </c:pt>
                <c:pt idx="418">
                  <c:v>-17.501017860716807</c:v>
                </c:pt>
                <c:pt idx="419">
                  <c:v>-17.555769676093753</c:v>
                </c:pt>
                <c:pt idx="420">
                  <c:v>-17.610260890553356</c:v>
                </c:pt>
                <c:pt idx="421">
                  <c:v>-17.665692126204149</c:v>
                </c:pt>
                <c:pt idx="422">
                  <c:v>-17.720857724833394</c:v>
                </c:pt>
                <c:pt idx="423">
                  <c:v>-17.775760948738466</c:v>
                </c:pt>
                <c:pt idx="424">
                  <c:v>-17.830405003111704</c:v>
                </c:pt>
                <c:pt idx="425">
                  <c:v>-17.886128124656548</c:v>
                </c:pt>
                <c:pt idx="426">
                  <c:v>-17.941585799625077</c:v>
                </c:pt>
                <c:pt idx="427">
                  <c:v>-17.996781297511411</c:v>
                </c:pt>
                <c:pt idx="428">
                  <c:v>-18.051717830400587</c:v>
                </c:pt>
                <c:pt idx="429">
                  <c:v>-18.107656212940896</c:v>
                </c:pt>
                <c:pt idx="430">
                  <c:v>-18.163330174986086</c:v>
                </c:pt>
                <c:pt idx="431">
                  <c:v>-18.218742977780003</c:v>
                </c:pt>
                <c:pt idx="432">
                  <c:v>-18.273897825204582</c:v>
                </c:pt>
                <c:pt idx="433">
                  <c:v>-18.330032137434213</c:v>
                </c:pt>
                <c:pt idx="434">
                  <c:v>-18.385903334444613</c:v>
                </c:pt>
                <c:pt idx="435">
                  <c:v>-18.441514663933617</c:v>
                </c:pt>
                <c:pt idx="436">
                  <c:v>-18.496869316399447</c:v>
                </c:pt>
                <c:pt idx="437">
                  <c:v>-18.553282898329005</c:v>
                </c:pt>
                <c:pt idx="438">
                  <c:v>-18.609433991544755</c:v>
                </c:pt>
                <c:pt idx="439">
                  <c:v>-18.665325842551038</c:v>
                </c:pt>
                <c:pt idx="440">
                  <c:v>-18.720961640516226</c:v>
                </c:pt>
                <c:pt idx="441">
                  <c:v>-18.777632965155131</c:v>
                </c:pt>
                <c:pt idx="442">
                  <c:v>-18.834042734868962</c:v>
                </c:pt>
                <c:pt idx="443">
                  <c:v>-18.890194189075203</c:v>
                </c:pt>
                <c:pt idx="444">
                  <c:v>-18.946090509847174</c:v>
                </c:pt>
                <c:pt idx="445">
                  <c:v>-19.00299987935157</c:v>
                </c:pt>
                <c:pt idx="446">
                  <c:v>-19.059648910752337</c:v>
                </c:pt>
                <c:pt idx="447">
                  <c:v>-19.11604083085539</c:v>
                </c:pt>
                <c:pt idx="448">
                  <c:v>-19.172178809234431</c:v>
                </c:pt>
                <c:pt idx="449">
                  <c:v>-19.229403812206968</c:v>
                </c:pt>
                <c:pt idx="450">
                  <c:v>-19.286369089949417</c:v>
                </c:pt>
                <c:pt idx="451">
                  <c:v>-19.343077867521885</c:v>
                </c:pt>
                <c:pt idx="452">
                  <c:v>-19.399533312597327</c:v>
                </c:pt>
                <c:pt idx="453">
                  <c:v>-19.45700557887514</c:v>
                </c:pt>
                <c:pt idx="454">
                  <c:v>-19.514219457276326</c:v>
                </c:pt>
                <c:pt idx="455">
                  <c:v>-19.571178157276378</c:v>
                </c:pt>
                <c:pt idx="456">
                  <c:v>-19.627884831125236</c:v>
                </c:pt>
                <c:pt idx="457">
                  <c:v>-19.685679408228463</c:v>
                </c:pt>
                <c:pt idx="458">
                  <c:v>-19.743216362794943</c:v>
                </c:pt>
                <c:pt idx="459">
                  <c:v>-19.800498898880612</c:v>
                </c:pt>
                <c:pt idx="460">
                  <c:v>-19.857530163225679</c:v>
                </c:pt>
                <c:pt idx="461">
                  <c:v>-19.915626642144979</c:v>
                </c:pt>
                <c:pt idx="462">
                  <c:v>-19.973466551453903</c:v>
                </c:pt>
                <c:pt idx="463">
                  <c:v>-20.031053083920153</c:v>
                </c:pt>
                <c:pt idx="464">
                  <c:v>-20.08838937503366</c:v>
                </c:pt>
                <c:pt idx="465">
                  <c:v>-20.146813591040249</c:v>
                </c:pt>
                <c:pt idx="466">
                  <c:v>-20.204982165346159</c:v>
                </c:pt>
                <c:pt idx="467">
                  <c:v>-20.262898281159018</c:v>
                </c:pt>
                <c:pt idx="468">
                  <c:v>-20.320565064394131</c:v>
                </c:pt>
                <c:pt idx="469">
                  <c:v>-20.379297698274719</c:v>
                </c:pt>
                <c:pt idx="470">
                  <c:v>-20.437775887416375</c:v>
                </c:pt>
                <c:pt idx="471">
                  <c:v>-20.496002799782801</c:v>
                </c:pt>
                <c:pt idx="472">
                  <c:v>-20.553981546155583</c:v>
                </c:pt>
                <c:pt idx="473">
                  <c:v>-20.613090923379339</c:v>
                </c:pt>
                <c:pt idx="474">
                  <c:v>-20.671946562430698</c:v>
                </c:pt>
                <c:pt idx="475">
                  <c:v>-20.730551624407745</c:v>
                </c:pt>
                <c:pt idx="476">
                  <c:v>-20.788909213124036</c:v>
                </c:pt>
                <c:pt idx="477">
                  <c:v>-20.848374892745518</c:v>
                </c:pt>
                <c:pt idx="478">
                  <c:v>-20.907587818805219</c:v>
                </c:pt>
                <c:pt idx="479">
                  <c:v>-20.966551139522096</c:v>
                </c:pt>
                <c:pt idx="480">
                  <c:v>-21.025267945861113</c:v>
                </c:pt>
                <c:pt idx="481">
                  <c:v>-21.085071183836199</c:v>
                </c:pt>
                <c:pt idx="482">
                  <c:v>-21.144622905141645</c:v>
                </c:pt>
                <c:pt idx="483">
                  <c:v>-21.203926239496642</c:v>
                </c:pt>
                <c:pt idx="484">
                  <c:v>-21.262984259522074</c:v>
                </c:pt>
                <c:pt idx="485">
                  <c:v>-21.323148772387604</c:v>
                </c:pt>
                <c:pt idx="486">
                  <c:v>-21.383062893949251</c:v>
                </c:pt>
                <c:pt idx="487">
                  <c:v>-21.442729736494485</c:v>
                </c:pt>
                <c:pt idx="488">
                  <c:v>-21.502152355332164</c:v>
                </c:pt>
                <c:pt idx="489">
                  <c:v>-21.562740872341735</c:v>
                </c:pt>
                <c:pt idx="490">
                  <c:v>-21.623079693565327</c:v>
                </c:pt>
                <c:pt idx="491">
                  <c:v>-21.683171920744812</c:v>
                </c:pt>
                <c:pt idx="492">
                  <c:v>-21.743020598584792</c:v>
                </c:pt>
                <c:pt idx="493">
                  <c:v>-21.804013032511008</c:v>
                </c:pt>
                <c:pt idx="494">
                  <c:v>-21.864756722821866</c:v>
                </c:pt>
                <c:pt idx="495">
                  <c:v>-21.925254754745318</c:v>
                </c:pt>
                <c:pt idx="496">
                  <c:v>-21.985510156548678</c:v>
                </c:pt>
                <c:pt idx="497">
                  <c:v>-22.046926932995795</c:v>
                </c:pt>
                <c:pt idx="498">
                  <c:v>-22.108095835731639</c:v>
                </c:pt>
                <c:pt idx="499">
                  <c:v>-22.169019933701669</c:v>
                </c:pt>
                <c:pt idx="500">
                  <c:v>-22.229702238952129</c:v>
                </c:pt>
                <c:pt idx="501">
                  <c:v>-22.29156280211161</c:v>
                </c:pt>
                <c:pt idx="502">
                  <c:v>-22.353176286325102</c:v>
                </c:pt>
                <c:pt idx="503">
                  <c:v>-22.414545744251157</c:v>
                </c:pt>
                <c:pt idx="504">
                  <c:v>-22.475674171701648</c:v>
                </c:pt>
                <c:pt idx="505">
                  <c:v>-22.537959343763212</c:v>
                </c:pt>
                <c:pt idx="506">
                  <c:v>-22.599998458981432</c:v>
                </c:pt>
                <c:pt idx="507">
                  <c:v>-22.6617945480453</c:v>
                </c:pt>
                <c:pt idx="508">
                  <c:v>-22.723350584982786</c:v>
                </c:pt>
                <c:pt idx="509">
                  <c:v>-22.786079765425473</c:v>
                </c:pt>
                <c:pt idx="510">
                  <c:v>-22.848563823742744</c:v>
                </c:pt>
                <c:pt idx="511">
                  <c:v>-22.910805768699262</c:v>
                </c:pt>
                <c:pt idx="512">
                  <c:v>-22.972808552577021</c:v>
                </c:pt>
                <c:pt idx="513">
                  <c:v>-23.036036757685395</c:v>
                </c:pt>
                <c:pt idx="514">
                  <c:v>-23.099020411425393</c:v>
                </c:pt>
                <c:pt idx="515">
                  <c:v>-23.161762505637494</c:v>
                </c:pt>
                <c:pt idx="516">
                  <c:v>-23.224265975727462</c:v>
                </c:pt>
                <c:pt idx="517">
                  <c:v>-23.287973148512414</c:v>
                </c:pt>
                <c:pt idx="518">
                  <c:v>-23.351436557171894</c:v>
                </c:pt>
                <c:pt idx="519">
                  <c:v>-23.414659170882473</c:v>
                </c:pt>
                <c:pt idx="520">
                  <c:v>-23.477643902573305</c:v>
                </c:pt>
                <c:pt idx="521">
                  <c:v>-23.541846834965444</c:v>
                </c:pt>
                <c:pt idx="522">
                  <c:v>-23.605806713454264</c:v>
                </c:pt>
                <c:pt idx="523">
                  <c:v>-23.669526484106527</c:v>
                </c:pt>
                <c:pt idx="524">
                  <c:v>-23.733009036937833</c:v>
                </c:pt>
                <c:pt idx="525">
                  <c:v>-23.797723704619909</c:v>
                </c:pt>
                <c:pt idx="526">
                  <c:v>-23.862195953195318</c:v>
                </c:pt>
                <c:pt idx="527">
                  <c:v>-23.926428705052555</c:v>
                </c:pt>
                <c:pt idx="528">
                  <c:v>-23.990424826738884</c:v>
                </c:pt>
                <c:pt idx="529">
                  <c:v>-24.055666414731927</c:v>
                </c:pt>
                <c:pt idx="530">
                  <c:v>-24.120666143667371</c:v>
                </c:pt>
                <c:pt idx="531">
                  <c:v>-24.185426911586291</c:v>
                </c:pt>
                <c:pt idx="532">
                  <c:v>-24.249951560916667</c:v>
                </c:pt>
                <c:pt idx="533">
                  <c:v>-24.315768382862984</c:v>
                </c:pt>
                <c:pt idx="534">
                  <c:v>-24.381343583101852</c:v>
                </c:pt>
                <c:pt idx="535">
                  <c:v>-24.446680038987445</c:v>
                </c:pt>
                <c:pt idx="536">
                  <c:v>-24.511780572398276</c:v>
                </c:pt>
                <c:pt idx="537">
                  <c:v>-24.578118002749967</c:v>
                </c:pt>
                <c:pt idx="538">
                  <c:v>-24.644214474323192</c:v>
                </c:pt>
                <c:pt idx="539">
                  <c:v>-24.710072834049917</c:v>
                </c:pt>
                <c:pt idx="540">
                  <c:v>-24.775695873778751</c:v>
                </c:pt>
                <c:pt idx="541">
                  <c:v>-24.842634162077562</c:v>
                </c:pt>
                <c:pt idx="542">
                  <c:v>-24.909331587397816</c:v>
                </c:pt>
                <c:pt idx="543">
                  <c:v>-24.975790974064523</c:v>
                </c:pt>
                <c:pt idx="544">
                  <c:v>-25.04201509151866</c:v>
                </c:pt>
                <c:pt idx="545">
                  <c:v>-25.109532557714225</c:v>
                </c:pt>
                <c:pt idx="546">
                  <c:v>-25.176809424176607</c:v>
                </c:pt>
                <c:pt idx="547">
                  <c:v>-25.243848487393365</c:v>
                </c:pt>
                <c:pt idx="548">
                  <c:v>-25.310652489312488</c:v>
                </c:pt>
                <c:pt idx="549">
                  <c:v>-25.378760619716722</c:v>
                </c:pt>
                <c:pt idx="550">
                  <c:v>-25.446628330882319</c:v>
                </c:pt>
                <c:pt idx="551">
                  <c:v>-25.514258390615336</c:v>
                </c:pt>
                <c:pt idx="552">
                  <c:v>-25.581653512561985</c:v>
                </c:pt>
                <c:pt idx="553">
                  <c:v>-25.650394626770044</c:v>
                </c:pt>
                <c:pt idx="554">
                  <c:v>-25.718895196481476</c:v>
                </c:pt>
                <c:pt idx="555">
                  <c:v>-25.787157963745749</c:v>
                </c:pt>
                <c:pt idx="556">
                  <c:v>-25.855185616772062</c:v>
                </c:pt>
                <c:pt idx="557">
                  <c:v>-25.993710504298733</c:v>
                </c:pt>
                <c:pt idx="558">
                  <c:v>-26.131283222402022</c:v>
                </c:pt>
                <c:pt idx="559">
                  <c:v>-26.271046115560726</c:v>
                </c:pt>
                <c:pt idx="560">
                  <c:v>-26.409856441089854</c:v>
                </c:pt>
                <c:pt idx="561">
                  <c:v>-26.550995176622454</c:v>
                </c:pt>
                <c:pt idx="562">
                  <c:v>-26.691178933361648</c:v>
                </c:pt>
                <c:pt idx="563">
                  <c:v>-26.833406448693232</c:v>
                </c:pt>
                <c:pt idx="564">
                  <c:v>-26.974680236948721</c:v>
                </c:pt>
                <c:pt idx="565">
                  <c:v>-27.118546712954053</c:v>
                </c:pt>
                <c:pt idx="566">
                  <c:v>-27.261453144392789</c:v>
                </c:pt>
                <c:pt idx="567">
                  <c:v>-27.40689904375774</c:v>
                </c:pt>
                <c:pt idx="568">
                  <c:v>-27.551379185888536</c:v>
                </c:pt>
                <c:pt idx="569">
                  <c:v>-27.697774803033184</c:v>
                </c:pt>
                <c:pt idx="570">
                  <c:v>-27.843206957783782</c:v>
                </c:pt>
                <c:pt idx="571">
                  <c:v>-27.991648515045846</c:v>
                </c:pt>
                <c:pt idx="572">
                  <c:v>-28.139114197403366</c:v>
                </c:pt>
                <c:pt idx="573">
                  <c:v>-28.288410482476969</c:v>
                </c:pt>
                <c:pt idx="574">
                  <c:v>-28.436733714729115</c:v>
                </c:pt>
                <c:pt idx="575">
                  <c:v>-28.587954069031603</c:v>
                </c:pt>
                <c:pt idx="576">
                  <c:v>-28.738189876959961</c:v>
                </c:pt>
                <c:pt idx="577">
                  <c:v>-29.363745575409197</c:v>
                </c:pt>
                <c:pt idx="578">
                  <c:v>-29.973300186535727</c:v>
                </c:pt>
                <c:pt idx="579">
                  <c:v>-31.258397679415282</c:v>
                </c:pt>
                <c:pt idx="580">
                  <c:v>-32.597631344682966</c:v>
                </c:pt>
                <c:pt idx="581">
                  <c:v>-33.990501522976132</c:v>
                </c:pt>
                <c:pt idx="582">
                  <c:v>-35.438607353786942</c:v>
                </c:pt>
                <c:pt idx="583">
                  <c:v>-36.94091258850073</c:v>
                </c:pt>
                <c:pt idx="584">
                  <c:v>-38.497962909614678</c:v>
                </c:pt>
                <c:pt idx="585">
                  <c:v>-40.107749389886898</c:v>
                </c:pt>
                <c:pt idx="586">
                  <c:v>-41.768921144579238</c:v>
                </c:pt>
                <c:pt idx="587">
                  <c:v>-43.480521331992762</c:v>
                </c:pt>
                <c:pt idx="588">
                  <c:v>-45.238866080087746</c:v>
                </c:pt>
                <c:pt idx="589">
                  <c:v>-47.043267252987285</c:v>
                </c:pt>
                <c:pt idx="590">
                  <c:v>-48.891040889783959</c:v>
                </c:pt>
                <c:pt idx="591">
                  <c:v>-50.780477961971052</c:v>
                </c:pt>
                <c:pt idx="592">
                  <c:v>-52.709637463087873</c:v>
                </c:pt>
                <c:pt idx="593">
                  <c:v>-54.677594991128601</c:v>
                </c:pt>
                <c:pt idx="594">
                  <c:v>-56.682466696346538</c:v>
                </c:pt>
                <c:pt idx="595">
                  <c:v>-58.723343710283935</c:v>
                </c:pt>
                <c:pt idx="596">
                  <c:v>-60.798465049110185</c:v>
                </c:pt>
                <c:pt idx="597">
                  <c:v>-62.906816189847092</c:v>
                </c:pt>
                <c:pt idx="598">
                  <c:v>-65.046249331397917</c:v>
                </c:pt>
                <c:pt idx="599">
                  <c:v>-67.21549392247934</c:v>
                </c:pt>
                <c:pt idx="600">
                  <c:v>-69.412224241653377</c:v>
                </c:pt>
              </c:numCache>
            </c:numRef>
          </c:yVal>
          <c:smooth val="0"/>
          <c:extLst>
            <c:ext xmlns:c16="http://schemas.microsoft.com/office/drawing/2014/chart" uri="{C3380CC4-5D6E-409C-BE32-E72D297353CC}">
              <c16:uniqueId val="{00000000-C921-4838-A0BE-4B6A27AAB705}"/>
            </c:ext>
          </c:extLst>
        </c:ser>
        <c:dLbls>
          <c:showLegendKey val="0"/>
          <c:showVal val="0"/>
          <c:showCatName val="0"/>
          <c:showSerName val="0"/>
          <c:showPercent val="0"/>
          <c:showBubbleSize val="0"/>
        </c:dLbls>
        <c:axId val="182162176"/>
        <c:axId val="182164096"/>
      </c:scatterChart>
      <c:scatterChart>
        <c:scatterStyle val="lineMarker"/>
        <c:varyColors val="0"/>
        <c:ser>
          <c:idx val="1"/>
          <c:order val="1"/>
          <c:tx>
            <c:strRef>
              <c:f>'Stability Calculations'!$S$12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-86.32682388680233</c:v>
                </c:pt>
                <c:pt idx="1">
                  <c:v>-86.644708752300659</c:v>
                </c:pt>
                <c:pt idx="2">
                  <c:v>-86.934322716113755</c:v>
                </c:pt>
                <c:pt idx="3">
                  <c:v>-87.198082613366537</c:v>
                </c:pt>
                <c:pt idx="4">
                  <c:v>-87.438044277469089</c:v>
                </c:pt>
                <c:pt idx="5">
                  <c:v>-87.656605794098013</c:v>
                </c:pt>
                <c:pt idx="6">
                  <c:v>-87.855269996833485</c:v>
                </c:pt>
                <c:pt idx="7">
                  <c:v>-88.035842006681193</c:v>
                </c:pt>
                <c:pt idx="8">
                  <c:v>-88.199713875065896</c:v>
                </c:pt>
                <c:pt idx="9">
                  <c:v>-88.348393987938024</c:v>
                </c:pt>
                <c:pt idx="10">
                  <c:v>-88.483048784182515</c:v>
                </c:pt>
                <c:pt idx="11">
                  <c:v>-88.604841003830998</c:v>
                </c:pt>
                <c:pt idx="12">
                  <c:v>-88.714857842550444</c:v>
                </c:pt>
                <c:pt idx="13">
                  <c:v>-88.813924480400033</c:v>
                </c:pt>
                <c:pt idx="14">
                  <c:v>-88.902961862480197</c:v>
                </c:pt>
                <c:pt idx="15">
                  <c:v>-88.982686174686279</c:v>
                </c:pt>
                <c:pt idx="16">
                  <c:v>-89.053780203543411</c:v>
                </c:pt>
                <c:pt idx="17">
                  <c:v>-89.116837803981866</c:v>
                </c:pt>
                <c:pt idx="18">
                  <c:v>-89.172411559819963</c:v>
                </c:pt>
                <c:pt idx="19">
                  <c:v>-89.220957121972447</c:v>
                </c:pt>
                <c:pt idx="20">
                  <c:v>-89.262896126323866</c:v>
                </c:pt>
                <c:pt idx="21">
                  <c:v>-89.298575959370581</c:v>
                </c:pt>
                <c:pt idx="22">
                  <c:v>-89.328307136377106</c:v>
                </c:pt>
                <c:pt idx="23">
                  <c:v>-89.352335012032256</c:v>
                </c:pt>
                <c:pt idx="24">
                  <c:v>-89.370870096233048</c:v>
                </c:pt>
                <c:pt idx="25">
                  <c:v>-89.384066561454574</c:v>
                </c:pt>
                <c:pt idx="26">
                  <c:v>-89.39203881173664</c:v>
                </c:pt>
                <c:pt idx="27">
                  <c:v>-89.394852176356423</c:v>
                </c:pt>
                <c:pt idx="28">
                  <c:v>-89.392533303487767</c:v>
                </c:pt>
                <c:pt idx="29">
                  <c:v>-89.385071506022399</c:v>
                </c:pt>
                <c:pt idx="30">
                  <c:v>-89.372390609680124</c:v>
                </c:pt>
                <c:pt idx="31">
                  <c:v>-89.354398972577243</c:v>
                </c:pt>
                <c:pt idx="32">
                  <c:v>-89.330936442053428</c:v>
                </c:pt>
                <c:pt idx="33">
                  <c:v>-89.301827102357976</c:v>
                </c:pt>
                <c:pt idx="34">
                  <c:v>-89.266809008055048</c:v>
                </c:pt>
                <c:pt idx="35">
                  <c:v>-89.225612799010335</c:v>
                </c:pt>
                <c:pt idx="36">
                  <c:v>-89.177897358780086</c:v>
                </c:pt>
                <c:pt idx="37">
                  <c:v>-89.12324378179126</c:v>
                </c:pt>
                <c:pt idx="38">
                  <c:v>-89.061261567664076</c:v>
                </c:pt>
                <c:pt idx="39">
                  <c:v>-88.991403908513064</c:v>
                </c:pt>
                <c:pt idx="40">
                  <c:v>-88.913137449289408</c:v>
                </c:pt>
                <c:pt idx="41">
                  <c:v>-88.825839044781517</c:v>
                </c:pt>
                <c:pt idx="42">
                  <c:v>-88.728843395535293</c:v>
                </c:pt>
                <c:pt idx="43">
                  <c:v>-88.621379341794736</c:v>
                </c:pt>
                <c:pt idx="44">
                  <c:v>-88.502669048964918</c:v>
                </c:pt>
                <c:pt idx="45">
                  <c:v>-88.371820667939389</c:v>
                </c:pt>
                <c:pt idx="46">
                  <c:v>-88.227933289896725</c:v>
                </c:pt>
                <c:pt idx="47">
                  <c:v>-88.06999395961698</c:v>
                </c:pt>
                <c:pt idx="48">
                  <c:v>-87.897014882727873</c:v>
                </c:pt>
                <c:pt idx="49">
                  <c:v>-87.707892614175648</c:v>
                </c:pt>
                <c:pt idx="50">
                  <c:v>-87.501581524033512</c:v>
                </c:pt>
                <c:pt idx="51">
                  <c:v>-87.276969742226626</c:v>
                </c:pt>
                <c:pt idx="52">
                  <c:v>-87.033117129032533</c:v>
                </c:pt>
                <c:pt idx="53">
                  <c:v>-86.769108910277637</c:v>
                </c:pt>
                <c:pt idx="54">
                  <c:v>-86.484383498201197</c:v>
                </c:pt>
                <c:pt idx="55">
                  <c:v>-86.177940548925037</c:v>
                </c:pt>
                <c:pt idx="56">
                  <c:v>-85.850018767008109</c:v>
                </c:pt>
                <c:pt idx="57">
                  <c:v>-85.50068792311356</c:v>
                </c:pt>
                <c:pt idx="58">
                  <c:v>-85.131088702147423</c:v>
                </c:pt>
                <c:pt idx="59">
                  <c:v>-84.742583985625444</c:v>
                </c:pt>
                <c:pt idx="60">
                  <c:v>-84.337962723239002</c:v>
                </c:pt>
                <c:pt idx="61">
                  <c:v>-83.920844382836535</c:v>
                </c:pt>
                <c:pt idx="62">
                  <c:v>-83.495932498911031</c:v>
                </c:pt>
                <c:pt idx="63">
                  <c:v>-83.0699386499778</c:v>
                </c:pt>
                <c:pt idx="64">
                  <c:v>-82.650247234315202</c:v>
                </c:pt>
                <c:pt idx="65">
                  <c:v>-82.246103138327541</c:v>
                </c:pt>
                <c:pt idx="66">
                  <c:v>-81.867710405252751</c:v>
                </c:pt>
                <c:pt idx="67">
                  <c:v>-81.526145877149062</c:v>
                </c:pt>
                <c:pt idx="68">
                  <c:v>-81.232602943000728</c:v>
                </c:pt>
                <c:pt idx="69">
                  <c:v>-80.998040544444336</c:v>
                </c:pt>
                <c:pt idx="70">
                  <c:v>-80.832113286444383</c:v>
                </c:pt>
                <c:pt idx="71">
                  <c:v>-80.742618123330772</c:v>
                </c:pt>
                <c:pt idx="72">
                  <c:v>-80.734707573490724</c:v>
                </c:pt>
                <c:pt idx="73">
                  <c:v>-80.810505816898257</c:v>
                </c:pt>
                <c:pt idx="74">
                  <c:v>-80.968940206443051</c:v>
                </c:pt>
                <c:pt idx="75">
                  <c:v>-81.205831301922899</c:v>
                </c:pt>
                <c:pt idx="76">
                  <c:v>-81.514436915847881</c:v>
                </c:pt>
                <c:pt idx="77">
                  <c:v>-81.885845167374185</c:v>
                </c:pt>
                <c:pt idx="78">
                  <c:v>-82.309986273726224</c:v>
                </c:pt>
                <c:pt idx="79">
                  <c:v>-82.77601195064041</c:v>
                </c:pt>
                <c:pt idx="80">
                  <c:v>-83.274415274691009</c:v>
                </c:pt>
                <c:pt idx="81">
                  <c:v>-83.794994772498654</c:v>
                </c:pt>
                <c:pt idx="82">
                  <c:v>-84.329731540522829</c:v>
                </c:pt>
                <c:pt idx="83">
                  <c:v>-84.871275435111002</c:v>
                </c:pt>
                <c:pt idx="84">
                  <c:v>-85.414555692774556</c:v>
                </c:pt>
                <c:pt idx="85">
                  <c:v>-85.955235925661981</c:v>
                </c:pt>
                <c:pt idx="86">
                  <c:v>-86.490724140603646</c:v>
                </c:pt>
                <c:pt idx="87">
                  <c:v>-87.019839458282817</c:v>
                </c:pt>
                <c:pt idx="88">
                  <c:v>-87.541662097005016</c:v>
                </c:pt>
                <c:pt idx="89">
                  <c:v>-88.057086572334214</c:v>
                </c:pt>
                <c:pt idx="90">
                  <c:v>-88.567127567759243</c:v>
                </c:pt>
                <c:pt idx="91">
                  <c:v>-89.073651584326186</c:v>
                </c:pt>
                <c:pt idx="92">
                  <c:v>-89.578913192480925</c:v>
                </c:pt>
                <c:pt idx="93">
                  <c:v>-90.08580119879187</c:v>
                </c:pt>
                <c:pt idx="94">
                  <c:v>-90.213067747384997</c:v>
                </c:pt>
                <c:pt idx="95">
                  <c:v>-90.277220069074161</c:v>
                </c:pt>
                <c:pt idx="96">
                  <c:v>-90.340728938554562</c:v>
                </c:pt>
                <c:pt idx="97">
                  <c:v>-90.405064813000791</c:v>
                </c:pt>
                <c:pt idx="98">
                  <c:v>-90.468768392816528</c:v>
                </c:pt>
                <c:pt idx="99">
                  <c:v>-90.533330830549062</c:v>
                </c:pt>
                <c:pt idx="100">
                  <c:v>-90.597271780709875</c:v>
                </c:pt>
                <c:pt idx="101">
                  <c:v>-90.662054237581273</c:v>
                </c:pt>
                <c:pt idx="102">
                  <c:v>-90.726226607519948</c:v>
                </c:pt>
                <c:pt idx="103">
                  <c:v>-90.791319272078468</c:v>
                </c:pt>
                <c:pt idx="104">
                  <c:v>-90.855812029535883</c:v>
                </c:pt>
                <c:pt idx="105">
                  <c:v>-90.921207590424956</c:v>
                </c:pt>
                <c:pt idx="106">
                  <c:v>-90.986014029948763</c:v>
                </c:pt>
                <c:pt idx="107">
                  <c:v>-91.051707469152618</c:v>
                </c:pt>
                <c:pt idx="108">
                  <c:v>-91.116823084685322</c:v>
                </c:pt>
                <c:pt idx="109">
                  <c:v>-91.182856221390935</c:v>
                </c:pt>
                <c:pt idx="110">
                  <c:v>-91.248322497133884</c:v>
                </c:pt>
                <c:pt idx="111">
                  <c:v>-91.314780012280281</c:v>
                </c:pt>
                <c:pt idx="112">
                  <c:v>-91.380680602924215</c:v>
                </c:pt>
                <c:pt idx="113">
                  <c:v>-91.447556715871997</c:v>
                </c:pt>
                <c:pt idx="114">
                  <c:v>-91.513886357152927</c:v>
                </c:pt>
                <c:pt idx="115">
                  <c:v>-91.581219920508019</c:v>
                </c:pt>
                <c:pt idx="116">
                  <c:v>-91.648017225659629</c:v>
                </c:pt>
                <c:pt idx="117">
                  <c:v>-91.715846286276729</c:v>
                </c:pt>
                <c:pt idx="118">
                  <c:v>-91.783149087938369</c:v>
                </c:pt>
                <c:pt idx="119">
                  <c:v>-91.851469705482685</c:v>
                </c:pt>
                <c:pt idx="120">
                  <c:v>-91.919274486530071</c:v>
                </c:pt>
                <c:pt idx="121">
                  <c:v>-91.988125197951078</c:v>
                </c:pt>
                <c:pt idx="122">
                  <c:v>-92.056470250708799</c:v>
                </c:pt>
                <c:pt idx="123">
                  <c:v>-92.125928957653329</c:v>
                </c:pt>
                <c:pt idx="124">
                  <c:v>-92.194891395298029</c:v>
                </c:pt>
                <c:pt idx="125">
                  <c:v>-92.264954096326619</c:v>
                </c:pt>
                <c:pt idx="126">
                  <c:v>-92.334530319582328</c:v>
                </c:pt>
                <c:pt idx="127">
                  <c:v>-92.405233715645124</c:v>
                </c:pt>
                <c:pt idx="128">
                  <c:v>-92.475460234028461</c:v>
                </c:pt>
                <c:pt idx="129">
                  <c:v>-92.546840519359876</c:v>
                </c:pt>
                <c:pt idx="130">
                  <c:v>-92.617753349250449</c:v>
                </c:pt>
                <c:pt idx="131">
                  <c:v>-92.689846266162334</c:v>
                </c:pt>
                <c:pt idx="132">
                  <c:v>-92.725719960145909</c:v>
                </c:pt>
                <c:pt idx="133">
                  <c:v>-92.761480983440947</c:v>
                </c:pt>
                <c:pt idx="134">
                  <c:v>-92.797977299004486</c:v>
                </c:pt>
                <c:pt idx="135">
                  <c:v>-92.834359358627495</c:v>
                </c:pt>
                <c:pt idx="136">
                  <c:v>-92.870629039248826</c:v>
                </c:pt>
                <c:pt idx="137">
                  <c:v>-92.906788176818807</c:v>
                </c:pt>
                <c:pt idx="138">
                  <c:v>-92.943655800232207</c:v>
                </c:pt>
                <c:pt idx="139">
                  <c:v>-92.980411561702027</c:v>
                </c:pt>
                <c:pt idx="140">
                  <c:v>-93.017057299108927</c:v>
                </c:pt>
                <c:pt idx="141">
                  <c:v>-93.05359481012789</c:v>
                </c:pt>
                <c:pt idx="142">
                  <c:v>-93.090888479834021</c:v>
                </c:pt>
                <c:pt idx="143">
                  <c:v>-93.128072417558386</c:v>
                </c:pt>
                <c:pt idx="144">
                  <c:v>-93.16514842793606</c:v>
                </c:pt>
                <c:pt idx="145">
                  <c:v>-93.202118276019945</c:v>
                </c:pt>
                <c:pt idx="146">
                  <c:v>-93.239836419161961</c:v>
                </c:pt>
                <c:pt idx="147">
                  <c:v>-93.277447040749308</c:v>
                </c:pt>
                <c:pt idx="148">
                  <c:v>-93.314951909541307</c:v>
                </c:pt>
                <c:pt idx="149">
                  <c:v>-93.352352755423595</c:v>
                </c:pt>
                <c:pt idx="150">
                  <c:v>-93.390512466773913</c:v>
                </c:pt>
                <c:pt idx="151">
                  <c:v>-93.428566832658106</c:v>
                </c:pt>
                <c:pt idx="152">
                  <c:v>-93.466517586147262</c:v>
                </c:pt>
                <c:pt idx="153">
                  <c:v>-93.504366422149886</c:v>
                </c:pt>
                <c:pt idx="154">
                  <c:v>-93.543002423801013</c:v>
                </c:pt>
                <c:pt idx="155">
                  <c:v>-93.581535128154414</c:v>
                </c:pt>
                <c:pt idx="156">
                  <c:v>-93.619966235087134</c:v>
                </c:pt>
                <c:pt idx="157">
                  <c:v>-93.658297406960131</c:v>
                </c:pt>
                <c:pt idx="158">
                  <c:v>-93.697426009491622</c:v>
                </c:pt>
                <c:pt idx="159">
                  <c:v>-93.736453340577299</c:v>
                </c:pt>
                <c:pt idx="160">
                  <c:v>-93.775381066805934</c:v>
                </c:pt>
                <c:pt idx="161">
                  <c:v>-93.814210817906655</c:v>
                </c:pt>
                <c:pt idx="162">
                  <c:v>-93.853830891289391</c:v>
                </c:pt>
                <c:pt idx="163">
                  <c:v>-93.893351782504624</c:v>
                </c:pt>
                <c:pt idx="164">
                  <c:v>-93.932775122649005</c:v>
                </c:pt>
                <c:pt idx="165">
                  <c:v>-93.972102506688017</c:v>
                </c:pt>
                <c:pt idx="166">
                  <c:v>-94.01226519600732</c:v>
                </c:pt>
                <c:pt idx="167">
                  <c:v>-94.052330592883109</c:v>
                </c:pt>
                <c:pt idx="168">
                  <c:v>-94.092300297178539</c:v>
                </c:pt>
                <c:pt idx="169">
                  <c:v>-94.132175873235681</c:v>
                </c:pt>
                <c:pt idx="170">
                  <c:v>-94.172811559053869</c:v>
                </c:pt>
                <c:pt idx="171">
                  <c:v>-94.213352223679024</c:v>
                </c:pt>
                <c:pt idx="172">
                  <c:v>-94.253799425732097</c:v>
                </c:pt>
                <c:pt idx="173">
                  <c:v>-94.294154689225607</c:v>
                </c:pt>
                <c:pt idx="174">
                  <c:v>-94.335433427823787</c:v>
                </c:pt>
                <c:pt idx="175">
                  <c:v>-94.376618670373418</c:v>
                </c:pt>
                <c:pt idx="176">
                  <c:v>-94.417711951902703</c:v>
                </c:pt>
                <c:pt idx="177">
                  <c:v>-94.458714773229886</c:v>
                </c:pt>
                <c:pt idx="178">
                  <c:v>-94.500633570842894</c:v>
                </c:pt>
                <c:pt idx="179">
                  <c:v>-94.542460488417262</c:v>
                </c:pt>
                <c:pt idx="180">
                  <c:v>-94.584197034532352</c:v>
                </c:pt>
                <c:pt idx="181">
                  <c:v>-94.625844684044338</c:v>
                </c:pt>
                <c:pt idx="182">
                  <c:v>-94.668235200613267</c:v>
                </c:pt>
                <c:pt idx="183">
                  <c:v>-94.71053622550491</c:v>
                </c:pt>
                <c:pt idx="184">
                  <c:v>-94.752749221286848</c:v>
                </c:pt>
                <c:pt idx="185">
                  <c:v>-94.794875617877523</c:v>
                </c:pt>
                <c:pt idx="186">
                  <c:v>-94.838069697050216</c:v>
                </c:pt>
                <c:pt idx="187">
                  <c:v>-94.881175315685837</c:v>
                </c:pt>
                <c:pt idx="188">
                  <c:v>-94.924193922869136</c:v>
                </c:pt>
                <c:pt idx="189">
                  <c:v>-94.967126935148926</c:v>
                </c:pt>
                <c:pt idx="190">
                  <c:v>-95.010792652715239</c:v>
                </c:pt>
                <c:pt idx="191">
                  <c:v>-95.054372348246119</c:v>
                </c:pt>
                <c:pt idx="192">
                  <c:v>-95.09786742232653</c:v>
                </c:pt>
                <c:pt idx="193">
                  <c:v>-95.141279244166427</c:v>
                </c:pt>
                <c:pt idx="194">
                  <c:v>-95.185744052601905</c:v>
                </c:pt>
                <c:pt idx="195">
                  <c:v>-95.230124010250492</c:v>
                </c:pt>
                <c:pt idx="196">
                  <c:v>-95.274420499404684</c:v>
                </c:pt>
                <c:pt idx="197">
                  <c:v>-95.318634871247809</c:v>
                </c:pt>
                <c:pt idx="198">
                  <c:v>-95.363733981161417</c:v>
                </c:pt>
                <c:pt idx="199">
                  <c:v>-95.408750095206855</c:v>
                </c:pt>
                <c:pt idx="200">
                  <c:v>-95.453684560090409</c:v>
                </c:pt>
                <c:pt idx="201">
                  <c:v>-95.49853869219541</c:v>
                </c:pt>
                <c:pt idx="202">
                  <c:v>-95.544272388813965</c:v>
                </c:pt>
                <c:pt idx="203">
                  <c:v>-95.589924956001539</c:v>
                </c:pt>
                <c:pt idx="204">
                  <c:v>-95.63549770394873</c:v>
                </c:pt>
                <c:pt idx="205">
                  <c:v>-95.680991913343291</c:v>
                </c:pt>
                <c:pt idx="206">
                  <c:v>-95.727519480640154</c:v>
                </c:pt>
                <c:pt idx="207">
                  <c:v>-95.773967247545343</c:v>
                </c:pt>
                <c:pt idx="208">
                  <c:v>-95.820336500021568</c:v>
                </c:pt>
                <c:pt idx="209">
                  <c:v>-95.866628494985534</c:v>
                </c:pt>
                <c:pt idx="210">
                  <c:v>-95.914105275663559</c:v>
                </c:pt>
                <c:pt idx="211">
                  <c:v>-95.961503120859803</c:v>
                </c:pt>
                <c:pt idx="212">
                  <c:v>-96.008823302757108</c:v>
                </c:pt>
                <c:pt idx="213">
                  <c:v>-96.056067064636679</c:v>
                </c:pt>
                <c:pt idx="214">
                  <c:v>-96.104175102382797</c:v>
                </c:pt>
                <c:pt idx="215">
                  <c:v>-96.152206167155953</c:v>
                </c:pt>
                <c:pt idx="216">
                  <c:v>-96.200161490257216</c:v>
                </c:pt>
                <c:pt idx="217">
                  <c:v>-96.248042275050352</c:v>
                </c:pt>
                <c:pt idx="218">
                  <c:v>-96.296938922906861</c:v>
                </c:pt>
                <c:pt idx="219">
                  <c:v>-96.345760054836333</c:v>
                </c:pt>
                <c:pt idx="220">
                  <c:v>-96.394506872672864</c:v>
                </c:pt>
                <c:pt idx="221">
                  <c:v>-96.443180550938123</c:v>
                </c:pt>
                <c:pt idx="222">
                  <c:v>-96.492864903013384</c:v>
                </c:pt>
                <c:pt idx="223">
                  <c:v>-96.542475216365332</c:v>
                </c:pt>
                <c:pt idx="224">
                  <c:v>-96.59201266215949</c:v>
                </c:pt>
                <c:pt idx="225">
                  <c:v>-96.641478384913057</c:v>
                </c:pt>
                <c:pt idx="226">
                  <c:v>-96.692103641965758</c:v>
                </c:pt>
                <c:pt idx="227">
                  <c:v>-96.742655908287986</c:v>
                </c:pt>
                <c:pt idx="228">
                  <c:v>-96.793136333750468</c:v>
                </c:pt>
                <c:pt idx="229">
                  <c:v>-96.843546041959357</c:v>
                </c:pt>
                <c:pt idx="230">
                  <c:v>-96.946600761299806</c:v>
                </c:pt>
                <c:pt idx="231">
                  <c:v>-96.998021407976097</c:v>
                </c:pt>
                <c:pt idx="232">
                  <c:v>-97.049372388941222</c:v>
                </c:pt>
                <c:pt idx="233">
                  <c:v>-97.101871341203008</c:v>
                </c:pt>
                <c:pt idx="234">
                  <c:v>-97.154299535770051</c:v>
                </c:pt>
                <c:pt idx="235">
                  <c:v>-97.206658074206288</c:v>
                </c:pt>
                <c:pt idx="236">
                  <c:v>-97.25894803275736</c:v>
                </c:pt>
                <c:pt idx="237">
                  <c:v>-97.312229356834195</c:v>
                </c:pt>
                <c:pt idx="238">
                  <c:v>-97.365441475786042</c:v>
                </c:pt>
                <c:pt idx="239">
                  <c:v>-97.418585455699827</c:v>
                </c:pt>
                <c:pt idx="240">
                  <c:v>-97.471662338166794</c:v>
                </c:pt>
                <c:pt idx="241">
                  <c:v>-97.526027673294749</c:v>
                </c:pt>
                <c:pt idx="242">
                  <c:v>-97.580324578947753</c:v>
                </c:pt>
                <c:pt idx="243">
                  <c:v>-97.634554102805993</c:v>
                </c:pt>
                <c:pt idx="244">
                  <c:v>-97.688717268356797</c:v>
                </c:pt>
                <c:pt idx="245">
                  <c:v>-97.744013186203986</c:v>
                </c:pt>
                <c:pt idx="246">
                  <c:v>-97.799241860011932</c:v>
                </c:pt>
                <c:pt idx="247">
                  <c:v>-97.854404308778655</c:v>
                </c:pt>
                <c:pt idx="248">
                  <c:v>-97.909501527928171</c:v>
                </c:pt>
                <c:pt idx="249">
                  <c:v>-97.965875962654707</c:v>
                </c:pt>
                <c:pt idx="250">
                  <c:v>-98.022183988640307</c:v>
                </c:pt>
                <c:pt idx="251">
                  <c:v>-98.078426603227641</c:v>
                </c:pt>
                <c:pt idx="252">
                  <c:v>-98.134604780589328</c:v>
                </c:pt>
                <c:pt idx="253">
                  <c:v>-98.191906405684719</c:v>
                </c:pt>
                <c:pt idx="254">
                  <c:v>-98.249142819273445</c:v>
                </c:pt>
                <c:pt idx="255">
                  <c:v>-98.306314988024923</c:v>
                </c:pt>
                <c:pt idx="256">
                  <c:v>-98.363423856122324</c:v>
                </c:pt>
                <c:pt idx="257">
                  <c:v>-98.42194741341595</c:v>
                </c:pt>
                <c:pt idx="258">
                  <c:v>-98.480406291025588</c:v>
                </c:pt>
                <c:pt idx="259">
                  <c:v>-98.538801438724477</c:v>
                </c:pt>
                <c:pt idx="260">
                  <c:v>-98.597133784057434</c:v>
                </c:pt>
                <c:pt idx="261">
                  <c:v>-98.656727848967606</c:v>
                </c:pt>
                <c:pt idx="262">
                  <c:v>-98.716258118327715</c:v>
                </c:pt>
                <c:pt idx="263">
                  <c:v>-98.775725516216127</c:v>
                </c:pt>
                <c:pt idx="264">
                  <c:v>-98.835130945013361</c:v>
                </c:pt>
                <c:pt idx="265">
                  <c:v>-98.895793361934409</c:v>
                </c:pt>
                <c:pt idx="266">
                  <c:v>-98.956392865017492</c:v>
                </c:pt>
                <c:pt idx="267">
                  <c:v>-99.016930351734032</c:v>
                </c:pt>
                <c:pt idx="268">
                  <c:v>-99.077406698417249</c:v>
                </c:pt>
                <c:pt idx="269">
                  <c:v>-99.139281347392441</c:v>
                </c:pt>
                <c:pt idx="270">
                  <c:v>-99.201093662184547</c:v>
                </c:pt>
                <c:pt idx="271">
                  <c:v>-99.262844519046567</c:v>
                </c:pt>
                <c:pt idx="272">
                  <c:v>-99.324534773483919</c:v>
                </c:pt>
                <c:pt idx="273">
                  <c:v>-99.38761809532393</c:v>
                </c:pt>
                <c:pt idx="274">
                  <c:v>-99.450639672137711</c:v>
                </c:pt>
                <c:pt idx="275">
                  <c:v>-99.513600357605966</c:v>
                </c:pt>
                <c:pt idx="276">
                  <c:v>-99.57650098509427</c:v>
                </c:pt>
                <c:pt idx="277">
                  <c:v>-99.64064490921966</c:v>
                </c:pt>
                <c:pt idx="278">
                  <c:v>-99.70472795097821</c:v>
                </c:pt>
                <c:pt idx="279">
                  <c:v>-99.768750934804913</c:v>
                </c:pt>
                <c:pt idx="280">
                  <c:v>-99.832714665462277</c:v>
                </c:pt>
                <c:pt idx="281">
                  <c:v>-99.898350190584907</c:v>
                </c:pt>
                <c:pt idx="282">
                  <c:v>-99.963924868478458</c:v>
                </c:pt>
                <c:pt idx="283">
                  <c:v>-100.02943950987826</c:v>
                </c:pt>
                <c:pt idx="284">
                  <c:v>-100.09489490599515</c:v>
                </c:pt>
                <c:pt idx="285">
                  <c:v>-100.16158480998222</c:v>
                </c:pt>
                <c:pt idx="286">
                  <c:v>-100.22821470399055</c:v>
                </c:pt>
                <c:pt idx="287">
                  <c:v>-100.29478536787093</c:v>
                </c:pt>
                <c:pt idx="288">
                  <c:v>-100.36129756264434</c:v>
                </c:pt>
                <c:pt idx="289">
                  <c:v>-100.42946992184109</c:v>
                </c:pt>
                <c:pt idx="290">
                  <c:v>-100.4975823125155</c:v>
                </c:pt>
                <c:pt idx="291">
                  <c:v>-100.56563549793188</c:v>
                </c:pt>
                <c:pt idx="292">
                  <c:v>-100.63363022275878</c:v>
                </c:pt>
                <c:pt idx="293">
                  <c:v>-100.70313650924693</c:v>
                </c:pt>
                <c:pt idx="294">
                  <c:v>-100.77258312158533</c:v>
                </c:pt>
                <c:pt idx="295">
                  <c:v>-100.84197080020287</c:v>
                </c:pt>
                <c:pt idx="296">
                  <c:v>-100.91130026736471</c:v>
                </c:pt>
                <c:pt idx="297">
                  <c:v>-100.98213623334102</c:v>
                </c:pt>
                <c:pt idx="298">
                  <c:v>-101.05291280012676</c:v>
                </c:pt>
                <c:pt idx="299">
                  <c:v>-101.12363068440273</c:v>
                </c:pt>
                <c:pt idx="300">
                  <c:v>-101.19429058514605</c:v>
                </c:pt>
                <c:pt idx="301">
                  <c:v>-101.26645203754978</c:v>
                </c:pt>
                <c:pt idx="302">
                  <c:v>-101.33855433868163</c:v>
                </c:pt>
                <c:pt idx="303">
                  <c:v>-101.41059818072901</c:v>
                </c:pt>
                <c:pt idx="304">
                  <c:v>-101.48258423865762</c:v>
                </c:pt>
                <c:pt idx="305">
                  <c:v>-101.55634951298052</c:v>
                </c:pt>
                <c:pt idx="306">
                  <c:v>-101.63005539826111</c:v>
                </c:pt>
                <c:pt idx="307">
                  <c:v>-101.70370256922931</c:v>
                </c:pt>
                <c:pt idx="308">
                  <c:v>-101.77729168363882</c:v>
                </c:pt>
                <c:pt idx="309">
                  <c:v>-101.85237228817381</c:v>
                </c:pt>
                <c:pt idx="310">
                  <c:v>-101.92739369747302</c:v>
                </c:pt>
                <c:pt idx="311">
                  <c:v>-102.00235656003311</c:v>
                </c:pt>
                <c:pt idx="312">
                  <c:v>-102.07726150790903</c:v>
                </c:pt>
                <c:pt idx="313">
                  <c:v>-102.15393399888912</c:v>
                </c:pt>
                <c:pt idx="314">
                  <c:v>-102.23054700743845</c:v>
                </c:pt>
                <c:pt idx="315">
                  <c:v>-102.30710116233305</c:v>
                </c:pt>
                <c:pt idx="316">
                  <c:v>-102.38359707621919</c:v>
                </c:pt>
                <c:pt idx="317">
                  <c:v>-102.46185460711374</c:v>
                </c:pt>
                <c:pt idx="318">
                  <c:v>-102.54005234038732</c:v>
                </c:pt>
                <c:pt idx="319">
                  <c:v>-102.61819088389966</c:v>
                </c:pt>
                <c:pt idx="320">
                  <c:v>-102.69627082972676</c:v>
                </c:pt>
                <c:pt idx="321">
                  <c:v>-102.77610653216573</c:v>
                </c:pt>
                <c:pt idx="322">
                  <c:v>-102.85588208535286</c:v>
                </c:pt>
                <c:pt idx="323">
                  <c:v>-102.93559807520604</c:v>
                </c:pt>
                <c:pt idx="324">
                  <c:v>-103.01525507223553</c:v>
                </c:pt>
                <c:pt idx="325">
                  <c:v>-103.09666201527521</c:v>
                </c:pt>
                <c:pt idx="326">
                  <c:v>-103.17800841311251</c:v>
                </c:pt>
                <c:pt idx="327">
                  <c:v>-103.25929482885839</c:v>
                </c:pt>
                <c:pt idx="328">
                  <c:v>-103.34052181061816</c:v>
                </c:pt>
                <c:pt idx="329">
                  <c:v>-103.42363165858038</c:v>
                </c:pt>
                <c:pt idx="330">
                  <c:v>-103.50668031050343</c:v>
                </c:pt>
                <c:pt idx="331">
                  <c:v>-103.58966830865079</c:v>
                </c:pt>
                <c:pt idx="332">
                  <c:v>-103.67259618060662</c:v>
                </c:pt>
                <c:pt idx="333">
                  <c:v>-103.75726225893855</c:v>
                </c:pt>
                <c:pt idx="334">
                  <c:v>-103.84186664128895</c:v>
                </c:pt>
                <c:pt idx="335">
                  <c:v>-103.9264098455544</c:v>
                </c:pt>
                <c:pt idx="336">
                  <c:v>-104.01089237540042</c:v>
                </c:pt>
                <c:pt idx="337">
                  <c:v>-104.09738314422954</c:v>
                </c:pt>
                <c:pt idx="338">
                  <c:v>-104.18381125418536</c:v>
                </c:pt>
                <c:pt idx="339">
                  <c:v>-104.27017720304693</c:v>
                </c:pt>
                <c:pt idx="340">
                  <c:v>-104.35648147464855</c:v>
                </c:pt>
                <c:pt idx="341">
                  <c:v>-104.4447870246409</c:v>
                </c:pt>
                <c:pt idx="342">
                  <c:v>-104.53302889459108</c:v>
                </c:pt>
                <c:pt idx="343">
                  <c:v>-104.6212075610397</c:v>
                </c:pt>
                <c:pt idx="344">
                  <c:v>-104.70932348690127</c:v>
                </c:pt>
                <c:pt idx="345">
                  <c:v>-104.79929660389264</c:v>
                </c:pt>
                <c:pt idx="346">
                  <c:v>-104.88920514946808</c:v>
                </c:pt>
                <c:pt idx="347">
                  <c:v>-104.97904957592694</c:v>
                </c:pt>
                <c:pt idx="348">
                  <c:v>-105.06883032236948</c:v>
                </c:pt>
                <c:pt idx="349">
                  <c:v>-105.16073525992249</c:v>
                </c:pt>
                <c:pt idx="350">
                  <c:v>-105.25257426522107</c:v>
                </c:pt>
                <c:pt idx="351">
                  <c:v>-105.34434776967301</c:v>
                </c:pt>
                <c:pt idx="352">
                  <c:v>-105.43605619177671</c:v>
                </c:pt>
                <c:pt idx="353">
                  <c:v>-105.52988114641732</c:v>
                </c:pt>
                <c:pt idx="354">
                  <c:v>-105.62363873058504</c:v>
                </c:pt>
                <c:pt idx="355">
                  <c:v>-105.71732935376059</c:v>
                </c:pt>
                <c:pt idx="356">
                  <c:v>-105.810953412836</c:v>
                </c:pt>
                <c:pt idx="357">
                  <c:v>-105.90655033749597</c:v>
                </c:pt>
                <c:pt idx="358">
                  <c:v>-106.00207856309395</c:v>
                </c:pt>
                <c:pt idx="359">
                  <c:v>-106.09753847468401</c:v>
                </c:pt>
                <c:pt idx="360">
                  <c:v>-106.1929304451475</c:v>
                </c:pt>
                <c:pt idx="361">
                  <c:v>-106.29055914335497</c:v>
                </c:pt>
                <c:pt idx="362">
                  <c:v>-106.38811732892157</c:v>
                </c:pt>
                <c:pt idx="363">
                  <c:v>-106.4856053650477</c:v>
                </c:pt>
                <c:pt idx="364">
                  <c:v>-106.58302360306145</c:v>
                </c:pt>
                <c:pt idx="365">
                  <c:v>-106.6825349026151</c:v>
                </c:pt>
                <c:pt idx="366">
                  <c:v>-106.78197397338712</c:v>
                </c:pt>
                <c:pt idx="367">
                  <c:v>-106.88134115444225</c:v>
                </c:pt>
                <c:pt idx="368">
                  <c:v>-106.98063677336387</c:v>
                </c:pt>
                <c:pt idx="369">
                  <c:v>-107.08228693972679</c:v>
                </c:pt>
                <c:pt idx="370">
                  <c:v>-107.18386266137844</c:v>
                </c:pt>
                <c:pt idx="371">
                  <c:v>-107.2853642552592</c:v>
                </c:pt>
                <c:pt idx="372">
                  <c:v>-107.38679202711981</c:v>
                </c:pt>
                <c:pt idx="373">
                  <c:v>-107.49043060179302</c:v>
                </c:pt>
                <c:pt idx="374">
                  <c:v>-107.59399260030285</c:v>
                </c:pt>
                <c:pt idx="375">
                  <c:v>-107.69747831541854</c:v>
                </c:pt>
                <c:pt idx="376">
                  <c:v>-107.80088802909687</c:v>
                </c:pt>
                <c:pt idx="377">
                  <c:v>-107.90676755141008</c:v>
                </c:pt>
                <c:pt idx="378">
                  <c:v>-108.01256784622721</c:v>
                </c:pt>
                <c:pt idx="379">
                  <c:v>-108.11828918366943</c:v>
                </c:pt>
                <c:pt idx="380">
                  <c:v>-108.22393182333734</c:v>
                </c:pt>
                <c:pt idx="381">
                  <c:v>-108.33176678869543</c:v>
                </c:pt>
                <c:pt idx="382">
                  <c:v>-108.43952014827154</c:v>
                </c:pt>
                <c:pt idx="383">
                  <c:v>-108.54719214685265</c:v>
                </c:pt>
                <c:pt idx="384">
                  <c:v>-108.65478301912792</c:v>
                </c:pt>
                <c:pt idx="385">
                  <c:v>-108.76495639998998</c:v>
                </c:pt>
                <c:pt idx="386">
                  <c:v>-108.87504505145951</c:v>
                </c:pt>
                <c:pt idx="387">
                  <c:v>-108.98504919513621</c:v>
                </c:pt>
                <c:pt idx="388">
                  <c:v>-109.09496904281878</c:v>
                </c:pt>
                <c:pt idx="389">
                  <c:v>-109.20732724344344</c:v>
                </c:pt>
                <c:pt idx="390">
                  <c:v>-109.31959764854419</c:v>
                </c:pt>
                <c:pt idx="391">
                  <c:v>-109.43178045500582</c:v>
                </c:pt>
                <c:pt idx="392">
                  <c:v>-109.54387585028573</c:v>
                </c:pt>
                <c:pt idx="393">
                  <c:v>-109.65839856222749</c:v>
                </c:pt>
                <c:pt idx="394">
                  <c:v>-109.77283026010265</c:v>
                </c:pt>
                <c:pt idx="395">
                  <c:v>-109.88717111565174</c:v>
                </c:pt>
                <c:pt idx="396">
                  <c:v>-110.00142129158418</c:v>
                </c:pt>
                <c:pt idx="397">
                  <c:v>-110.11835132352819</c:v>
                </c:pt>
                <c:pt idx="398">
                  <c:v>-110.23518653724679</c:v>
                </c:pt>
                <c:pt idx="399">
                  <c:v>-110.35192708002258</c:v>
                </c:pt>
                <c:pt idx="400">
                  <c:v>-110.46857309044708</c:v>
                </c:pt>
                <c:pt idx="401">
                  <c:v>-110.58775457194841</c:v>
                </c:pt>
                <c:pt idx="402">
                  <c:v>-110.70683747163318</c:v>
                </c:pt>
                <c:pt idx="403">
                  <c:v>-110.8258219113531</c:v>
                </c:pt>
                <c:pt idx="404">
                  <c:v>-110.94470800467538</c:v>
                </c:pt>
                <c:pt idx="405">
                  <c:v>-111.06624805383856</c:v>
                </c:pt>
                <c:pt idx="406">
                  <c:v>-111.1876853598516</c:v>
                </c:pt>
                <c:pt idx="407">
                  <c:v>-111.30902001924484</c:v>
                </c:pt>
                <c:pt idx="408">
                  <c:v>-111.43025212065908</c:v>
                </c:pt>
                <c:pt idx="409">
                  <c:v>-111.55425520608451</c:v>
                </c:pt>
                <c:pt idx="410">
                  <c:v>-111.67815097170916</c:v>
                </c:pt>
                <c:pt idx="411">
                  <c:v>-111.8019394887157</c:v>
                </c:pt>
                <c:pt idx="412">
                  <c:v>-111.9256208207873</c:v>
                </c:pt>
                <c:pt idx="413">
                  <c:v>-112.05205848816708</c:v>
                </c:pt>
                <c:pt idx="414">
                  <c:v>-112.17838405542126</c:v>
                </c:pt>
                <c:pt idx="415">
                  <c:v>-112.30459756812157</c:v>
                </c:pt>
                <c:pt idx="416">
                  <c:v>-112.43069906475944</c:v>
                </c:pt>
                <c:pt idx="417">
                  <c:v>-112.55967152311604</c:v>
                </c:pt>
                <c:pt idx="418">
                  <c:v>-112.68852665595834</c:v>
                </c:pt>
                <c:pt idx="419">
                  <c:v>-112.81726448322057</c:v>
                </c:pt>
                <c:pt idx="420">
                  <c:v>-112.94588501817671</c:v>
                </c:pt>
                <c:pt idx="421">
                  <c:v>-113.07723107736916</c:v>
                </c:pt>
                <c:pt idx="422">
                  <c:v>-113.20845460264111</c:v>
                </c:pt>
                <c:pt idx="423">
                  <c:v>-113.33955558824675</c:v>
                </c:pt>
                <c:pt idx="424">
                  <c:v>-113.47053402225458</c:v>
                </c:pt>
                <c:pt idx="425">
                  <c:v>-113.60460822006949</c:v>
                </c:pt>
                <c:pt idx="426">
                  <c:v>-113.73855371680867</c:v>
                </c:pt>
                <c:pt idx="427">
                  <c:v>-113.87237048105008</c:v>
                </c:pt>
                <c:pt idx="428">
                  <c:v>-114.00605847561789</c:v>
                </c:pt>
                <c:pt idx="429">
                  <c:v>-114.1426953125853</c:v>
                </c:pt>
                <c:pt idx="430">
                  <c:v>-114.27919727782543</c:v>
                </c:pt>
                <c:pt idx="431">
                  <c:v>-114.41556431441572</c:v>
                </c:pt>
                <c:pt idx="432">
                  <c:v>-114.55179636016796</c:v>
                </c:pt>
                <c:pt idx="433">
                  <c:v>-114.69095876561398</c:v>
                </c:pt>
                <c:pt idx="434">
                  <c:v>-114.8299798802371</c:v>
                </c:pt>
                <c:pt idx="435">
                  <c:v>-114.96885962200567</c:v>
                </c:pt>
                <c:pt idx="436">
                  <c:v>-115.10759790413924</c:v>
                </c:pt>
                <c:pt idx="437">
                  <c:v>-115.24950191731193</c:v>
                </c:pt>
                <c:pt idx="438">
                  <c:v>-115.39125743710849</c:v>
                </c:pt>
                <c:pt idx="439">
                  <c:v>-115.5328643564077</c:v>
                </c:pt>
                <c:pt idx="440">
                  <c:v>-115.67432256385328</c:v>
                </c:pt>
                <c:pt idx="441">
                  <c:v>-115.81892527408672</c:v>
                </c:pt>
                <c:pt idx="442">
                  <c:v>-115.96337200761462</c:v>
                </c:pt>
                <c:pt idx="443">
                  <c:v>-116.10766263279382</c:v>
                </c:pt>
                <c:pt idx="444">
                  <c:v>-116.25179701429471</c:v>
                </c:pt>
                <c:pt idx="445">
                  <c:v>-116.39905402069361</c:v>
                </c:pt>
                <c:pt idx="446">
                  <c:v>-116.54614728440396</c:v>
                </c:pt>
                <c:pt idx="447">
                  <c:v>-116.6930766500809</c:v>
                </c:pt>
                <c:pt idx="448">
                  <c:v>-116.83984195927376</c:v>
                </c:pt>
                <c:pt idx="449">
                  <c:v>-116.98995845318287</c:v>
                </c:pt>
                <c:pt idx="450">
                  <c:v>-117.13990257836409</c:v>
                </c:pt>
                <c:pt idx="451">
                  <c:v>-117.28967415593905</c:v>
                </c:pt>
                <c:pt idx="452">
                  <c:v>-117.43927300451803</c:v>
                </c:pt>
                <c:pt idx="453">
                  <c:v>-117.59207309227504</c:v>
                </c:pt>
                <c:pt idx="454">
                  <c:v>-117.74469216673749</c:v>
                </c:pt>
                <c:pt idx="455">
                  <c:v>-117.89713002712445</c:v>
                </c:pt>
                <c:pt idx="456">
                  <c:v>-118.04938647078082</c:v>
                </c:pt>
                <c:pt idx="457">
                  <c:v>-118.20506806244151</c:v>
                </c:pt>
                <c:pt idx="458">
                  <c:v>-118.36055908961028</c:v>
                </c:pt>
                <c:pt idx="459">
                  <c:v>-118.5158593300431</c:v>
                </c:pt>
                <c:pt idx="460">
                  <c:v>-118.67096856028107</c:v>
                </c:pt>
                <c:pt idx="461">
                  <c:v>-118.82947551062954</c:v>
                </c:pt>
                <c:pt idx="462">
                  <c:v>-118.98778201598095</c:v>
                </c:pt>
                <c:pt idx="463">
                  <c:v>-119.14588783426515</c:v>
                </c:pt>
                <c:pt idx="464">
                  <c:v>-119.30379272289248</c:v>
                </c:pt>
                <c:pt idx="465">
                  <c:v>-119.46519020507432</c:v>
                </c:pt>
                <c:pt idx="466">
                  <c:v>-119.62637671363299</c:v>
                </c:pt>
                <c:pt idx="467">
                  <c:v>-119.78735198802174</c:v>
                </c:pt>
                <c:pt idx="468">
                  <c:v>-119.94811576790407</c:v>
                </c:pt>
                <c:pt idx="469">
                  <c:v>-120.11234207502704</c:v>
                </c:pt>
                <c:pt idx="470">
                  <c:v>-120.2763465403559</c:v>
                </c:pt>
                <c:pt idx="471">
                  <c:v>-120.44012888707663</c:v>
                </c:pt>
                <c:pt idx="472">
                  <c:v>-120.6036888393492</c:v>
                </c:pt>
                <c:pt idx="473">
                  <c:v>-120.77092398982684</c:v>
                </c:pt>
                <c:pt idx="474">
                  <c:v>-120.93792541580686</c:v>
                </c:pt>
                <c:pt idx="475">
                  <c:v>-121.10469282547064</c:v>
                </c:pt>
                <c:pt idx="476">
                  <c:v>-121.27122592877799</c:v>
                </c:pt>
                <c:pt idx="477">
                  <c:v>-121.44140031814071</c:v>
                </c:pt>
                <c:pt idx="478">
                  <c:v>-121.61132873579579</c:v>
                </c:pt>
                <c:pt idx="479">
                  <c:v>-121.78101087774408</c:v>
                </c:pt>
                <c:pt idx="480">
                  <c:v>-121.95044644260639</c:v>
                </c:pt>
                <c:pt idx="481">
                  <c:v>-122.12348840438337</c:v>
                </c:pt>
                <c:pt idx="482">
                  <c:v>-122.29627179230104</c:v>
                </c:pt>
                <c:pt idx="483">
                  <c:v>-122.46879629336664</c:v>
                </c:pt>
                <c:pt idx="484">
                  <c:v>-122.64106159807952</c:v>
                </c:pt>
                <c:pt idx="485">
                  <c:v>-122.81701712748605</c:v>
                </c:pt>
                <c:pt idx="486">
                  <c:v>-122.99270076729802</c:v>
                </c:pt>
                <c:pt idx="487">
                  <c:v>-123.16811219841981</c:v>
                </c:pt>
                <c:pt idx="488">
                  <c:v>-123.34325110615904</c:v>
                </c:pt>
                <c:pt idx="489">
                  <c:v>-123.52228016234669</c:v>
                </c:pt>
                <c:pt idx="490">
                  <c:v>-123.70102290140926</c:v>
                </c:pt>
                <c:pt idx="491">
                  <c:v>-123.87947900078554</c:v>
                </c:pt>
                <c:pt idx="492">
                  <c:v>-124.05764814328261</c:v>
                </c:pt>
                <c:pt idx="493">
                  <c:v>-124.23966613267419</c:v>
                </c:pt>
                <c:pt idx="494">
                  <c:v>-124.42138299980537</c:v>
                </c:pt>
                <c:pt idx="495">
                  <c:v>-124.60279842301597</c:v>
                </c:pt>
                <c:pt idx="496">
                  <c:v>-124.78391208700857</c:v>
                </c:pt>
                <c:pt idx="497">
                  <c:v>-124.96894957591296</c:v>
                </c:pt>
                <c:pt idx="498">
                  <c:v>-125.15367037577603</c:v>
                </c:pt>
                <c:pt idx="499">
                  <c:v>-125.33807417000389</c:v>
                </c:pt>
                <c:pt idx="500">
                  <c:v>-125.52216064940026</c:v>
                </c:pt>
                <c:pt idx="501">
                  <c:v>-125.71024280127313</c:v>
                </c:pt>
                <c:pt idx="502">
                  <c:v>-125.89799192315196</c:v>
                </c:pt>
                <c:pt idx="503">
                  <c:v>-126.08540770816634</c:v>
                </c:pt>
                <c:pt idx="504">
                  <c:v>-126.27248985791933</c:v>
                </c:pt>
                <c:pt idx="505">
                  <c:v>-126.46352056474839</c:v>
                </c:pt>
                <c:pt idx="506">
                  <c:v>-126.65420154056605</c:v>
                </c:pt>
                <c:pt idx="507">
                  <c:v>-126.8445324939307</c:v>
                </c:pt>
                <c:pt idx="508">
                  <c:v>-127.03451314296512</c:v>
                </c:pt>
                <c:pt idx="509">
                  <c:v>-127.22850896727893</c:v>
                </c:pt>
                <c:pt idx="510">
                  <c:v>-127.42213759027165</c:v>
                </c:pt>
                <c:pt idx="511">
                  <c:v>-127.61539874154556</c:v>
                </c:pt>
                <c:pt idx="512">
                  <c:v>-127.80829216138999</c:v>
                </c:pt>
                <c:pt idx="513">
                  <c:v>-128.00537805140613</c:v>
                </c:pt>
                <c:pt idx="514">
                  <c:v>-128.20207804856287</c:v>
                </c:pt>
                <c:pt idx="515">
                  <c:v>-128.39839190926</c:v>
                </c:pt>
                <c:pt idx="516">
                  <c:v>-128.59431940176361</c:v>
                </c:pt>
                <c:pt idx="517">
                  <c:v>-128.79438475464721</c:v>
                </c:pt>
                <c:pt idx="518">
                  <c:v>-128.9940451815954</c:v>
                </c:pt>
                <c:pt idx="519">
                  <c:v>-129.19330047305715</c:v>
                </c:pt>
                <c:pt idx="520">
                  <c:v>-129.39215043252597</c:v>
                </c:pt>
                <c:pt idx="521">
                  <c:v>-129.59519460137489</c:v>
                </c:pt>
                <c:pt idx="522">
                  <c:v>-129.79781403558863</c:v>
                </c:pt>
                <c:pt idx="523">
                  <c:v>-130.0000085670147</c:v>
                </c:pt>
                <c:pt idx="524">
                  <c:v>-130.20177804174216</c:v>
                </c:pt>
                <c:pt idx="525">
                  <c:v>-130.40779451104183</c:v>
                </c:pt>
                <c:pt idx="526">
                  <c:v>-130.6133656655559</c:v>
                </c:pt>
                <c:pt idx="527">
                  <c:v>-130.81849138648872</c:v>
                </c:pt>
                <c:pt idx="528">
                  <c:v>-131.02317157049524</c:v>
                </c:pt>
                <c:pt idx="529">
                  <c:v>-131.23214790329334</c:v>
                </c:pt>
                <c:pt idx="530">
                  <c:v>-131.44065757739313</c:v>
                </c:pt>
                <c:pt idx="531">
                  <c:v>-131.64870053193272</c:v>
                </c:pt>
                <c:pt idx="532">
                  <c:v>-131.85627672271426</c:v>
                </c:pt>
                <c:pt idx="533">
                  <c:v>-132.06830380319002</c:v>
                </c:pt>
                <c:pt idx="534">
                  <c:v>-132.27984162392113</c:v>
                </c:pt>
                <c:pt idx="535">
                  <c:v>-132.49089019120171</c:v>
                </c:pt>
                <c:pt idx="536">
                  <c:v>-132.70144952923562</c:v>
                </c:pt>
                <c:pt idx="537">
                  <c:v>-132.91628339571753</c:v>
                </c:pt>
                <c:pt idx="538">
                  <c:v>-133.13060567408272</c:v>
                </c:pt>
                <c:pt idx="539">
                  <c:v>-133.34441644759033</c:v>
                </c:pt>
                <c:pt idx="540">
                  <c:v>-133.55771581856567</c:v>
                </c:pt>
                <c:pt idx="541">
                  <c:v>-133.77554363700651</c:v>
                </c:pt>
                <c:pt idx="542">
                  <c:v>-133.99283578873434</c:v>
                </c:pt>
                <c:pt idx="543">
                  <c:v>-134.2095924446534</c:v>
                </c:pt>
                <c:pt idx="544">
                  <c:v>-134.42581379594037</c:v>
                </c:pt>
                <c:pt idx="545">
                  <c:v>-134.64648989704776</c:v>
                </c:pt>
                <c:pt idx="546">
                  <c:v>-134.86660607568788</c:v>
                </c:pt>
                <c:pt idx="547">
                  <c:v>-135.08616260133834</c:v>
                </c:pt>
                <c:pt idx="548">
                  <c:v>-135.30515976487635</c:v>
                </c:pt>
                <c:pt idx="549">
                  <c:v>-135.52864186075828</c:v>
                </c:pt>
                <c:pt idx="550">
                  <c:v>-135.75153911270328</c:v>
                </c:pt>
                <c:pt idx="551">
                  <c:v>-135.97385190035678</c:v>
                </c:pt>
                <c:pt idx="552">
                  <c:v>-136.19558062583647</c:v>
                </c:pt>
                <c:pt idx="553">
                  <c:v>-136.42192454943341</c:v>
                </c:pt>
                <c:pt idx="554">
                  <c:v>-136.64765751245341</c:v>
                </c:pt>
                <c:pt idx="555">
                  <c:v>-136.87278001754441</c:v>
                </c:pt>
                <c:pt idx="556">
                  <c:v>-137.09729259087263</c:v>
                </c:pt>
                <c:pt idx="557">
                  <c:v>-137.55495177368385</c:v>
                </c:pt>
                <c:pt idx="558">
                  <c:v>-138.01006275598471</c:v>
                </c:pt>
                <c:pt idx="559">
                  <c:v>-138.47297464637185</c:v>
                </c:pt>
                <c:pt idx="560">
                  <c:v>-138.93323202676291</c:v>
                </c:pt>
                <c:pt idx="561">
                  <c:v>-139.40166656056434</c:v>
                </c:pt>
                <c:pt idx="562">
                  <c:v>-139.86733354922583</c:v>
                </c:pt>
                <c:pt idx="563">
                  <c:v>-140.34014436404544</c:v>
                </c:pt>
                <c:pt idx="564">
                  <c:v>-140.81008472326619</c:v>
                </c:pt>
                <c:pt idx="565">
                  <c:v>-141.28890214265772</c:v>
                </c:pt>
                <c:pt idx="566">
                  <c:v>-141.76472279696054</c:v>
                </c:pt>
                <c:pt idx="567">
                  <c:v>-142.24914715342521</c:v>
                </c:pt>
                <c:pt idx="568">
                  <c:v>-142.73044917560787</c:v>
                </c:pt>
                <c:pt idx="569">
                  <c:v>-143.21817369950207</c:v>
                </c:pt>
                <c:pt idx="570">
                  <c:v>-143.70267672293286</c:v>
                </c:pt>
                <c:pt idx="571">
                  <c:v>-144.19713947903421</c:v>
                </c:pt>
                <c:pt idx="572">
                  <c:v>-144.68823246646002</c:v>
                </c:pt>
                <c:pt idx="573">
                  <c:v>-145.18524758337512</c:v>
                </c:pt>
                <c:pt idx="574">
                  <c:v>-145.678797903766</c:v>
                </c:pt>
                <c:pt idx="575">
                  <c:v>-146.1817046165155</c:v>
                </c:pt>
                <c:pt idx="576">
                  <c:v>-146.68100180710633</c:v>
                </c:pt>
                <c:pt idx="577">
                  <c:v>-148.7553076279622</c:v>
                </c:pt>
                <c:pt idx="578">
                  <c:v>-150.76692966975378</c:v>
                </c:pt>
                <c:pt idx="579">
                  <c:v>-154.9645090941514</c:v>
                </c:pt>
                <c:pt idx="580">
                  <c:v>-159.25751175910068</c:v>
                </c:pt>
                <c:pt idx="581">
                  <c:v>-163.61514306676037</c:v>
                </c:pt>
                <c:pt idx="582">
                  <c:v>-168.01486840499038</c:v>
                </c:pt>
                <c:pt idx="583">
                  <c:v>-172.42843150935391</c:v>
                </c:pt>
                <c:pt idx="584">
                  <c:v>-176.83535286902878</c:v>
                </c:pt>
                <c:pt idx="585">
                  <c:v>-181.21129418682347</c:v>
                </c:pt>
                <c:pt idx="586">
                  <c:v>-185.53771061924624</c:v>
                </c:pt>
                <c:pt idx="587">
                  <c:v>-189.80067125563951</c:v>
                </c:pt>
                <c:pt idx="588">
                  <c:v>-193.98302414822979</c:v>
                </c:pt>
                <c:pt idx="589">
                  <c:v>-198.07802812809649</c:v>
                </c:pt>
                <c:pt idx="590">
                  <c:v>-202.07651017538859</c:v>
                </c:pt>
                <c:pt idx="591">
                  <c:v>-205.97313377455154</c:v>
                </c:pt>
                <c:pt idx="592">
                  <c:v>-209.76285225303107</c:v>
                </c:pt>
                <c:pt idx="593">
                  <c:v>-213.44267813214603</c:v>
                </c:pt>
                <c:pt idx="594">
                  <c:v>-217.00737235431163</c:v>
                </c:pt>
                <c:pt idx="595">
                  <c:v>-220.45289278005833</c:v>
                </c:pt>
                <c:pt idx="596">
                  <c:v>-223.77319118797013</c:v>
                </c:pt>
                <c:pt idx="597">
                  <c:v>-226.96321136955876</c:v>
                </c:pt>
                <c:pt idx="598">
                  <c:v>-230.01635709820741</c:v>
                </c:pt>
                <c:pt idx="599">
                  <c:v>-232.92801325773817</c:v>
                </c:pt>
                <c:pt idx="600">
                  <c:v>-235.69319929771518</c:v>
                </c:pt>
              </c:numCache>
            </c:numRef>
          </c:yVal>
          <c:smooth val="0"/>
          <c:extLst>
            <c:ext xmlns:c16="http://schemas.microsoft.com/office/drawing/2014/chart" uri="{C3380CC4-5D6E-409C-BE32-E72D297353CC}">
              <c16:uniqueId val="{00000001-C921-4838-A0BE-4B6A27AAB705}"/>
            </c:ext>
          </c:extLst>
        </c:ser>
        <c:dLbls>
          <c:showLegendKey val="0"/>
          <c:showVal val="0"/>
          <c:showCatName val="0"/>
          <c:showSerName val="0"/>
          <c:showPercent val="0"/>
          <c:showBubbleSize val="0"/>
        </c:dLbls>
        <c:axId val="182174464"/>
        <c:axId val="182176000"/>
      </c:scatterChart>
      <c:valAx>
        <c:axId val="182162176"/>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164096"/>
        <c:crossesAt val="-40"/>
        <c:crossBetween val="midCat"/>
        <c:majorUnit val="10"/>
        <c:minorUnit val="10"/>
      </c:valAx>
      <c:valAx>
        <c:axId val="182164096"/>
        <c:scaling>
          <c:orientation val="minMax"/>
          <c:max val="10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2162176"/>
        <c:crossesAt val="0.1"/>
        <c:crossBetween val="midCat"/>
        <c:majorUnit val="20"/>
        <c:minorUnit val="4"/>
      </c:valAx>
      <c:valAx>
        <c:axId val="182174464"/>
        <c:scaling>
          <c:logBase val="10"/>
          <c:orientation val="minMax"/>
        </c:scaling>
        <c:delete val="1"/>
        <c:axPos val="t"/>
        <c:numFmt formatCode="General" sourceLinked="1"/>
        <c:majorTickMark val="out"/>
        <c:minorTickMark val="none"/>
        <c:tickLblPos val="none"/>
        <c:crossAx val="182176000"/>
        <c:crossesAt val="0"/>
        <c:crossBetween val="midCat"/>
      </c:valAx>
      <c:valAx>
        <c:axId val="18217600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217446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Ch2 Bode Plot</a:t>
            </a:r>
          </a:p>
        </c:rich>
      </c:tx>
      <c:layout>
        <c:manualLayout>
          <c:xMode val="edge"/>
          <c:yMode val="edge"/>
          <c:x val="0.35617103984450921"/>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'Ch2 Stability Calculations'!$Q$12</c:f>
              <c:strCache>
                <c:ptCount val="1"/>
                <c:pt idx="0">
                  <c:v>Gain (dB)</c:v>
                </c:pt>
              </c:strCache>
            </c:strRef>
          </c:tx>
          <c:spPr>
            <a:ln w="2540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85.978649500916106</c:v>
                </c:pt>
                <c:pt idx="1">
                  <c:v>85.240385683627295</c:v>
                </c:pt>
                <c:pt idx="2">
                  <c:v>84.492459759792311</c:v>
                </c:pt>
                <c:pt idx="3">
                  <c:v>83.736282993940364</c:v>
                </c:pt>
                <c:pt idx="4">
                  <c:v>82.973584865358418</c:v>
                </c:pt>
                <c:pt idx="5">
                  <c:v>82.204154292526482</c:v>
                </c:pt>
                <c:pt idx="6">
                  <c:v>81.429989999376659</c:v>
                </c:pt>
                <c:pt idx="7">
                  <c:v>80.651361571412423</c:v>
                </c:pt>
                <c:pt idx="8">
                  <c:v>79.869499244132697</c:v>
                </c:pt>
                <c:pt idx="9">
                  <c:v>79.084371931614768</c:v>
                </c:pt>
                <c:pt idx="10">
                  <c:v>78.296903025903262</c:v>
                </c:pt>
                <c:pt idx="11">
                  <c:v>77.507378444453522</c:v>
                </c:pt>
                <c:pt idx="12">
                  <c:v>76.71571180795641</c:v>
                </c:pt>
                <c:pt idx="13">
                  <c:v>75.922940918357128</c:v>
                </c:pt>
                <c:pt idx="14">
                  <c:v>75.128663497441252</c:v>
                </c:pt>
                <c:pt idx="15">
                  <c:v>74.333374446974105</c:v>
                </c:pt>
                <c:pt idx="16">
                  <c:v>73.53716506771714</c:v>
                </c:pt>
                <c:pt idx="17">
                  <c:v>72.740274224746827</c:v>
                </c:pt>
                <c:pt idx="18">
                  <c:v>71.942570031474844</c:v>
                </c:pt>
                <c:pt idx="19">
                  <c:v>71.144343472322689</c:v>
                </c:pt>
                <c:pt idx="20">
                  <c:v>70.345491676223176</c:v>
                </c:pt>
                <c:pt idx="21">
                  <c:v>69.546215325436592</c:v>
                </c:pt>
                <c:pt idx="22">
                  <c:v>68.746364260627104</c:v>
                </c:pt>
                <c:pt idx="23">
                  <c:v>67.94614065591378</c:v>
                </c:pt>
                <c:pt idx="24">
                  <c:v>67.145329060981553</c:v>
                </c:pt>
                <c:pt idx="25">
                  <c:v>66.344025250247469</c:v>
                </c:pt>
                <c:pt idx="26">
                  <c:v>65.54199714207067</c:v>
                </c:pt>
                <c:pt idx="27">
                  <c:v>64.739436239780744</c:v>
                </c:pt>
                <c:pt idx="28">
                  <c:v>63.936227316942734</c:v>
                </c:pt>
                <c:pt idx="29">
                  <c:v>63.132763052732706</c:v>
                </c:pt>
                <c:pt idx="30">
                  <c:v>62.327550941995852</c:v>
                </c:pt>
                <c:pt idx="31">
                  <c:v>61.521551413569959</c:v>
                </c:pt>
                <c:pt idx="32">
                  <c:v>60.71401854511101</c:v>
                </c:pt>
                <c:pt idx="33">
                  <c:v>59.905287446693983</c:v>
                </c:pt>
                <c:pt idx="34">
                  <c:v>59.094445562479194</c:v>
                </c:pt>
                <c:pt idx="35">
                  <c:v>58.281603268775335</c:v>
                </c:pt>
                <c:pt idx="36">
                  <c:v>57.466225392049218</c:v>
                </c:pt>
                <c:pt idx="37">
                  <c:v>56.647382318020931</c:v>
                </c:pt>
                <c:pt idx="38">
                  <c:v>55.82527617737852</c:v>
                </c:pt>
                <c:pt idx="39">
                  <c:v>54.998565315728733</c:v>
                </c:pt>
                <c:pt idx="40">
                  <c:v>54.166764005490478</c:v>
                </c:pt>
                <c:pt idx="41">
                  <c:v>53.328873162001429</c:v>
                </c:pt>
                <c:pt idx="42">
                  <c:v>52.483936395356722</c:v>
                </c:pt>
                <c:pt idx="43">
                  <c:v>51.630474278524787</c:v>
                </c:pt>
                <c:pt idx="44">
                  <c:v>50.767315687084043</c:v>
                </c:pt>
                <c:pt idx="45">
                  <c:v>49.892718668937221</c:v>
                </c:pt>
                <c:pt idx="46">
                  <c:v>49.005126265373413</c:v>
                </c:pt>
                <c:pt idx="47">
                  <c:v>48.102462732621909</c:v>
                </c:pt>
                <c:pt idx="48">
                  <c:v>47.18294607018273</c:v>
                </c:pt>
                <c:pt idx="49">
                  <c:v>46.244264011382803</c:v>
                </c:pt>
                <c:pt idx="50">
                  <c:v>45.28447642606114</c:v>
                </c:pt>
                <c:pt idx="51">
                  <c:v>44.301355788244194</c:v>
                </c:pt>
                <c:pt idx="52">
                  <c:v>43.293408181606608</c:v>
                </c:pt>
                <c:pt idx="53">
                  <c:v>42.259117226767799</c:v>
                </c:pt>
                <c:pt idx="54">
                  <c:v>41.198124522134876</c:v>
                </c:pt>
                <c:pt idx="55">
                  <c:v>40.108171098874401</c:v>
                </c:pt>
                <c:pt idx="56">
                  <c:v>38.990994993370549</c:v>
                </c:pt>
                <c:pt idx="57">
                  <c:v>37.846859122795578</c:v>
                </c:pt>
                <c:pt idx="58">
                  <c:v>36.678417984381383</c:v>
                </c:pt>
                <c:pt idx="59">
                  <c:v>35.487422332794864</c:v>
                </c:pt>
                <c:pt idx="60">
                  <c:v>34.277948676224248</c:v>
                </c:pt>
                <c:pt idx="61">
                  <c:v>33.053894984872997</c:v>
                </c:pt>
                <c:pt idx="62">
                  <c:v>31.81920284978013</c:v>
                </c:pt>
                <c:pt idx="63">
                  <c:v>30.58002413635699</c:v>
                </c:pt>
                <c:pt idx="64">
                  <c:v>29.340526808284096</c:v>
                </c:pt>
                <c:pt idx="65">
                  <c:v>28.106341900122572</c:v>
                </c:pt>
                <c:pt idx="66">
                  <c:v>26.882332673212378</c:v>
                </c:pt>
                <c:pt idx="67">
                  <c:v>25.673261245896001</c:v>
                </c:pt>
                <c:pt idx="68">
                  <c:v>24.482833726348762</c:v>
                </c:pt>
                <c:pt idx="69">
                  <c:v>23.314759941760315</c:v>
                </c:pt>
                <c:pt idx="70">
                  <c:v>22.171431923333603</c:v>
                </c:pt>
                <c:pt idx="71">
                  <c:v>21.054893079301525</c:v>
                </c:pt>
                <c:pt idx="72">
                  <c:v>19.965898954598625</c:v>
                </c:pt>
                <c:pt idx="73">
                  <c:v>18.904938795981042</c:v>
                </c:pt>
                <c:pt idx="74">
                  <c:v>17.871273621067793</c:v>
                </c:pt>
                <c:pt idx="75">
                  <c:v>16.86402217797626</c:v>
                </c:pt>
                <c:pt idx="76">
                  <c:v>15.88146330715583</c:v>
                </c:pt>
                <c:pt idx="77">
                  <c:v>14.922104163544994</c:v>
                </c:pt>
                <c:pt idx="78">
                  <c:v>13.98390097621286</c:v>
                </c:pt>
                <c:pt idx="79">
                  <c:v>13.06533280803526</c:v>
                </c:pt>
                <c:pt idx="80">
                  <c:v>12.16277963461711</c:v>
                </c:pt>
                <c:pt idx="81">
                  <c:v>11.275516889466575</c:v>
                </c:pt>
                <c:pt idx="82">
                  <c:v>10.401059690962725</c:v>
                </c:pt>
                <c:pt idx="83">
                  <c:v>9.5383002880237377</c:v>
                </c:pt>
                <c:pt idx="84">
                  <c:v>8.6850096714879896</c:v>
                </c:pt>
                <c:pt idx="85">
                  <c:v>7.8402785123549119</c:v>
                </c:pt>
                <c:pt idx="86">
                  <c:v>7.0027492672962053</c:v>
                </c:pt>
                <c:pt idx="87">
                  <c:v>6.1709071197871435</c:v>
                </c:pt>
                <c:pt idx="88">
                  <c:v>5.3446214547745168</c:v>
                </c:pt>
                <c:pt idx="89">
                  <c:v>4.5224332972462467</c:v>
                </c:pt>
                <c:pt idx="90">
                  <c:v>3.7039797946956328</c:v>
                </c:pt>
                <c:pt idx="91">
                  <c:v>2.888617165888689</c:v>
                </c:pt>
                <c:pt idx="92">
                  <c:v>2.0759734838571324</c:v>
                </c:pt>
                <c:pt idx="93">
                  <c:v>1.265403450838118</c:v>
                </c:pt>
                <c:pt idx="94">
                  <c:v>1.0631470710955853</c:v>
                </c:pt>
                <c:pt idx="95">
                  <c:v>0.96143519592204807</c:v>
                </c:pt>
                <c:pt idx="96">
                  <c:v>0.86091482480144377</c:v>
                </c:pt>
                <c:pt idx="97">
                  <c:v>0.75926849517554995</c:v>
                </c:pt>
                <c:pt idx="98">
                  <c:v>0.65881169411808704</c:v>
                </c:pt>
                <c:pt idx="99">
                  <c:v>0.55720318160277382</c:v>
                </c:pt>
                <c:pt idx="100">
                  <c:v>0.45678289266947858</c:v>
                </c:pt>
                <c:pt idx="101">
                  <c:v>0.35526341646077786</c:v>
                </c:pt>
                <c:pt idx="102">
                  <c:v>0.25492969333162924</c:v>
                </c:pt>
                <c:pt idx="103">
                  <c:v>0.15339972394598178</c:v>
                </c:pt>
                <c:pt idx="104">
                  <c:v>5.3055372928910591E-2</c:v>
                </c:pt>
                <c:pt idx="105">
                  <c:v>-4.8430684509550813E-2</c:v>
                </c:pt>
                <c:pt idx="106">
                  <c:v>-0.14873249873631555</c:v>
                </c:pt>
                <c:pt idx="107">
                  <c:v>-0.25012399774972915</c:v>
                </c:pt>
                <c:pt idx="108">
                  <c:v>-0.35033377957567746</c:v>
                </c:pt>
                <c:pt idx="109">
                  <c:v>-0.45165221363222735</c:v>
                </c:pt>
                <c:pt idx="110">
                  <c:v>-0.55179093405500046</c:v>
                </c:pt>
                <c:pt idx="111">
                  <c:v>-0.6531218247748628</c:v>
                </c:pt>
                <c:pt idx="112">
                  <c:v>-0.75327300328230362</c:v>
                </c:pt>
                <c:pt idx="113">
                  <c:v>-0.85456207526407602</c:v>
                </c:pt>
                <c:pt idx="114">
                  <c:v>-0.95467267172959769</c:v>
                </c:pt>
                <c:pt idx="115">
                  <c:v>-1.0559332961655101</c:v>
                </c:pt>
                <c:pt idx="116">
                  <c:v>-1.156016351282724</c:v>
                </c:pt>
                <c:pt idx="117">
                  <c:v>-1.2572595412921928</c:v>
                </c:pt>
                <c:pt idx="118">
                  <c:v>-1.357325792989853</c:v>
                </c:pt>
                <c:pt idx="119">
                  <c:v>-1.4584993853628438</c:v>
                </c:pt>
                <c:pt idx="120">
                  <c:v>-1.5584978552735487</c:v>
                </c:pt>
                <c:pt idx="121">
                  <c:v>-1.6596128938788643</c:v>
                </c:pt>
                <c:pt idx="122">
                  <c:v>-1.7595543496601154</c:v>
                </c:pt>
                <c:pt idx="123">
                  <c:v>-1.8606780355259986</c:v>
                </c:pt>
                <c:pt idx="124">
                  <c:v>-1.9606281073276373</c:v>
                </c:pt>
                <c:pt idx="125">
                  <c:v>-2.0617066343630168</c:v>
                </c:pt>
                <c:pt idx="126">
                  <c:v>-2.1616127382216805</c:v>
                </c:pt>
                <c:pt idx="127">
                  <c:v>-2.2626515431340191</c:v>
                </c:pt>
                <c:pt idx="128">
                  <c:v>-2.3625189706537366</c:v>
                </c:pt>
                <c:pt idx="129">
                  <c:v>-2.4635218774792351</c:v>
                </c:pt>
                <c:pt idx="130">
                  <c:v>-2.5633543451293592</c:v>
                </c:pt>
                <c:pt idx="131">
                  <c:v>-2.6643236972795012</c:v>
                </c:pt>
                <c:pt idx="132">
                  <c:v>-2.7143680845922722</c:v>
                </c:pt>
                <c:pt idx="133">
                  <c:v>-2.7641234752773105</c:v>
                </c:pt>
                <c:pt idx="134">
                  <c:v>-2.8147657270766242</c:v>
                </c:pt>
                <c:pt idx="135">
                  <c:v>-2.8651120656192974</c:v>
                </c:pt>
                <c:pt idx="136">
                  <c:v>-2.9151659331725992</c:v>
                </c:pt>
                <c:pt idx="137">
                  <c:v>-2.9649307119739361</c:v>
                </c:pt>
                <c:pt idx="138">
                  <c:v>-3.0155297962075354</c:v>
                </c:pt>
                <c:pt idx="139">
                  <c:v>-3.0658334850383397</c:v>
                </c:pt>
                <c:pt idx="140">
                  <c:v>-3.1158452104685703</c:v>
                </c:pt>
                <c:pt idx="141">
                  <c:v>-3.1655683447294143</c:v>
                </c:pt>
                <c:pt idx="142">
                  <c:v>-3.2161751064888886</c:v>
                </c:pt>
                <c:pt idx="143">
                  <c:v>-3.2664863937863315</c:v>
                </c:pt>
                <c:pt idx="144">
                  <c:v>-3.3165056387650704</c:v>
                </c:pt>
                <c:pt idx="145">
                  <c:v>-3.3662362138143549</c:v>
                </c:pt>
                <c:pt idx="146">
                  <c:v>-3.4168234325273223</c:v>
                </c:pt>
                <c:pt idx="147">
                  <c:v>-3.4671154098656558</c:v>
                </c:pt>
                <c:pt idx="148">
                  <c:v>-3.5171155727171572</c:v>
                </c:pt>
                <c:pt idx="149">
                  <c:v>-3.5668272883566061</c:v>
                </c:pt>
                <c:pt idx="150">
                  <c:v>-3.6173933303025603</c:v>
                </c:pt>
                <c:pt idx="151">
                  <c:v>-3.6676643781281184</c:v>
                </c:pt>
                <c:pt idx="152">
                  <c:v>-3.7176438532471439</c:v>
                </c:pt>
                <c:pt idx="153">
                  <c:v>-3.7673351176056897</c:v>
                </c:pt>
                <c:pt idx="154">
                  <c:v>-3.8179011190343997</c:v>
                </c:pt>
                <c:pt idx="155">
                  <c:v>-3.8681721228911075</c:v>
                </c:pt>
                <c:pt idx="156">
                  <c:v>-3.9181515494878303</c:v>
                </c:pt>
                <c:pt idx="157">
                  <c:v>-3.9678427597122368</c:v>
                </c:pt>
                <c:pt idx="158">
                  <c:v>-4.0184046878542246</c:v>
                </c:pt>
                <c:pt idx="159">
                  <c:v>-4.0686716570963197</c:v>
                </c:pt>
                <c:pt idx="160">
                  <c:v>-4.1186470859370781</c:v>
                </c:pt>
                <c:pt idx="161">
                  <c:v>-4.1683343335098408</c:v>
                </c:pt>
                <c:pt idx="162">
                  <c:v>-4.2188657558265596</c:v>
                </c:pt>
                <c:pt idx="163">
                  <c:v>-4.2691025604921284</c:v>
                </c:pt>
                <c:pt idx="164">
                  <c:v>-4.319048158967508</c:v>
                </c:pt>
                <c:pt idx="165">
                  <c:v>-4.3687059035274496</c:v>
                </c:pt>
                <c:pt idx="166">
                  <c:v>-4.4192470794996233</c:v>
                </c:pt>
                <c:pt idx="167">
                  <c:v>-4.4694935060061578</c:v>
                </c:pt>
                <c:pt idx="168">
                  <c:v>-4.519448595681367</c:v>
                </c:pt>
                <c:pt idx="169">
                  <c:v>-4.5691157019622306</c:v>
                </c:pt>
                <c:pt idx="170">
                  <c:v>-4.6195547328869093</c:v>
                </c:pt>
                <c:pt idx="171">
                  <c:v>-4.66970017784997</c:v>
                </c:pt>
                <c:pt idx="172">
                  <c:v>-4.7195554282672934</c:v>
                </c:pt>
                <c:pt idx="173">
                  <c:v>-4.7691238168613896</c:v>
                </c:pt>
                <c:pt idx="174">
                  <c:v>-4.8196474564823877</c:v>
                </c:pt>
                <c:pt idx="175">
                  <c:v>-4.8698764989740271</c:v>
                </c:pt>
                <c:pt idx="176">
                  <c:v>-4.9198143521534057</c:v>
                </c:pt>
                <c:pt idx="177">
                  <c:v>-4.9694643647812535</c:v>
                </c:pt>
                <c:pt idx="178">
                  <c:v>-5.0200401757792026</c:v>
                </c:pt>
                <c:pt idx="179">
                  <c:v>-5.0703207492493245</c:v>
                </c:pt>
                <c:pt idx="180">
                  <c:v>-5.1203095030140853</c:v>
                </c:pt>
                <c:pt idx="181">
                  <c:v>-5.1700097956231179</c:v>
                </c:pt>
                <c:pt idx="182">
                  <c:v>-5.2204103440980933</c:v>
                </c:pt>
                <c:pt idx="183">
                  <c:v>-5.2705176534163236</c:v>
                </c:pt>
                <c:pt idx="184">
                  <c:v>-5.3203351057953121</c:v>
                </c:pt>
                <c:pt idx="185">
                  <c:v>-5.369866025012656</c:v>
                </c:pt>
                <c:pt idx="186">
                  <c:v>-5.4204616101264467</c:v>
                </c:pt>
                <c:pt idx="187">
                  <c:v>-5.4707616449666743</c:v>
                </c:pt>
                <c:pt idx="188">
                  <c:v>-5.5207695506286534</c:v>
                </c:pt>
                <c:pt idx="189">
                  <c:v>-5.5704886888860425</c:v>
                </c:pt>
                <c:pt idx="190">
                  <c:v>-5.620862999764924</c:v>
                </c:pt>
                <c:pt idx="191">
                  <c:v>-5.6709442834582031</c:v>
                </c:pt>
                <c:pt idx="192">
                  <c:v>-5.7207359164183211</c:v>
                </c:pt>
                <c:pt idx="193">
                  <c:v>-5.7702412168152968</c:v>
                </c:pt>
                <c:pt idx="194">
                  <c:v>-5.8207501375880106</c:v>
                </c:pt>
                <c:pt idx="195">
                  <c:v>-5.8709644131018681</c:v>
                </c:pt>
                <c:pt idx="196">
                  <c:v>-5.9208874466737758</c:v>
                </c:pt>
                <c:pt idx="197">
                  <c:v>-5.9705225827328317</c:v>
                </c:pt>
                <c:pt idx="198">
                  <c:v>-6.0209506166662141</c:v>
                </c:pt>
                <c:pt idx="199">
                  <c:v>-6.0710848855410324</c:v>
                </c:pt>
                <c:pt idx="200">
                  <c:v>-6.1209287764217759</c:v>
                </c:pt>
                <c:pt idx="201">
                  <c:v>-6.1704856178700105</c:v>
                </c:pt>
                <c:pt idx="202">
                  <c:v>-6.2208114508246934</c:v>
                </c:pt>
                <c:pt idx="203">
                  <c:v>-6.2708446394116191</c:v>
                </c:pt>
                <c:pt idx="204">
                  <c:v>-6.3205885503341888</c:v>
                </c:pt>
                <c:pt idx="205">
                  <c:v>-6.3700464922707631</c:v>
                </c:pt>
                <c:pt idx="206">
                  <c:v>-6.4204217892772437</c:v>
                </c:pt>
                <c:pt idx="207">
                  <c:v>-6.47050379675174</c:v>
                </c:pt>
                <c:pt idx="208">
                  <c:v>-6.5202958914438476</c:v>
                </c:pt>
                <c:pt idx="209">
                  <c:v>-6.5698013918581442</c:v>
                </c:pt>
                <c:pt idx="210">
                  <c:v>-6.6203635664368985</c:v>
                </c:pt>
                <c:pt idx="211">
                  <c:v>-6.6706301997625692</c:v>
                </c:pt>
                <c:pt idx="212">
                  <c:v>-6.7206047063503105</c:v>
                </c:pt>
                <c:pt idx="213">
                  <c:v>-6.770290441612687</c:v>
                </c:pt>
                <c:pt idx="214">
                  <c:v>-6.8206725463506492</c:v>
                </c:pt>
                <c:pt idx="215">
                  <c:v>-6.8707611211726771</c:v>
                </c:pt>
                <c:pt idx="216">
                  <c:v>-6.9205595448130532</c:v>
                </c:pt>
                <c:pt idx="217">
                  <c:v>-6.970071137734978</c:v>
                </c:pt>
                <c:pt idx="218">
                  <c:v>-7.0204183453555</c:v>
                </c:pt>
                <c:pt idx="219">
                  <c:v>-7.0704723384280497</c:v>
                </c:pt>
                <c:pt idx="220">
                  <c:v>-7.1202364891678336</c:v>
                </c:pt>
                <c:pt idx="221">
                  <c:v>-7.169714111677445</c:v>
                </c:pt>
                <c:pt idx="222">
                  <c:v>-7.2200019494726106</c:v>
                </c:pt>
                <c:pt idx="223">
                  <c:v>-7.2699971655743747</c:v>
                </c:pt>
                <c:pt idx="224">
                  <c:v>-7.319703120903867</c:v>
                </c:pt>
                <c:pt idx="225">
                  <c:v>-7.3691231185367929</c:v>
                </c:pt>
                <c:pt idx="226">
                  <c:v>-7.419481427243384</c:v>
                </c:pt>
                <c:pt idx="227">
                  <c:v>-7.4695461926328202</c:v>
                </c:pt>
                <c:pt idx="228">
                  <c:v>-7.5193207903482193</c:v>
                </c:pt>
                <c:pt idx="229">
                  <c:v>-7.5688085378584375</c:v>
                </c:pt>
                <c:pt idx="230">
                  <c:v>-7.6693086465285276</c:v>
                </c:pt>
                <c:pt idx="231">
                  <c:v>-7.7191209272508683</c:v>
                </c:pt>
                <c:pt idx="232">
                  <c:v>-7.7686458127568416</c:v>
                </c:pt>
                <c:pt idx="233">
                  <c:v>-7.8190520658902365</c:v>
                </c:pt>
                <c:pt idx="234">
                  <c:v>-7.8691639892091017</c:v>
                </c:pt>
                <c:pt idx="235">
                  <c:v>-7.9189849695754493</c:v>
                </c:pt>
                <c:pt idx="236">
                  <c:v>-7.9685183354353395</c:v>
                </c:pt>
                <c:pt idx="237">
                  <c:v>-8.0187636930285819</c:v>
                </c:pt>
                <c:pt idx="238">
                  <c:v>-8.0687164663956139</c:v>
                </c:pt>
                <c:pt idx="239">
                  <c:v>-8.1183800112170559</c:v>
                </c:pt>
                <c:pt idx="240">
                  <c:v>-8.1677576254786164</c:v>
                </c:pt>
                <c:pt idx="241">
                  <c:v>-8.218104140767192</c:v>
                </c:pt>
                <c:pt idx="242">
                  <c:v>-8.2681567628541774</c:v>
                </c:pt>
                <c:pt idx="243">
                  <c:v>-8.3179188686841847</c:v>
                </c:pt>
                <c:pt idx="244">
                  <c:v>-8.3673937770271642</c:v>
                </c:pt>
                <c:pt idx="245">
                  <c:v>-8.417671663229024</c:v>
                </c:pt>
                <c:pt idx="246">
                  <c:v>-8.4676563134676979</c:v>
                </c:pt>
                <c:pt idx="247">
                  <c:v>-8.5173510921572877</c:v>
                </c:pt>
                <c:pt idx="248">
                  <c:v>-8.5667593058304714</c:v>
                </c:pt>
                <c:pt idx="249">
                  <c:v>-8.6170788604313824</c:v>
                </c:pt>
                <c:pt idx="250">
                  <c:v>-8.6671045444601127</c:v>
                </c:pt>
                <c:pt idx="251">
                  <c:v>-8.7168397319501167</c:v>
                </c:pt>
                <c:pt idx="252">
                  <c:v>-8.7662877388394875</c:v>
                </c:pt>
                <c:pt idx="253">
                  <c:v>-8.8164892894187012</c:v>
                </c:pt>
                <c:pt idx="254">
                  <c:v>-8.8663981841761021</c:v>
                </c:pt>
                <c:pt idx="255">
                  <c:v>-8.9160177750029561</c:v>
                </c:pt>
                <c:pt idx="256">
                  <c:v>-8.965351356207286</c:v>
                </c:pt>
                <c:pt idx="257">
                  <c:v>-9.0156691831365023</c:v>
                </c:pt>
                <c:pt idx="258">
                  <c:v>-9.0656928332078195</c:v>
                </c:pt>
                <c:pt idx="259">
                  <c:v>-9.1154256830523543</c:v>
                </c:pt>
                <c:pt idx="260">
                  <c:v>-9.1648710511577498</c:v>
                </c:pt>
                <c:pt idx="261">
                  <c:v>-9.2151462200665772</c:v>
                </c:pt>
                <c:pt idx="262">
                  <c:v>-9.2651275318809372</c:v>
                </c:pt>
                <c:pt idx="263">
                  <c:v>-9.3148183563534168</c:v>
                </c:pt>
                <c:pt idx="264">
                  <c:v>-9.3642220052557601</c:v>
                </c:pt>
                <c:pt idx="265">
                  <c:v>-9.4144300830480994</c:v>
                </c:pt>
                <c:pt idx="266">
                  <c:v>-9.4643448984673633</c:v>
                </c:pt>
                <c:pt idx="267">
                  <c:v>-9.5139698096422869</c:v>
                </c:pt>
                <c:pt idx="268">
                  <c:v>-9.5633081169914025</c:v>
                </c:pt>
                <c:pt idx="269">
                  <c:v>-9.6135444884955703</c:v>
                </c:pt>
                <c:pt idx="270">
                  <c:v>-9.663487070675739</c:v>
                </c:pt>
                <c:pt idx="271">
                  <c:v>-9.7131392292113024</c:v>
                </c:pt>
                <c:pt idx="272">
                  <c:v>-9.7625042719034809</c:v>
                </c:pt>
                <c:pt idx="273">
                  <c:v>-9.812739624671261</c:v>
                </c:pt>
                <c:pt idx="274">
                  <c:v>-9.8626809916615787</c:v>
                </c:pt>
                <c:pt idx="275">
                  <c:v>-9.9123317403895115</c:v>
                </c:pt>
                <c:pt idx="276">
                  <c:v>-9.9616951804543135</c:v>
                </c:pt>
                <c:pt idx="277">
                  <c:v>-10.011789356650286</c:v>
                </c:pt>
                <c:pt idx="278">
                  <c:v>-10.061590973909805</c:v>
                </c:pt>
                <c:pt idx="279">
                  <c:v>-10.111103373759441</c:v>
                </c:pt>
                <c:pt idx="280">
                  <c:v>-10.160329840407433</c:v>
                </c:pt>
                <c:pt idx="281">
                  <c:v>-10.210595489702746</c:v>
                </c:pt>
                <c:pt idx="282">
                  <c:v>-10.260566348040518</c:v>
                </c:pt>
                <c:pt idx="283">
                  <c:v>-10.3102457935031</c:v>
                </c:pt>
                <c:pt idx="284">
                  <c:v>-10.359637146023108</c:v>
                </c:pt>
                <c:pt idx="285">
                  <c:v>-10.409712155675205</c:v>
                </c:pt>
                <c:pt idx="286">
                  <c:v>-10.459494357007886</c:v>
                </c:pt>
                <c:pt idx="287">
                  <c:v>-10.508987092485505</c:v>
                </c:pt>
                <c:pt idx="288">
                  <c:v>-10.558193647239825</c:v>
                </c:pt>
                <c:pt idx="289">
                  <c:v>-10.608378791043753</c:v>
                </c:pt>
                <c:pt idx="290">
                  <c:v>-10.658269584602794</c:v>
                </c:pt>
                <c:pt idx="291">
                  <c:v>-10.707869394973075</c:v>
                </c:pt>
                <c:pt idx="292">
                  <c:v>-10.75718153131988</c:v>
                </c:pt>
                <c:pt idx="293">
                  <c:v>-10.807338902917618</c:v>
                </c:pt>
                <c:pt idx="294">
                  <c:v>-10.857201978903761</c:v>
                </c:pt>
                <c:pt idx="295">
                  <c:v>-10.906774123559245</c:v>
                </c:pt>
                <c:pt idx="296">
                  <c:v>-10.956058643340519</c:v>
                </c:pt>
                <c:pt idx="297">
                  <c:v>-11.006162308460167</c:v>
                </c:pt>
                <c:pt idx="298">
                  <c:v>-11.055972022326523</c:v>
                </c:pt>
                <c:pt idx="299">
                  <c:v>-11.105491141424293</c:v>
                </c:pt>
                <c:pt idx="300">
                  <c:v>-11.15472296459442</c:v>
                </c:pt>
                <c:pt idx="301">
                  <c:v>-11.204748727906681</c:v>
                </c:pt>
                <c:pt idx="302">
                  <c:v>-11.254481153192064</c:v>
                </c:pt>
                <c:pt idx="303">
                  <c:v>-11.303923584487631</c:v>
                </c:pt>
                <c:pt idx="304">
                  <c:v>-11.353079308473051</c:v>
                </c:pt>
                <c:pt idx="305">
                  <c:v>-11.403196082119054</c:v>
                </c:pt>
                <c:pt idx="306">
                  <c:v>-11.453018138483536</c:v>
                </c:pt>
                <c:pt idx="307">
                  <c:v>-11.502548843072123</c:v>
                </c:pt>
                <c:pt idx="308">
                  <c:v>-11.551791503544981</c:v>
                </c:pt>
                <c:pt idx="309">
                  <c:v>-11.601778009569991</c:v>
                </c:pt>
                <c:pt idx="310">
                  <c:v>-11.65147099478104</c:v>
                </c:pt>
                <c:pt idx="311">
                  <c:v>-11.70087380211587</c:v>
                </c:pt>
                <c:pt idx="312">
                  <c:v>-11.749989717183624</c:v>
                </c:pt>
                <c:pt idx="313">
                  <c:v>-11.800009483315048</c:v>
                </c:pt>
                <c:pt idx="314">
                  <c:v>-11.849734992718259</c:v>
                </c:pt>
                <c:pt idx="315">
                  <c:v>-11.899169598623997</c:v>
                </c:pt>
                <c:pt idx="316">
                  <c:v>-11.948316596701048</c:v>
                </c:pt>
                <c:pt idx="317">
                  <c:v>-11.99833918266137</c:v>
                </c:pt>
                <c:pt idx="318">
                  <c:v>-12.048067114090237</c:v>
                </c:pt>
                <c:pt idx="319">
                  <c:v>-12.097503748645249</c:v>
                </c:pt>
                <c:pt idx="320">
                  <c:v>-12.146652386322154</c:v>
                </c:pt>
                <c:pt idx="321">
                  <c:v>-12.196649277780512</c:v>
                </c:pt>
                <c:pt idx="322">
                  <c:v>-12.246351433017095</c:v>
                </c:pt>
                <c:pt idx="323">
                  <c:v>-12.295762208620314</c:v>
                </c:pt>
                <c:pt idx="324">
                  <c:v>-12.344884903541971</c:v>
                </c:pt>
                <c:pt idx="325">
                  <c:v>-12.39482942642403</c:v>
                </c:pt>
                <c:pt idx="326">
                  <c:v>-12.444479425955882</c:v>
                </c:pt>
                <c:pt idx="327">
                  <c:v>-12.493838252532225</c:v>
                </c:pt>
                <c:pt idx="328">
                  <c:v>-12.542909199052945</c:v>
                </c:pt>
                <c:pt idx="329">
                  <c:v>-12.59285957660193</c:v>
                </c:pt>
                <c:pt idx="330">
                  <c:v>-12.642514938655204</c:v>
                </c:pt>
                <c:pt idx="331">
                  <c:v>-12.691878641293812</c:v>
                </c:pt>
                <c:pt idx="332">
                  <c:v>-12.740953982974366</c:v>
                </c:pt>
                <c:pt idx="333">
                  <c:v>-12.790799954967246</c:v>
                </c:pt>
                <c:pt idx="334">
                  <c:v>-12.840351696393446</c:v>
                </c:pt>
                <c:pt idx="335">
                  <c:v>-12.889612547184583</c:v>
                </c:pt>
                <c:pt idx="336">
                  <c:v>-12.938585790016024</c:v>
                </c:pt>
                <c:pt idx="337">
                  <c:v>-12.988464462563648</c:v>
                </c:pt>
                <c:pt idx="338">
                  <c:v>-13.038048052867266</c:v>
                </c:pt>
                <c:pt idx="339">
                  <c:v>-13.087339912386335</c:v>
                </c:pt>
                <c:pt idx="340">
                  <c:v>-13.136343335060538</c:v>
                </c:pt>
                <c:pt idx="341">
                  <c:v>-13.18622359968054</c:v>
                </c:pt>
                <c:pt idx="342">
                  <c:v>-13.2358082718704</c:v>
                </c:pt>
                <c:pt idx="343">
                  <c:v>-13.285100708669146</c:v>
                </c:pt>
                <c:pt idx="344">
                  <c:v>-13.334104209467712</c:v>
                </c:pt>
                <c:pt idx="345">
                  <c:v>-13.383881240499173</c:v>
                </c:pt>
                <c:pt idx="346">
                  <c:v>-13.433363382897124</c:v>
                </c:pt>
                <c:pt idx="347">
                  <c:v>-13.482553978527337</c:v>
                </c:pt>
                <c:pt idx="348">
                  <c:v>-13.531456311952194</c:v>
                </c:pt>
                <c:pt idx="349">
                  <c:v>-13.581255865597665</c:v>
                </c:pt>
                <c:pt idx="350">
                  <c:v>-13.630759722786438</c:v>
                </c:pt>
                <c:pt idx="351">
                  <c:v>-13.679971235696659</c:v>
                </c:pt>
                <c:pt idx="352">
                  <c:v>-13.728893698966008</c:v>
                </c:pt>
                <c:pt idx="353">
                  <c:v>-13.778684909281992</c:v>
                </c:pt>
                <c:pt idx="354">
                  <c:v>-13.82817995165494</c:v>
                </c:pt>
                <c:pt idx="355">
                  <c:v>-13.877382182696994</c:v>
                </c:pt>
                <c:pt idx="356">
                  <c:v>-13.926294901376234</c:v>
                </c:pt>
                <c:pt idx="357">
                  <c:v>-13.975978355317888</c:v>
                </c:pt>
                <c:pt idx="358">
                  <c:v>-14.025366320574861</c:v>
                </c:pt>
                <c:pt idx="359">
                  <c:v>-14.074462138528661</c:v>
                </c:pt>
                <c:pt idx="360">
                  <c:v>-14.123269093261388</c:v>
                </c:pt>
                <c:pt idx="361">
                  <c:v>-14.172960248618754</c:v>
                </c:pt>
                <c:pt idx="362">
                  <c:v>-14.222355195556348</c:v>
                </c:pt>
                <c:pt idx="363">
                  <c:v>-14.271457283721467</c:v>
                </c:pt>
                <c:pt idx="364">
                  <c:v>-14.32026980527003</c:v>
                </c:pt>
                <c:pt idx="365">
                  <c:v>-14.369871128277209</c:v>
                </c:pt>
                <c:pt idx="366">
                  <c:v>-14.4191766504598</c:v>
                </c:pt>
                <c:pt idx="367">
                  <c:v>-14.468189710474189</c:v>
                </c:pt>
                <c:pt idx="368">
                  <c:v>-14.516913589732086</c:v>
                </c:pt>
                <c:pt idx="369">
                  <c:v>-14.566532581503349</c:v>
                </c:pt>
                <c:pt idx="370">
                  <c:v>-14.615854868227903</c:v>
                </c:pt>
                <c:pt idx="371">
                  <c:v>-14.664883799519725</c:v>
                </c:pt>
                <c:pt idx="372">
                  <c:v>-14.713622667493544</c:v>
                </c:pt>
                <c:pt idx="373">
                  <c:v>-14.763163846540998</c:v>
                </c:pt>
                <c:pt idx="374">
                  <c:v>-14.812408518710081</c:v>
                </c:pt>
                <c:pt idx="375">
                  <c:v>-14.861360025738019</c:v>
                </c:pt>
                <c:pt idx="376">
                  <c:v>-14.910021652037184</c:v>
                </c:pt>
                <c:pt idx="377">
                  <c:v>-14.959585154057908</c:v>
                </c:pt>
                <c:pt idx="378">
                  <c:v>-15.008851114667278</c:v>
                </c:pt>
                <c:pt idx="379">
                  <c:v>-15.057822888275689</c:v>
                </c:pt>
                <c:pt idx="380">
                  <c:v>-15.106503771673349</c:v>
                </c:pt>
                <c:pt idx="381">
                  <c:v>-15.155935240848002</c:v>
                </c:pt>
                <c:pt idx="382">
                  <c:v>-15.205069941948857</c:v>
                </c:pt>
                <c:pt idx="383">
                  <c:v>-15.253911211350783</c:v>
                </c:pt>
                <c:pt idx="384">
                  <c:v>-15.302462328213158</c:v>
                </c:pt>
                <c:pt idx="385">
                  <c:v>-15.35191903790386</c:v>
                </c:pt>
                <c:pt idx="386">
                  <c:v>-15.401077829148711</c:v>
                </c:pt>
                <c:pt idx="387">
                  <c:v>-15.449942052402829</c:v>
                </c:pt>
                <c:pt idx="388">
                  <c:v>-15.498515000576866</c:v>
                </c:pt>
                <c:pt idx="389">
                  <c:v>-15.547905877686478</c:v>
                </c:pt>
                <c:pt idx="390">
                  <c:v>-15.596998734414649</c:v>
                </c:pt>
                <c:pt idx="391">
                  <c:v>-15.64579691737322</c:v>
                </c:pt>
                <c:pt idx="392">
                  <c:v>-15.694303715708626</c:v>
                </c:pt>
                <c:pt idx="393">
                  <c:v>-15.743602003383367</c:v>
                </c:pt>
                <c:pt idx="394">
                  <c:v>-15.792602447307322</c:v>
                </c:pt>
                <c:pt idx="395">
                  <c:v>-15.841308385292539</c:v>
                </c:pt>
                <c:pt idx="396">
                  <c:v>-15.889723097876796</c:v>
                </c:pt>
                <c:pt idx="397">
                  <c:v>-15.939014649649145</c:v>
                </c:pt>
                <c:pt idx="398">
                  <c:v>-15.988007452422114</c:v>
                </c:pt>
                <c:pt idx="399">
                  <c:v>-16.036704853034514</c:v>
                </c:pt>
                <c:pt idx="400">
                  <c:v>-16.08511014083409</c:v>
                </c:pt>
                <c:pt idx="401">
                  <c:v>-16.134309388892543</c:v>
                </c:pt>
                <c:pt idx="402">
                  <c:v>-16.183209965638191</c:v>
                </c:pt>
                <c:pt idx="403">
                  <c:v>-16.231815210132439</c:v>
                </c:pt>
                <c:pt idx="404">
                  <c:v>-16.280128404111135</c:v>
                </c:pt>
                <c:pt idx="405">
                  <c:v>-16.329262521485738</c:v>
                </c:pt>
                <c:pt idx="406">
                  <c:v>-16.378097665366059</c:v>
                </c:pt>
                <c:pt idx="407">
                  <c:v>-16.426637173050501</c:v>
                </c:pt>
                <c:pt idx="408">
                  <c:v>-16.474884324538891</c:v>
                </c:pt>
                <c:pt idx="409">
                  <c:v>-16.523977019847898</c:v>
                </c:pt>
                <c:pt idx="410">
                  <c:v>-16.572770095871356</c:v>
                </c:pt>
                <c:pt idx="411">
                  <c:v>-16.621266893500838</c:v>
                </c:pt>
                <c:pt idx="412">
                  <c:v>-16.669470696232565</c:v>
                </c:pt>
                <c:pt idx="413">
                  <c:v>-16.718492077752824</c:v>
                </c:pt>
                <c:pt idx="414">
                  <c:v>-16.767213498587669</c:v>
                </c:pt>
                <c:pt idx="415">
                  <c:v>-16.815638297739188</c:v>
                </c:pt>
                <c:pt idx="416">
                  <c:v>-16.863769756840959</c:v>
                </c:pt>
                <c:pt idx="417">
                  <c:v>-16.912740824289774</c:v>
                </c:pt>
                <c:pt idx="418">
                  <c:v>-16.961411271198262</c:v>
                </c:pt>
                <c:pt idx="419">
                  <c:v>-17.009784439552035</c:v>
                </c:pt>
                <c:pt idx="420">
                  <c:v>-17.057863613881938</c:v>
                </c:pt>
                <c:pt idx="421">
                  <c:v>-17.106706449057839</c:v>
                </c:pt>
                <c:pt idx="422">
                  <c:v>-17.155248893307199</c:v>
                </c:pt>
                <c:pt idx="423">
                  <c:v>-17.20349427637839</c:v>
                </c:pt>
                <c:pt idx="424">
                  <c:v>-17.25144587082481</c:v>
                </c:pt>
                <c:pt idx="425">
                  <c:v>-17.300276018777431</c:v>
                </c:pt>
                <c:pt idx="426">
                  <c:v>-17.348804519308281</c:v>
                </c:pt>
                <c:pt idx="427">
                  <c:v>-17.397034714103551</c:v>
                </c:pt>
                <c:pt idx="428">
                  <c:v>-17.44496988735969</c:v>
                </c:pt>
                <c:pt idx="429">
                  <c:v>-17.493708257716566</c:v>
                </c:pt>
                <c:pt idx="430">
                  <c:v>-17.54214462176985</c:v>
                </c:pt>
                <c:pt idx="431">
                  <c:v>-17.590282317740797</c:v>
                </c:pt>
                <c:pt idx="432">
                  <c:v>-17.638124626416047</c:v>
                </c:pt>
                <c:pt idx="433">
                  <c:v>-17.686742983603633</c:v>
                </c:pt>
                <c:pt idx="434">
                  <c:v>-17.735059249976526</c:v>
                </c:pt>
                <c:pt idx="435">
                  <c:v>-17.783076755238845</c:v>
                </c:pt>
                <c:pt idx="436">
                  <c:v>-17.830798771828341</c:v>
                </c:pt>
                <c:pt idx="437">
                  <c:v>-17.879357360669164</c:v>
                </c:pt>
                <c:pt idx="438">
                  <c:v>-17.927612947402686</c:v>
                </c:pt>
                <c:pt idx="439">
                  <c:v>-17.975568866281055</c:v>
                </c:pt>
                <c:pt idx="440">
                  <c:v>-18.023228394156813</c:v>
                </c:pt>
                <c:pt idx="441">
                  <c:v>-18.071695786527467</c:v>
                </c:pt>
                <c:pt idx="442">
                  <c:v>-18.119859568432631</c:v>
                </c:pt>
                <c:pt idx="443">
                  <c:v>-18.16772307305618</c:v>
                </c:pt>
                <c:pt idx="444">
                  <c:v>-18.215289576174719</c:v>
                </c:pt>
                <c:pt idx="445">
                  <c:v>-18.263636103817504</c:v>
                </c:pt>
                <c:pt idx="446">
                  <c:v>-18.31167869352894</c:v>
                </c:pt>
                <c:pt idx="447">
                  <c:v>-18.359420672172405</c:v>
                </c:pt>
                <c:pt idx="448">
                  <c:v>-18.406865309313464</c:v>
                </c:pt>
                <c:pt idx="449">
                  <c:v>-18.455143520616122</c:v>
                </c:pt>
                <c:pt idx="450">
                  <c:v>-18.503116711333483</c:v>
                </c:pt>
                <c:pt idx="451">
                  <c:v>-18.550788213676555</c:v>
                </c:pt>
                <c:pt idx="452">
                  <c:v>-18.598161302397266</c:v>
                </c:pt>
                <c:pt idx="453">
                  <c:v>-18.646299495276125</c:v>
                </c:pt>
                <c:pt idx="454">
                  <c:v>-18.694132385242956</c:v>
                </c:pt>
                <c:pt idx="455">
                  <c:v>-18.741663296038457</c:v>
                </c:pt>
                <c:pt idx="456">
                  <c:v>-18.788895494095911</c:v>
                </c:pt>
                <c:pt idx="457">
                  <c:v>-18.83694250853058</c:v>
                </c:pt>
                <c:pt idx="458">
                  <c:v>-18.884683213560315</c:v>
                </c:pt>
                <c:pt idx="459">
                  <c:v>-18.932120935472316</c:v>
                </c:pt>
                <c:pt idx="460">
                  <c:v>-18.979258943141339</c:v>
                </c:pt>
                <c:pt idx="461">
                  <c:v>-19.027182812619216</c:v>
                </c:pt>
                <c:pt idx="462">
                  <c:v>-19.074799656386951</c:v>
                </c:pt>
                <c:pt idx="463">
                  <c:v>-19.122112797709832</c:v>
                </c:pt>
                <c:pt idx="464">
                  <c:v>-19.169125502458883</c:v>
                </c:pt>
                <c:pt idx="465">
                  <c:v>-19.216932335292064</c:v>
                </c:pt>
                <c:pt idx="466">
                  <c:v>-19.264431226671782</c:v>
                </c:pt>
                <c:pt idx="467">
                  <c:v>-19.311625499171122</c:v>
                </c:pt>
                <c:pt idx="468">
                  <c:v>-19.358518417928611</c:v>
                </c:pt>
                <c:pt idx="469">
                  <c:v>-19.406176780807456</c:v>
                </c:pt>
                <c:pt idx="470">
                  <c:v>-19.45352656206142</c:v>
                </c:pt>
                <c:pt idx="471">
                  <c:v>-19.500571078174808</c:v>
                </c:pt>
                <c:pt idx="472">
                  <c:v>-19.547313588275767</c:v>
                </c:pt>
                <c:pt idx="473">
                  <c:v>-19.594862771967133</c:v>
                </c:pt>
                <c:pt idx="474">
                  <c:v>-19.642102089466032</c:v>
                </c:pt>
                <c:pt idx="475">
                  <c:v>-19.689034860500911</c:v>
                </c:pt>
                <c:pt idx="476">
                  <c:v>-19.735664347301906</c:v>
                </c:pt>
                <c:pt idx="477">
                  <c:v>-19.783070769594943</c:v>
                </c:pt>
                <c:pt idx="478">
                  <c:v>-19.830166328508049</c:v>
                </c:pt>
                <c:pt idx="479">
                  <c:v>-19.876954341287291</c:v>
                </c:pt>
                <c:pt idx="480">
                  <c:v>-19.923438067663511</c:v>
                </c:pt>
                <c:pt idx="481">
                  <c:v>-19.970669822520389</c:v>
                </c:pt>
                <c:pt idx="482">
                  <c:v>-20.017589981439066</c:v>
                </c:pt>
                <c:pt idx="483">
                  <c:v>-20.064201853815167</c:v>
                </c:pt>
                <c:pt idx="484">
                  <c:v>-20.110508691628937</c:v>
                </c:pt>
                <c:pt idx="485">
                  <c:v>-20.157567385788994</c:v>
                </c:pt>
                <c:pt idx="486">
                  <c:v>-20.204313570730466</c:v>
                </c:pt>
                <c:pt idx="487">
                  <c:v>-20.250750549669249</c:v>
                </c:pt>
                <c:pt idx="488">
                  <c:v>-20.29688156845976</c:v>
                </c:pt>
                <c:pt idx="489">
                  <c:v>-20.343798041552546</c:v>
                </c:pt>
                <c:pt idx="490">
                  <c:v>-20.390400508498367</c:v>
                </c:pt>
                <c:pt idx="491">
                  <c:v>-20.436692274224448</c:v>
                </c:pt>
                <c:pt idx="492">
                  <c:v>-20.482676586159755</c:v>
                </c:pt>
                <c:pt idx="493">
                  <c:v>-20.529416071214463</c:v>
                </c:pt>
                <c:pt idx="494">
                  <c:v>-20.575840327275465</c:v>
                </c:pt>
                <c:pt idx="495">
                  <c:v>-20.621952655214358</c:v>
                </c:pt>
                <c:pt idx="496">
                  <c:v>-20.667756298391748</c:v>
                </c:pt>
                <c:pt idx="497">
                  <c:v>-20.714315096805826</c:v>
                </c:pt>
                <c:pt idx="498">
                  <c:v>-20.760557294451395</c:v>
                </c:pt>
                <c:pt idx="499">
                  <c:v>-20.806486188953176</c:v>
                </c:pt>
                <c:pt idx="500">
                  <c:v>-20.85210502038337</c:v>
                </c:pt>
                <c:pt idx="501">
                  <c:v>-20.89847778000582</c:v>
                </c:pt>
                <c:pt idx="502">
                  <c:v>-20.944532426223368</c:v>
                </c:pt>
                <c:pt idx="503">
                  <c:v>-20.990272253964527</c:v>
                </c:pt>
                <c:pt idx="504">
                  <c:v>-21.03570050053991</c:v>
                </c:pt>
                <c:pt idx="505">
                  <c:v>-21.081852380455281</c:v>
                </c:pt>
                <c:pt idx="506">
                  <c:v>-21.127684885685628</c:v>
                </c:pt>
                <c:pt idx="507">
                  <c:v>-21.173201302839885</c:v>
                </c:pt>
                <c:pt idx="508">
                  <c:v>-21.218404860962671</c:v>
                </c:pt>
                <c:pt idx="509">
                  <c:v>-21.264329653720296</c:v>
                </c:pt>
                <c:pt idx="510">
                  <c:v>-21.309933660225404</c:v>
                </c:pt>
                <c:pt idx="511">
                  <c:v>-21.355220159269763</c:v>
                </c:pt>
                <c:pt idx="512">
                  <c:v>-21.400192372110066</c:v>
                </c:pt>
                <c:pt idx="513">
                  <c:v>-21.445908660471659</c:v>
                </c:pt>
                <c:pt idx="514">
                  <c:v>-21.491302234561967</c:v>
                </c:pt>
                <c:pt idx="515">
                  <c:v>-21.536376371258225</c:v>
                </c:pt>
                <c:pt idx="516">
                  <c:v>-21.581134289779929</c:v>
                </c:pt>
                <c:pt idx="517">
                  <c:v>-21.626604880538824</c:v>
                </c:pt>
                <c:pt idx="518">
                  <c:v>-21.671751074213752</c:v>
                </c:pt>
                <c:pt idx="519">
                  <c:v>-21.71657613989418</c:v>
                </c:pt>
                <c:pt idx="520">
                  <c:v>-21.76108328901099</c:v>
                </c:pt>
                <c:pt idx="521">
                  <c:v>-21.806297368545167</c:v>
                </c:pt>
                <c:pt idx="522">
                  <c:v>-21.851185230115572</c:v>
                </c:pt>
                <c:pt idx="523">
                  <c:v>-21.895750134855984</c:v>
                </c:pt>
                <c:pt idx="524">
                  <c:v>-21.939995286228143</c:v>
                </c:pt>
                <c:pt idx="525">
                  <c:v>-21.98494055737951</c:v>
                </c:pt>
                <c:pt idx="526">
                  <c:v>-22.029557653428146</c:v>
                </c:pt>
                <c:pt idx="527">
                  <c:v>-22.073849827178918</c:v>
                </c:pt>
                <c:pt idx="528">
                  <c:v>-22.117820273742055</c:v>
                </c:pt>
                <c:pt idx="529">
                  <c:v>-22.162482978852648</c:v>
                </c:pt>
                <c:pt idx="530">
                  <c:v>-22.206815416057594</c:v>
                </c:pt>
                <c:pt idx="531">
                  <c:v>-22.250820829263635</c:v>
                </c:pt>
                <c:pt idx="532">
                  <c:v>-22.294502404654281</c:v>
                </c:pt>
                <c:pt idx="533">
                  <c:v>-22.33889016028678</c:v>
                </c:pt>
                <c:pt idx="534">
                  <c:v>-22.382945077224221</c:v>
                </c:pt>
                <c:pt idx="535">
                  <c:v>-22.42667039468509</c:v>
                </c:pt>
                <c:pt idx="536">
                  <c:v>-22.470069294014799</c:v>
                </c:pt>
                <c:pt idx="537">
                  <c:v>-22.514119151534473</c:v>
                </c:pt>
                <c:pt idx="538">
                  <c:v>-22.55783415150912</c:v>
                </c:pt>
                <c:pt idx="539">
                  <c:v>-22.60121751748121</c:v>
                </c:pt>
                <c:pt idx="540">
                  <c:v>-22.644272415208476</c:v>
                </c:pt>
                <c:pt idx="541">
                  <c:v>-22.68801129344531</c:v>
                </c:pt>
                <c:pt idx="542">
                  <c:v>-22.731412474596201</c:v>
                </c:pt>
                <c:pt idx="543">
                  <c:v>-22.77447917521603</c:v>
                </c:pt>
                <c:pt idx="544">
                  <c:v>-22.817214553931798</c:v>
                </c:pt>
                <c:pt idx="545">
                  <c:v>-22.860600172206411</c:v>
                </c:pt>
                <c:pt idx="546">
                  <c:v>-22.903645451019909</c:v>
                </c:pt>
                <c:pt idx="547">
                  <c:v>-22.946353593715752</c:v>
                </c:pt>
                <c:pt idx="548">
                  <c:v>-22.988727745688578</c:v>
                </c:pt>
                <c:pt idx="549">
                  <c:v>-23.0317392043486</c:v>
                </c:pt>
                <c:pt idx="550">
                  <c:v>-23.074407530090774</c:v>
                </c:pt>
                <c:pt idx="551">
                  <c:v>-23.116735911619557</c:v>
                </c:pt>
                <c:pt idx="552">
                  <c:v>-23.158727479676195</c:v>
                </c:pt>
                <c:pt idx="553">
                  <c:v>-23.201361957997747</c:v>
                </c:pt>
                <c:pt idx="554">
                  <c:v>-23.243650035220121</c:v>
                </c:pt>
                <c:pt idx="555">
                  <c:v>-23.28559488817001</c:v>
                </c:pt>
                <c:pt idx="556">
                  <c:v>-23.327199635599744</c:v>
                </c:pt>
                <c:pt idx="557">
                  <c:v>-23.41131338298398</c:v>
                </c:pt>
                <c:pt idx="558">
                  <c:v>-23.494040442457976</c:v>
                </c:pt>
                <c:pt idx="559">
                  <c:v>-23.577254643079804</c:v>
                </c:pt>
                <c:pt idx="560">
                  <c:v>-23.659068989824284</c:v>
                </c:pt>
                <c:pt idx="561">
                  <c:v>-23.741399906238549</c:v>
                </c:pt>
                <c:pt idx="562">
                  <c:v>-23.822314644918386</c:v>
                </c:pt>
                <c:pt idx="563">
                  <c:v>-23.903528961251364</c:v>
                </c:pt>
                <c:pt idx="564">
                  <c:v>-23.983316030673485</c:v>
                </c:pt>
                <c:pt idx="565">
                  <c:v>-24.06365803626306</c:v>
                </c:pt>
                <c:pt idx="566">
                  <c:v>-24.142550145331718</c:v>
                </c:pt>
                <c:pt idx="567">
                  <c:v>-24.221903513130819</c:v>
                </c:pt>
                <c:pt idx="568">
                  <c:v>-24.299784860337162</c:v>
                </c:pt>
                <c:pt idx="569">
                  <c:v>-24.377732155684551</c:v>
                </c:pt>
                <c:pt idx="570">
                  <c:v>-24.454197255281297</c:v>
                </c:pt>
                <c:pt idx="571">
                  <c:v>-24.53124229226027</c:v>
                </c:pt>
                <c:pt idx="572">
                  <c:v>-24.606771932701655</c:v>
                </c:pt>
                <c:pt idx="573">
                  <c:v>-24.682208311698197</c:v>
                </c:pt>
                <c:pt idx="574">
                  <c:v>-24.756119333460049</c:v>
                </c:pt>
                <c:pt idx="575">
                  <c:v>-24.830406388232873</c:v>
                </c:pt>
                <c:pt idx="576">
                  <c:v>-24.903135248534195</c:v>
                </c:pt>
                <c:pt idx="577">
                  <c:v>-25.19428917868985</c:v>
                </c:pt>
                <c:pt idx="578">
                  <c:v>-25.459484359056948</c:v>
                </c:pt>
                <c:pt idx="579">
                  <c:v>-25.956127895722329</c:v>
                </c:pt>
                <c:pt idx="580">
                  <c:v>-26.377998364583615</c:v>
                </c:pt>
                <c:pt idx="581">
                  <c:v>-26.70461230464614</c:v>
                </c:pt>
                <c:pt idx="582">
                  <c:v>-26.913090888268162</c:v>
                </c:pt>
                <c:pt idx="583">
                  <c:v>-26.982020298131019</c:v>
                </c:pt>
                <c:pt idx="584">
                  <c:v>-26.911992360574519</c:v>
                </c:pt>
                <c:pt idx="585">
                  <c:v>-26.790458420581707</c:v>
                </c:pt>
                <c:pt idx="586">
                  <c:v>-26.949875419418174</c:v>
                </c:pt>
                <c:pt idx="587">
                  <c:v>-28.065101368819899</c:v>
                </c:pt>
                <c:pt idx="588">
                  <c:v>-30.529847511808768</c:v>
                </c:pt>
                <c:pt idx="589">
                  <c:v>-33.842267769975514</c:v>
                </c:pt>
                <c:pt idx="590">
                  <c:v>-37.358507168462069</c:v>
                </c:pt>
                <c:pt idx="591">
                  <c:v>-40.791743969211069</c:v>
                </c:pt>
                <c:pt idx="592">
                  <c:v>-44.071767187896697</c:v>
                </c:pt>
                <c:pt idx="593">
                  <c:v>-47.203057327365215</c:v>
                </c:pt>
                <c:pt idx="594">
                  <c:v>-50.206029185937844</c:v>
                </c:pt>
                <c:pt idx="595">
                  <c:v>-53.103619290681195</c:v>
                </c:pt>
                <c:pt idx="596">
                  <c:v>-55.914508759314046</c:v>
                </c:pt>
                <c:pt idx="597">
                  <c:v>-58.655042270904318</c:v>
                </c:pt>
                <c:pt idx="598">
                  <c:v>-61.337225965378664</c:v>
                </c:pt>
                <c:pt idx="599">
                  <c:v>-63.971967165701685</c:v>
                </c:pt>
                <c:pt idx="600">
                  <c:v>-66.567138262994874</c:v>
                </c:pt>
              </c:numCache>
            </c:numRef>
          </c:yVal>
          <c:smooth val="0"/>
          <c:extLst>
            <c:ext xmlns:c16="http://schemas.microsoft.com/office/drawing/2014/chart" uri="{C3380CC4-5D6E-409C-BE32-E72D297353CC}">
              <c16:uniqueId val="{00000000-5314-496C-84FB-BC9D9C42BA7D}"/>
            </c:ext>
          </c:extLst>
        </c:ser>
        <c:dLbls>
          <c:showLegendKey val="0"/>
          <c:showVal val="0"/>
          <c:showCatName val="0"/>
          <c:showSerName val="0"/>
          <c:showPercent val="0"/>
          <c:showBubbleSize val="0"/>
        </c:dLbls>
        <c:axId val="184325248"/>
        <c:axId val="184327168"/>
      </c:scatterChart>
      <c:scatterChart>
        <c:scatterStyle val="lineMarker"/>
        <c:varyColors val="0"/>
        <c:ser>
          <c:idx val="1"/>
          <c:order val="1"/>
          <c:tx>
            <c:strRef>
              <c:f>'Ch2 Stability Calculations'!$S$12</c:f>
              <c:strCache>
                <c:ptCount val="1"/>
                <c:pt idx="0">
                  <c:v>Phase Margin (°)</c:v>
                </c:pt>
              </c:strCache>
            </c:strRef>
          </c:tx>
          <c:spPr>
            <a:ln w="25400">
              <a:solidFill>
                <a:srgbClr val="0000FF"/>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-73.365463000788637</c:v>
                </c:pt>
                <c:pt idx="1">
                  <c:v>-74.797508157857521</c:v>
                </c:pt>
                <c:pt idx="2">
                  <c:v>-76.124437735288254</c:v>
                </c:pt>
                <c:pt idx="3">
                  <c:v>-77.352176241955902</c:v>
                </c:pt>
                <c:pt idx="4">
                  <c:v>-78.48623707550648</c:v>
                </c:pt>
                <c:pt idx="5">
                  <c:v>-79.534810487423258</c:v>
                </c:pt>
                <c:pt idx="6">
                  <c:v>-80.502673074343008</c:v>
                </c:pt>
                <c:pt idx="7">
                  <c:v>-81.396719851243674</c:v>
                </c:pt>
                <c:pt idx="8">
                  <c:v>-82.222377780360532</c:v>
                </c:pt>
                <c:pt idx="9">
                  <c:v>-82.986119797194846</c:v>
                </c:pt>
                <c:pt idx="10">
                  <c:v>-83.693077534056584</c:v>
                </c:pt>
                <c:pt idx="11">
                  <c:v>-84.34868716318573</c:v>
                </c:pt>
                <c:pt idx="12">
                  <c:v>-84.958305711649345</c:v>
                </c:pt>
                <c:pt idx="13">
                  <c:v>-85.526118371696697</c:v>
                </c:pt>
                <c:pt idx="14">
                  <c:v>-86.057102548588944</c:v>
                </c:pt>
                <c:pt idx="15">
                  <c:v>-86.55531161823545</c:v>
                </c:pt>
                <c:pt idx="16">
                  <c:v>-87.024836860268522</c:v>
                </c:pt>
                <c:pt idx="17">
                  <c:v>-87.469461714496077</c:v>
                </c:pt>
                <c:pt idx="18">
                  <c:v>-87.892980113027065</c:v>
                </c:pt>
                <c:pt idx="19">
                  <c:v>-88.298785284661406</c:v>
                </c:pt>
                <c:pt idx="20">
                  <c:v>-88.690334196857307</c:v>
                </c:pt>
                <c:pt idx="21">
                  <c:v>-89.070812339608224</c:v>
                </c:pt>
                <c:pt idx="22">
                  <c:v>-89.443479553472628</c:v>
                </c:pt>
                <c:pt idx="23">
                  <c:v>-89.811357935063938</c:v>
                </c:pt>
                <c:pt idx="24">
                  <c:v>-90.177614265347628</c:v>
                </c:pt>
                <c:pt idx="25">
                  <c:v>-90.545245459499668</c:v>
                </c:pt>
                <c:pt idx="26">
                  <c:v>-90.917394979124012</c:v>
                </c:pt>
                <c:pt idx="27">
                  <c:v>-91.297025677224966</c:v>
                </c:pt>
                <c:pt idx="28">
                  <c:v>-91.687273992130301</c:v>
                </c:pt>
                <c:pt idx="29">
                  <c:v>-92.091067205879227</c:v>
                </c:pt>
                <c:pt idx="30">
                  <c:v>-92.512360220379946</c:v>
                </c:pt>
                <c:pt idx="31">
                  <c:v>-92.953940376239586</c:v>
                </c:pt>
                <c:pt idx="32">
                  <c:v>-93.419573987453603</c:v>
                </c:pt>
                <c:pt idx="33">
                  <c:v>-93.912508659472024</c:v>
                </c:pt>
                <c:pt idx="34">
                  <c:v>-94.436827522004833</c:v>
                </c:pt>
                <c:pt idx="35">
                  <c:v>-94.996064519434981</c:v>
                </c:pt>
                <c:pt idx="36">
                  <c:v>-95.594218724529739</c:v>
                </c:pt>
                <c:pt idx="37">
                  <c:v>-96.235650152512832</c:v>
                </c:pt>
                <c:pt idx="38">
                  <c:v>-96.923804251006288</c:v>
                </c:pt>
                <c:pt idx="39">
                  <c:v>-97.66327052999074</c:v>
                </c:pt>
                <c:pt idx="40">
                  <c:v>-98.457743738359682</c:v>
                </c:pt>
                <c:pt idx="41">
                  <c:v>-99.311042996777687</c:v>
                </c:pt>
                <c:pt idx="42">
                  <c:v>-100.22645107477172</c:v>
                </c:pt>
                <c:pt idx="43">
                  <c:v>-101.20712377288619</c:v>
                </c:pt>
                <c:pt idx="44">
                  <c:v>-102.25493306148991</c:v>
                </c:pt>
                <c:pt idx="45">
                  <c:v>-103.37118405017068</c:v>
                </c:pt>
                <c:pt idx="46">
                  <c:v>-104.55538871298475</c:v>
                </c:pt>
                <c:pt idx="47">
                  <c:v>-105.80582031482369</c:v>
                </c:pt>
                <c:pt idx="48">
                  <c:v>-107.11807567069464</c:v>
                </c:pt>
                <c:pt idx="49">
                  <c:v>-108.4858890438056</c:v>
                </c:pt>
                <c:pt idx="50">
                  <c:v>-109.89958740908125</c:v>
                </c:pt>
                <c:pt idx="51">
                  <c:v>-111.34687968665472</c:v>
                </c:pt>
                <c:pt idx="52">
                  <c:v>-112.8113578206285</c:v>
                </c:pt>
                <c:pt idx="53">
                  <c:v>-114.27382647026791</c:v>
                </c:pt>
                <c:pt idx="54">
                  <c:v>-115.71111371992021</c:v>
                </c:pt>
                <c:pt idx="55">
                  <c:v>-117.1008020468057</c:v>
                </c:pt>
                <c:pt idx="56">
                  <c:v>-118.41428906140366</c:v>
                </c:pt>
                <c:pt idx="57">
                  <c:v>-119.62505034035669</c:v>
                </c:pt>
                <c:pt idx="58">
                  <c:v>-120.70518334530372</c:v>
                </c:pt>
                <c:pt idx="59">
                  <c:v>-121.63003282955303</c:v>
                </c:pt>
                <c:pt idx="60">
                  <c:v>-122.37631671312492</c:v>
                </c:pt>
                <c:pt idx="61">
                  <c:v>-122.92535045743745</c:v>
                </c:pt>
                <c:pt idx="62">
                  <c:v>-123.26318396138858</c:v>
                </c:pt>
                <c:pt idx="63">
                  <c:v>-123.38081446014051</c:v>
                </c:pt>
                <c:pt idx="64">
                  <c:v>-123.27555066762433</c:v>
                </c:pt>
                <c:pt idx="65">
                  <c:v>-122.95049012638177</c:v>
                </c:pt>
                <c:pt idx="66">
                  <c:v>-122.41460315564065</c:v>
                </c:pt>
                <c:pt idx="67">
                  <c:v>-121.68239839977458</c:v>
                </c:pt>
                <c:pt idx="68">
                  <c:v>-120.77279442520121</c:v>
                </c:pt>
                <c:pt idx="69">
                  <c:v>-119.70899223453384</c:v>
                </c:pt>
                <c:pt idx="70">
                  <c:v>-118.51650008605297</c:v>
                </c:pt>
                <c:pt idx="71">
                  <c:v>-117.22282251352539</c:v>
                </c:pt>
                <c:pt idx="72">
                  <c:v>-115.85527459280179</c:v>
                </c:pt>
                <c:pt idx="73">
                  <c:v>-114.4409730227366</c:v>
                </c:pt>
                <c:pt idx="74">
                  <c:v>-113.00454901419154</c:v>
                </c:pt>
                <c:pt idx="75">
                  <c:v>-111.56866975734138</c:v>
                </c:pt>
                <c:pt idx="76">
                  <c:v>-110.15241705107604</c:v>
                </c:pt>
                <c:pt idx="77">
                  <c:v>-108.77237791126927</c:v>
                </c:pt>
                <c:pt idx="78">
                  <c:v>-107.44132356474674</c:v>
                </c:pt>
                <c:pt idx="79">
                  <c:v>-106.16971694181785</c:v>
                </c:pt>
                <c:pt idx="80">
                  <c:v>-104.96230242544736</c:v>
                </c:pt>
                <c:pt idx="81">
                  <c:v>-103.8252244223428</c:v>
                </c:pt>
                <c:pt idx="82">
                  <c:v>-102.76002772954985</c:v>
                </c:pt>
                <c:pt idx="83">
                  <c:v>-101.76810466060473</c:v>
                </c:pt>
                <c:pt idx="84">
                  <c:v>-100.84801924697928</c:v>
                </c:pt>
                <c:pt idx="85">
                  <c:v>-99.998656700542796</c:v>
                </c:pt>
                <c:pt idx="86">
                  <c:v>-99.217506248847371</c:v>
                </c:pt>
                <c:pt idx="87">
                  <c:v>-98.501363399488028</c:v>
                </c:pt>
                <c:pt idx="88">
                  <c:v>-97.847800501543489</c:v>
                </c:pt>
                <c:pt idx="89">
                  <c:v>-97.253029986784568</c:v>
                </c:pt>
                <c:pt idx="90">
                  <c:v>-96.714032281797017</c:v>
                </c:pt>
                <c:pt idx="91">
                  <c:v>-96.227554805841066</c:v>
                </c:pt>
                <c:pt idx="92">
                  <c:v>-95.790583172361679</c:v>
                </c:pt>
                <c:pt idx="93">
                  <c:v>-95.400092570671958</c:v>
                </c:pt>
                <c:pt idx="94">
                  <c:v>-95.309460239873488</c:v>
                </c:pt>
                <c:pt idx="95">
                  <c:v>-95.264886129944443</c:v>
                </c:pt>
                <c:pt idx="96">
                  <c:v>-95.221488604674505</c:v>
                </c:pt>
                <c:pt idx="97">
                  <c:v>-95.178262394818006</c:v>
                </c:pt>
                <c:pt idx="98">
                  <c:v>-95.136187554922955</c:v>
                </c:pt>
                <c:pt idx="99">
                  <c:v>-95.094279082573635</c:v>
                </c:pt>
                <c:pt idx="100">
                  <c:v>-95.053497789505542</c:v>
                </c:pt>
                <c:pt idx="101">
                  <c:v>-95.012909928174807</c:v>
                </c:pt>
                <c:pt idx="102">
                  <c:v>-94.973424341812844</c:v>
                </c:pt>
                <c:pt idx="103">
                  <c:v>-94.934099819432831</c:v>
                </c:pt>
                <c:pt idx="104">
                  <c:v>-94.895855207867285</c:v>
                </c:pt>
                <c:pt idx="105">
                  <c:v>-94.857799264292993</c:v>
                </c:pt>
                <c:pt idx="106">
                  <c:v>-94.820800084672257</c:v>
                </c:pt>
                <c:pt idx="107">
                  <c:v>-94.78401427355837</c:v>
                </c:pt>
                <c:pt idx="108">
                  <c:v>-94.74826145798643</c:v>
                </c:pt>
                <c:pt idx="109">
                  <c:v>-94.712720186072474</c:v>
                </c:pt>
                <c:pt idx="110">
                  <c:v>-94.678189019149301</c:v>
                </c:pt>
                <c:pt idx="111">
                  <c:v>-94.643846619825595</c:v>
                </c:pt>
                <c:pt idx="112">
                  <c:v>-94.610493515107578</c:v>
                </c:pt>
                <c:pt idx="113">
                  <c:v>-94.577354055395304</c:v>
                </c:pt>
                <c:pt idx="114">
                  <c:v>-94.545182394354455</c:v>
                </c:pt>
                <c:pt idx="115">
                  <c:v>-94.513226634605786</c:v>
                </c:pt>
                <c:pt idx="116">
                  <c:v>-94.482217820012863</c:v>
                </c:pt>
                <c:pt idx="117">
                  <c:v>-94.451428245252814</c:v>
                </c:pt>
                <c:pt idx="118">
                  <c:v>-94.421565341763127</c:v>
                </c:pt>
                <c:pt idx="119">
                  <c:v>-94.39194365382663</c:v>
                </c:pt>
                <c:pt idx="120">
                  <c:v>-94.363227807352672</c:v>
                </c:pt>
                <c:pt idx="121">
                  <c:v>-94.334756162485988</c:v>
                </c:pt>
                <c:pt idx="122">
                  <c:v>-94.307170136579586</c:v>
                </c:pt>
                <c:pt idx="123">
                  <c:v>-94.27981659055007</c:v>
                </c:pt>
                <c:pt idx="124">
                  <c:v>-94.253329981852133</c:v>
                </c:pt>
                <c:pt idx="125">
                  <c:v>-94.227097041176393</c:v>
                </c:pt>
                <c:pt idx="126">
                  <c:v>-94.201711800446645</c:v>
                </c:pt>
                <c:pt idx="127">
                  <c:v>-94.176585478905011</c:v>
                </c:pt>
                <c:pt idx="128">
                  <c:v>-94.152288091125556</c:v>
                </c:pt>
                <c:pt idx="129">
                  <c:v>-94.128255459644876</c:v>
                </c:pt>
                <c:pt idx="130">
                  <c:v>-94.105033430781901</c:v>
                </c:pt>
                <c:pt idx="131">
                  <c:v>-94.082082500863137</c:v>
                </c:pt>
                <c:pt idx="132">
                  <c:v>-94.070905972064807</c:v>
                </c:pt>
                <c:pt idx="133">
                  <c:v>-94.059924245926226</c:v>
                </c:pt>
                <c:pt idx="134">
                  <c:v>-94.048879852349671</c:v>
                </c:pt>
                <c:pt idx="135">
                  <c:v>-94.038032771922431</c:v>
                </c:pt>
                <c:pt idx="136">
                  <c:v>-94.027379650234792</c:v>
                </c:pt>
                <c:pt idx="137">
                  <c:v>-94.016917208339777</c:v>
                </c:pt>
                <c:pt idx="138">
                  <c:v>-94.006411111488475</c:v>
                </c:pt>
                <c:pt idx="139">
                  <c:v>-93.996097746736183</c:v>
                </c:pt>
                <c:pt idx="140">
                  <c:v>-93.985973838120344</c:v>
                </c:pt>
                <c:pt idx="141">
                  <c:v>-93.976036183375797</c:v>
                </c:pt>
                <c:pt idx="142">
                  <c:v>-93.966052536096484</c:v>
                </c:pt>
                <c:pt idx="143">
                  <c:v>-93.956257517218802</c:v>
                </c:pt>
                <c:pt idx="144">
                  <c:v>-93.946647918012744</c:v>
                </c:pt>
                <c:pt idx="145">
                  <c:v>-93.937220602001773</c:v>
                </c:pt>
                <c:pt idx="146">
                  <c:v>-93.927760378559782</c:v>
                </c:pt>
                <c:pt idx="147">
                  <c:v>-93.918484560990692</c:v>
                </c:pt>
                <c:pt idx="148">
                  <c:v>-93.909390011686327</c:v>
                </c:pt>
                <c:pt idx="149">
                  <c:v>-93.900473663718003</c:v>
                </c:pt>
                <c:pt idx="150">
                  <c:v>-93.891532460257068</c:v>
                </c:pt>
                <c:pt idx="151">
                  <c:v>-93.88277151702431</c:v>
                </c:pt>
                <c:pt idx="152">
                  <c:v>-93.874187766445246</c:v>
                </c:pt>
                <c:pt idx="153">
                  <c:v>-93.865778210069863</c:v>
                </c:pt>
                <c:pt idx="154">
                  <c:v>-93.857348023023476</c:v>
                </c:pt>
                <c:pt idx="155">
                  <c:v>-93.849094184999231</c:v>
                </c:pt>
                <c:pt idx="156">
                  <c:v>-93.841013693337501</c:v>
                </c:pt>
                <c:pt idx="157">
                  <c:v>-93.833103613088682</c:v>
                </c:pt>
                <c:pt idx="158">
                  <c:v>-93.825181430900003</c:v>
                </c:pt>
                <c:pt idx="159">
                  <c:v>-93.817431737776317</c:v>
                </c:pt>
                <c:pt idx="160">
                  <c:v>-93.809851595483295</c:v>
                </c:pt>
                <c:pt idx="161">
                  <c:v>-93.802438132084433</c:v>
                </c:pt>
                <c:pt idx="162">
                  <c:v>-93.795024268969371</c:v>
                </c:pt>
                <c:pt idx="163">
                  <c:v>-93.787778938704989</c:v>
                </c:pt>
                <c:pt idx="164">
                  <c:v>-93.780699270737685</c:v>
                </c:pt>
                <c:pt idx="165">
                  <c:v>-93.773782459289322</c:v>
                </c:pt>
                <c:pt idx="166">
                  <c:v>-93.76686737564161</c:v>
                </c:pt>
                <c:pt idx="167">
                  <c:v>-93.760117217462792</c:v>
                </c:pt>
                <c:pt idx="168">
                  <c:v>-93.753529173793268</c:v>
                </c:pt>
                <c:pt idx="169">
                  <c:v>-93.747100497157163</c:v>
                </c:pt>
                <c:pt idx="170">
                  <c:v>-93.74069560731543</c:v>
                </c:pt>
                <c:pt idx="171">
                  <c:v>-93.734451397817637</c:v>
                </c:pt>
                <c:pt idx="172">
                  <c:v>-93.72836513430525</c:v>
                </c:pt>
                <c:pt idx="173">
                  <c:v>-93.722434144089704</c:v>
                </c:pt>
                <c:pt idx="174">
                  <c:v>-93.71651209264823</c:v>
                </c:pt>
                <c:pt idx="175">
                  <c:v>-93.710747744408607</c:v>
                </c:pt>
                <c:pt idx="176">
                  <c:v>-93.705138410119105</c:v>
                </c:pt>
                <c:pt idx="177">
                  <c:v>-93.69968146131724</c:v>
                </c:pt>
                <c:pt idx="178">
                  <c:v>-93.694245691185984</c:v>
                </c:pt>
                <c:pt idx="179">
                  <c:v>-93.688964494905193</c:v>
                </c:pt>
                <c:pt idx="180">
                  <c:v>-93.683835232870223</c:v>
                </c:pt>
                <c:pt idx="181">
                  <c:v>-93.678855325239084</c:v>
                </c:pt>
                <c:pt idx="182">
                  <c:v>-93.673927069422035</c:v>
                </c:pt>
                <c:pt idx="183">
                  <c:v>-93.669148962876989</c:v>
                </c:pt>
                <c:pt idx="184">
                  <c:v>-93.664518449378221</c:v>
                </c:pt>
                <c:pt idx="185">
                  <c:v>-93.660033030411498</c:v>
                </c:pt>
                <c:pt idx="186">
                  <c:v>-93.655573039185995</c:v>
                </c:pt>
                <c:pt idx="187">
                  <c:v>-93.651261050521882</c:v>
                </c:pt>
                <c:pt idx="188">
                  <c:v>-93.647094534266287</c:v>
                </c:pt>
                <c:pt idx="189">
                  <c:v>-93.643071017637979</c:v>
                </c:pt>
                <c:pt idx="190">
                  <c:v>-93.639115333307032</c:v>
                </c:pt>
                <c:pt idx="191">
                  <c:v>-93.63530314854053</c:v>
                </c:pt>
                <c:pt idx="192">
                  <c:v>-93.631632019968094</c:v>
                </c:pt>
                <c:pt idx="193">
                  <c:v>-93.628099559416228</c:v>
                </c:pt>
                <c:pt idx="194">
                  <c:v>-93.624616208469007</c:v>
                </c:pt>
                <c:pt idx="195">
                  <c:v>-93.621273967630927</c:v>
                </c:pt>
                <c:pt idx="196">
                  <c:v>-93.618070427188314</c:v>
                </c:pt>
                <c:pt idx="197">
                  <c:v>-93.615003232035789</c:v>
                </c:pt>
                <c:pt idx="198">
                  <c:v>-93.612007333238807</c:v>
                </c:pt>
                <c:pt idx="199">
                  <c:v>-93.609149011723559</c:v>
                </c:pt>
                <c:pt idx="200">
                  <c:v>-93.606425921192113</c:v>
                </c:pt>
                <c:pt idx="201">
                  <c:v>-93.603835768462531</c:v>
                </c:pt>
                <c:pt idx="202">
                  <c:v>-93.601325023413224</c:v>
                </c:pt>
                <c:pt idx="203">
                  <c:v>-93.598948301344095</c:v>
                </c:pt>
                <c:pt idx="204">
                  <c:v>-93.596703320595495</c:v>
                </c:pt>
                <c:pt idx="205">
                  <c:v>-93.594587851084668</c:v>
                </c:pt>
                <c:pt idx="206">
                  <c:v>-93.592552630392376</c:v>
                </c:pt>
                <c:pt idx="207">
                  <c:v>-93.590648759527269</c:v>
                </c:pt>
                <c:pt idx="208">
                  <c:v>-93.588873999698492</c:v>
                </c:pt>
                <c:pt idx="209">
                  <c:v>-93.587226162797663</c:v>
                </c:pt>
                <c:pt idx="210">
                  <c:v>-93.585663255039989</c:v>
                </c:pt>
                <c:pt idx="211">
                  <c:v>-93.584229772497025</c:v>
                </c:pt>
                <c:pt idx="212">
                  <c:v>-93.582923500707821</c:v>
                </c:pt>
                <c:pt idx="213">
                  <c:v>-93.581742275551193</c:v>
                </c:pt>
                <c:pt idx="214">
                  <c:v>-93.580664121692863</c:v>
                </c:pt>
                <c:pt idx="215">
                  <c:v>-93.579711655905754</c:v>
                </c:pt>
                <c:pt idx="216">
                  <c:v>-93.578882734887301</c:v>
                </c:pt>
                <c:pt idx="217">
                  <c:v>-93.578175263911604</c:v>
                </c:pt>
                <c:pt idx="218">
                  <c:v>-93.57757516321783</c:v>
                </c:pt>
                <c:pt idx="219">
                  <c:v>-93.577097831234269</c:v>
                </c:pt>
                <c:pt idx="220">
                  <c:v>-93.576741175608689</c:v>
                </c:pt>
                <c:pt idx="221">
                  <c:v>-93.576503151402548</c:v>
                </c:pt>
                <c:pt idx="222">
                  <c:v>-93.576380367508548</c:v>
                </c:pt>
                <c:pt idx="223">
                  <c:v>-93.576377387324897</c:v>
                </c:pt>
                <c:pt idx="224">
                  <c:v>-93.576492171214966</c:v>
                </c:pt>
                <c:pt idx="225">
                  <c:v>-93.576722725731003</c:v>
                </c:pt>
                <c:pt idx="226">
                  <c:v>-93.577077122090529</c:v>
                </c:pt>
                <c:pt idx="227">
                  <c:v>-93.5775490344286</c:v>
                </c:pt>
                <c:pt idx="228">
                  <c:v>-93.578136459172953</c:v>
                </c:pt>
                <c:pt idx="229">
                  <c:v>-93.578837438208694</c:v>
                </c:pt>
                <c:pt idx="230">
                  <c:v>-93.580620071108285</c:v>
                </c:pt>
                <c:pt idx="231">
                  <c:v>-93.58168211157836</c:v>
                </c:pt>
                <c:pt idx="232">
                  <c:v>-93.582855393543539</c:v>
                </c:pt>
                <c:pt idx="233">
                  <c:v>-93.584169803032935</c:v>
                </c:pt>
                <c:pt idx="234">
                  <c:v>-93.585596864422101</c:v>
                </c:pt>
                <c:pt idx="235">
                  <c:v>-93.587134655242963</c:v>
                </c:pt>
                <c:pt idx="236">
                  <c:v>-93.588781296729934</c:v>
                </c:pt>
                <c:pt idx="237">
                  <c:v>-93.590571629110087</c:v>
                </c:pt>
                <c:pt idx="238">
                  <c:v>-93.59247145659738</c:v>
                </c:pt>
                <c:pt idx="239">
                  <c:v>-93.594478916574346</c:v>
                </c:pt>
                <c:pt idx="240">
                  <c:v>-93.596592188655066</c:v>
                </c:pt>
                <c:pt idx="241">
                  <c:v>-93.598867534436764</c:v>
                </c:pt>
                <c:pt idx="242">
                  <c:v>-93.601250425251592</c:v>
                </c:pt>
                <c:pt idx="243">
                  <c:v>-93.603739028200678</c:v>
                </c:pt>
                <c:pt idx="244">
                  <c:v>-93.606331552046569</c:v>
                </c:pt>
                <c:pt idx="245">
                  <c:v>-93.609087106278579</c:v>
                </c:pt>
                <c:pt idx="246">
                  <c:v>-93.611947582039264</c:v>
                </c:pt>
                <c:pt idx="247">
                  <c:v>-93.61491119379987</c:v>
                </c:pt>
                <c:pt idx="248">
                  <c:v>-93.617976196583953</c:v>
                </c:pt>
                <c:pt idx="249">
                  <c:v>-93.621219303537941</c:v>
                </c:pt>
                <c:pt idx="250">
                  <c:v>-93.624565226354704</c:v>
                </c:pt>
                <c:pt idx="251">
                  <c:v>-93.628012214247363</c:v>
                </c:pt>
                <c:pt idx="252">
                  <c:v>-93.631558556246787</c:v>
                </c:pt>
                <c:pt idx="253">
                  <c:v>-93.635280745855994</c:v>
                </c:pt>
                <c:pt idx="254">
                  <c:v>-93.639103055617269</c:v>
                </c:pt>
                <c:pt idx="255">
                  <c:v>-93.643023785008722</c:v>
                </c:pt>
                <c:pt idx="256">
                  <c:v>-93.647041272115857</c:v>
                </c:pt>
                <c:pt idx="257">
                  <c:v>-93.6512616870084</c:v>
                </c:pt>
                <c:pt idx="258">
                  <c:v>-93.655580514360778</c:v>
                </c:pt>
                <c:pt idx="259">
                  <c:v>-93.659996079352368</c:v>
                </c:pt>
                <c:pt idx="260">
                  <c:v>-93.664506745294787</c:v>
                </c:pt>
                <c:pt idx="261">
                  <c:v>-93.669216627063477</c:v>
                </c:pt>
                <c:pt idx="262">
                  <c:v>-93.674022636408651</c:v>
                </c:pt>
                <c:pt idx="263">
                  <c:v>-93.678923139367441</c:v>
                </c:pt>
                <c:pt idx="264">
                  <c:v>-93.683916539170625</c:v>
                </c:pt>
                <c:pt idx="265">
                  <c:v>-93.68911529498186</c:v>
                </c:pt>
                <c:pt idx="266">
                  <c:v>-93.694407862575673</c:v>
                </c:pt>
                <c:pt idx="267">
                  <c:v>-93.699792650151451</c:v>
                </c:pt>
                <c:pt idx="268">
                  <c:v>-93.705268102117699</c:v>
                </c:pt>
                <c:pt idx="269">
                  <c:v>-93.710968198753378</c:v>
                </c:pt>
                <c:pt idx="270">
                  <c:v>-93.716760201918291</c:v>
                </c:pt>
                <c:pt idx="271">
                  <c:v>-93.722642552079932</c:v>
                </c:pt>
                <c:pt idx="272">
                  <c:v>-93.728613725223326</c:v>
                </c:pt>
                <c:pt idx="273">
                  <c:v>-93.734816163402542</c:v>
                </c:pt>
                <c:pt idx="274">
                  <c:v>-93.741108542283783</c:v>
                </c:pt>
                <c:pt idx="275">
                  <c:v>-93.747489336638665</c:v>
                </c:pt>
                <c:pt idx="276">
                  <c:v>-93.753957055998427</c:v>
                </c:pt>
                <c:pt idx="277">
                  <c:v>-93.760647033632139</c:v>
                </c:pt>
                <c:pt idx="278">
                  <c:v>-93.767424547284492</c:v>
                </c:pt>
                <c:pt idx="279">
                  <c:v>-93.774288117641603</c:v>
                </c:pt>
                <c:pt idx="280">
                  <c:v>-93.781236299034205</c:v>
                </c:pt>
                <c:pt idx="281">
                  <c:v>-93.788459289056505</c:v>
                </c:pt>
                <c:pt idx="282">
                  <c:v>-93.795768549640599</c:v>
                </c:pt>
                <c:pt idx="283">
                  <c:v>-93.803162619096625</c:v>
                </c:pt>
                <c:pt idx="284">
                  <c:v>-93.810640069115124</c:v>
                </c:pt>
                <c:pt idx="285">
                  <c:v>-93.818349848663431</c:v>
                </c:pt>
                <c:pt idx="286">
                  <c:v>-93.826143441838482</c:v>
                </c:pt>
                <c:pt idx="287">
                  <c:v>-93.834019435163938</c:v>
                </c:pt>
                <c:pt idx="288">
                  <c:v>-93.84197644734833</c:v>
                </c:pt>
                <c:pt idx="289">
                  <c:v>-93.850222018534893</c:v>
                </c:pt>
                <c:pt idx="290">
                  <c:v>-93.858550008542124</c:v>
                </c:pt>
                <c:pt idx="291">
                  <c:v>-93.866959025826233</c:v>
                </c:pt>
                <c:pt idx="292">
                  <c:v>-93.875447710624016</c:v>
                </c:pt>
                <c:pt idx="293">
                  <c:v>-93.884213627166275</c:v>
                </c:pt>
                <c:pt idx="294">
                  <c:v>-93.893060154344766</c:v>
                </c:pt>
                <c:pt idx="295">
                  <c:v>-93.901985933459898</c:v>
                </c:pt>
                <c:pt idx="296">
                  <c:v>-93.910989636853301</c:v>
                </c:pt>
                <c:pt idx="297">
                  <c:v>-93.920275941904521</c:v>
                </c:pt>
                <c:pt idx="298">
                  <c:v>-93.929641018808937</c:v>
                </c:pt>
                <c:pt idx="299">
                  <c:v>-93.939083542987717</c:v>
                </c:pt>
                <c:pt idx="300">
                  <c:v>-93.948602220120847</c:v>
                </c:pt>
                <c:pt idx="301">
                  <c:v>-93.958408527237637</c:v>
                </c:pt>
                <c:pt idx="302">
                  <c:v>-93.968291747592176</c:v>
                </c:pt>
                <c:pt idx="303">
                  <c:v>-93.978250591727999</c:v>
                </c:pt>
                <c:pt idx="304">
                  <c:v>-93.988283799630111</c:v>
                </c:pt>
                <c:pt idx="305">
                  <c:v>-93.99864920566624</c:v>
                </c:pt>
                <c:pt idx="306">
                  <c:v>-94.00909022971932</c:v>
                </c:pt>
                <c:pt idx="307">
                  <c:v>-94.019605603853861</c:v>
                </c:pt>
                <c:pt idx="308">
                  <c:v>-94.030194089167523</c:v>
                </c:pt>
                <c:pt idx="309">
                  <c:v>-94.041079884028548</c:v>
                </c:pt>
                <c:pt idx="310">
                  <c:v>-94.052039382335778</c:v>
                </c:pt>
                <c:pt idx="311">
                  <c:v>-94.063071353682986</c:v>
                </c:pt>
                <c:pt idx="312">
                  <c:v>-94.07417459579878</c:v>
                </c:pt>
                <c:pt idx="313">
                  <c:v>-94.08562132013374</c:v>
                </c:pt>
                <c:pt idx="314">
                  <c:v>-94.097140367322041</c:v>
                </c:pt>
                <c:pt idx="315">
                  <c:v>-94.108730531684387</c:v>
                </c:pt>
                <c:pt idx="316">
                  <c:v>-94.120390635163275</c:v>
                </c:pt>
                <c:pt idx="317">
                  <c:v>-94.132399614961201</c:v>
                </c:pt>
                <c:pt idx="318">
                  <c:v>-94.144479490283089</c:v>
                </c:pt>
                <c:pt idx="319">
                  <c:v>-94.156629081877256</c:v>
                </c:pt>
                <c:pt idx="320">
                  <c:v>-94.168847237546274</c:v>
                </c:pt>
                <c:pt idx="321">
                  <c:v>-94.18141933639005</c:v>
                </c:pt>
                <c:pt idx="322">
                  <c:v>-94.194060868025062</c:v>
                </c:pt>
                <c:pt idx="323">
                  <c:v>-94.206770681051353</c:v>
                </c:pt>
                <c:pt idx="324">
                  <c:v>-94.21954765050971</c:v>
                </c:pt>
                <c:pt idx="325">
                  <c:v>-94.232683323348382</c:v>
                </c:pt>
                <c:pt idx="326">
                  <c:v>-94.245886941250703</c:v>
                </c:pt>
                <c:pt idx="327">
                  <c:v>-94.259157381836218</c:v>
                </c:pt>
                <c:pt idx="328">
                  <c:v>-94.27249354851287</c:v>
                </c:pt>
                <c:pt idx="329">
                  <c:v>-94.286215856618171</c:v>
                </c:pt>
                <c:pt idx="330">
                  <c:v>-94.300004827127225</c:v>
                </c:pt>
                <c:pt idx="331">
                  <c:v>-94.313859362184132</c:v>
                </c:pt>
                <c:pt idx="332">
                  <c:v>-94.327778389203971</c:v>
                </c:pt>
                <c:pt idx="333">
                  <c:v>-94.342065015165232</c:v>
                </c:pt>
                <c:pt idx="334">
                  <c:v>-94.356416776832091</c:v>
                </c:pt>
                <c:pt idx="335">
                  <c:v>-94.370832607440605</c:v>
                </c:pt>
                <c:pt idx="336">
                  <c:v>-94.385311464777317</c:v>
                </c:pt>
                <c:pt idx="337">
                  <c:v>-94.400209494306964</c:v>
                </c:pt>
                <c:pt idx="338">
                  <c:v>-94.415171539335375</c:v>
                </c:pt>
                <c:pt idx="339">
                  <c:v>-94.430196554829948</c:v>
                </c:pt>
                <c:pt idx="340">
                  <c:v>-94.445283519872433</c:v>
                </c:pt>
                <c:pt idx="341">
                  <c:v>-94.460794565774421</c:v>
                </c:pt>
                <c:pt idx="342">
                  <c:v>-94.476368469020599</c:v>
                </c:pt>
                <c:pt idx="343">
                  <c:v>-94.492004207864412</c:v>
                </c:pt>
                <c:pt idx="344">
                  <c:v>-94.507700784188501</c:v>
                </c:pt>
                <c:pt idx="345">
                  <c:v>-94.523801480931837</c:v>
                </c:pt>
                <c:pt idx="346">
                  <c:v>-94.539963663081068</c:v>
                </c:pt>
                <c:pt idx="347">
                  <c:v>-94.556186337981629</c:v>
                </c:pt>
                <c:pt idx="348">
                  <c:v>-94.572468535943926</c:v>
                </c:pt>
                <c:pt idx="349">
                  <c:v>-94.589208588964098</c:v>
                </c:pt>
                <c:pt idx="350">
                  <c:v>-94.606009115162038</c:v>
                </c:pt>
                <c:pt idx="351">
                  <c:v>-94.622869142940985</c:v>
                </c:pt>
                <c:pt idx="352">
                  <c:v>-94.639787723250862</c:v>
                </c:pt>
                <c:pt idx="353">
                  <c:v>-94.657168819186197</c:v>
                </c:pt>
                <c:pt idx="354">
                  <c:v>-94.674609345500798</c:v>
                </c:pt>
                <c:pt idx="355">
                  <c:v>-94.692108353088827</c:v>
                </c:pt>
                <c:pt idx="356">
                  <c:v>-94.709664914928894</c:v>
                </c:pt>
                <c:pt idx="357">
                  <c:v>-94.727662758732535</c:v>
                </c:pt>
                <c:pt idx="358">
                  <c:v>-94.745718804779273</c:v>
                </c:pt>
                <c:pt idx="359">
                  <c:v>-94.76383213155691</c:v>
                </c:pt>
                <c:pt idx="360">
                  <c:v>-94.782001839017497</c:v>
                </c:pt>
                <c:pt idx="361">
                  <c:v>-94.80066845145663</c:v>
                </c:pt>
                <c:pt idx="362">
                  <c:v>-94.819392359727601</c:v>
                </c:pt>
                <c:pt idx="363">
                  <c:v>-94.838172663015115</c:v>
                </c:pt>
                <c:pt idx="364">
                  <c:v>-94.857008481561508</c:v>
                </c:pt>
                <c:pt idx="365">
                  <c:v>-94.876319358716444</c:v>
                </c:pt>
                <c:pt idx="366">
                  <c:v>-94.895686451672546</c:v>
                </c:pt>
                <c:pt idx="367">
                  <c:v>-94.915108885143084</c:v>
                </c:pt>
                <c:pt idx="368">
                  <c:v>-94.934585804343598</c:v>
                </c:pt>
                <c:pt idx="369">
                  <c:v>-94.954594689395023</c:v>
                </c:pt>
                <c:pt idx="370">
                  <c:v>-94.974659005166274</c:v>
                </c:pt>
                <c:pt idx="371">
                  <c:v>-94.994777895830239</c:v>
                </c:pt>
                <c:pt idx="372">
                  <c:v>-95.01495052569723</c:v>
                </c:pt>
                <c:pt idx="373">
                  <c:v>-95.035632696275528</c:v>
                </c:pt>
                <c:pt idx="374">
                  <c:v>-95.056369351353524</c:v>
                </c:pt>
                <c:pt idx="375">
                  <c:v>-95.077159659121136</c:v>
                </c:pt>
                <c:pt idx="376">
                  <c:v>-95.098002807400775</c:v>
                </c:pt>
                <c:pt idx="377">
                  <c:v>-95.119413580573791</c:v>
                </c:pt>
                <c:pt idx="378">
                  <c:v>-95.14087816509533</c:v>
                </c:pt>
                <c:pt idx="379">
                  <c:v>-95.16239574782891</c:v>
                </c:pt>
                <c:pt idx="380">
                  <c:v>-95.183965534936334</c:v>
                </c:pt>
                <c:pt idx="381">
                  <c:v>-95.206052577639184</c:v>
                </c:pt>
                <c:pt idx="382">
                  <c:v>-95.228192480359922</c:v>
                </c:pt>
                <c:pt idx="383">
                  <c:v>-95.250384455815379</c:v>
                </c:pt>
                <c:pt idx="384">
                  <c:v>-95.272627735463871</c:v>
                </c:pt>
                <c:pt idx="385">
                  <c:v>-95.295474715993478</c:v>
                </c:pt>
                <c:pt idx="386">
                  <c:v>-95.31837399906253</c:v>
                </c:pt>
                <c:pt idx="387">
                  <c:v>-95.341324815420904</c:v>
                </c:pt>
                <c:pt idx="388">
                  <c:v>-95.364326414254222</c:v>
                </c:pt>
                <c:pt idx="389">
                  <c:v>-95.387908247669998</c:v>
                </c:pt>
                <c:pt idx="390">
                  <c:v>-95.411541691164416</c:v>
                </c:pt>
                <c:pt idx="391">
                  <c:v>-95.435225997542304</c:v>
                </c:pt>
                <c:pt idx="392">
                  <c:v>-95.458960437616781</c:v>
                </c:pt>
                <c:pt idx="393">
                  <c:v>-95.483279014665555</c:v>
                </c:pt>
                <c:pt idx="394">
                  <c:v>-95.507648516288896</c:v>
                </c:pt>
                <c:pt idx="395">
                  <c:v>-95.532068218220019</c:v>
                </c:pt>
                <c:pt idx="396">
                  <c:v>-95.556537413750618</c:v>
                </c:pt>
                <c:pt idx="397">
                  <c:v>-95.581651249028482</c:v>
                </c:pt>
                <c:pt idx="398">
                  <c:v>-95.606815563710981</c:v>
                </c:pt>
                <c:pt idx="399">
                  <c:v>-95.632029652481421</c:v>
                </c:pt>
                <c:pt idx="400">
                  <c:v>-95.657292827266915</c:v>
                </c:pt>
                <c:pt idx="401">
                  <c:v>-95.683176338113014</c:v>
                </c:pt>
                <c:pt idx="402">
                  <c:v>-95.709109773968436</c:v>
                </c:pt>
                <c:pt idx="403">
                  <c:v>-95.73509245195099</c:v>
                </c:pt>
                <c:pt idx="404">
                  <c:v>-95.761123706003474</c:v>
                </c:pt>
                <c:pt idx="405">
                  <c:v>-95.787807933950589</c:v>
                </c:pt>
                <c:pt idx="406">
                  <c:v>-95.81454165711763</c:v>
                </c:pt>
                <c:pt idx="407">
                  <c:v>-95.841324213725599</c:v>
                </c:pt>
                <c:pt idx="408">
                  <c:v>-95.868154958453971</c:v>
                </c:pt>
                <c:pt idx="409">
                  <c:v>-95.895671723199399</c:v>
                </c:pt>
                <c:pt idx="410">
                  <c:v>-95.923237672653869</c:v>
                </c:pt>
                <c:pt idx="411">
                  <c:v>-95.950852165103299</c:v>
                </c:pt>
                <c:pt idx="412">
                  <c:v>-95.978514574971825</c:v>
                </c:pt>
                <c:pt idx="413">
                  <c:v>-96.006867223549648</c:v>
                </c:pt>
                <c:pt idx="414">
                  <c:v>-96.035268761768492</c:v>
                </c:pt>
                <c:pt idx="415">
                  <c:v>-96.063718569104708</c:v>
                </c:pt>
                <c:pt idx="416">
                  <c:v>-96.092216040827722</c:v>
                </c:pt>
                <c:pt idx="417">
                  <c:v>-96.121437285985522</c:v>
                </c:pt>
                <c:pt idx="418">
                  <c:v>-96.150707246694324</c:v>
                </c:pt>
                <c:pt idx="419">
                  <c:v>-96.1800253228309</c:v>
                </c:pt>
                <c:pt idx="420">
                  <c:v>-96.209390929761767</c:v>
                </c:pt>
                <c:pt idx="421">
                  <c:v>-96.239455007243208</c:v>
                </c:pt>
                <c:pt idx="422">
                  <c:v>-96.269567555345077</c:v>
                </c:pt>
                <c:pt idx="423">
                  <c:v>-96.299727997176788</c:v>
                </c:pt>
                <c:pt idx="424">
                  <c:v>-96.329935770953441</c:v>
                </c:pt>
                <c:pt idx="425">
                  <c:v>-96.360935367502961</c:v>
                </c:pt>
                <c:pt idx="426">
                  <c:v>-96.391983506758507</c:v>
                </c:pt>
                <c:pt idx="427">
                  <c:v>-96.423079631088797</c:v>
                </c:pt>
                <c:pt idx="428">
                  <c:v>-96.454223197741754</c:v>
                </c:pt>
                <c:pt idx="429">
                  <c:v>-96.486133316473655</c:v>
                </c:pt>
                <c:pt idx="430">
                  <c:v>-96.518091986988608</c:v>
                </c:pt>
                <c:pt idx="431">
                  <c:v>-96.550098673840424</c:v>
                </c:pt>
                <c:pt idx="432">
                  <c:v>-96.582152856155815</c:v>
                </c:pt>
                <c:pt idx="433">
                  <c:v>-96.614977971433689</c:v>
                </c:pt>
                <c:pt idx="434">
                  <c:v>-96.647851690360966</c:v>
                </c:pt>
                <c:pt idx="435">
                  <c:v>-96.680773500757681</c:v>
                </c:pt>
                <c:pt idx="436">
                  <c:v>-96.713742904694612</c:v>
                </c:pt>
                <c:pt idx="437">
                  <c:v>-96.747548263043385</c:v>
                </c:pt>
                <c:pt idx="438">
                  <c:v>-96.78140250233244</c:v>
                </c:pt>
                <c:pt idx="439">
                  <c:v>-96.81530513204261</c:v>
                </c:pt>
                <c:pt idx="440">
                  <c:v>-96.849255675671699</c:v>
                </c:pt>
                <c:pt idx="441">
                  <c:v>-96.88404701120281</c:v>
                </c:pt>
                <c:pt idx="442">
                  <c:v>-96.918887554978014</c:v>
                </c:pt>
                <c:pt idx="443">
                  <c:v>-96.953776839519165</c:v>
                </c:pt>
                <c:pt idx="444">
                  <c:v>-96.988714411113136</c:v>
                </c:pt>
                <c:pt idx="445">
                  <c:v>-97.024497597361673</c:v>
                </c:pt>
                <c:pt idx="446">
                  <c:v>-97.060330378796607</c:v>
                </c:pt>
                <c:pt idx="447">
                  <c:v>-97.096212312279604</c:v>
                </c:pt>
                <c:pt idx="448">
                  <c:v>-97.132142968171678</c:v>
                </c:pt>
                <c:pt idx="449">
                  <c:v>-97.168985768449701</c:v>
                </c:pt>
                <c:pt idx="450">
                  <c:v>-97.205878787202138</c:v>
                </c:pt>
                <c:pt idx="451">
                  <c:v>-97.242821604791501</c:v>
                </c:pt>
                <c:pt idx="452">
                  <c:v>-97.279813814892222</c:v>
                </c:pt>
                <c:pt idx="453">
                  <c:v>-97.317692501551548</c:v>
                </c:pt>
                <c:pt idx="454">
                  <c:v>-97.355622019603786</c:v>
                </c:pt>
                <c:pt idx="455">
                  <c:v>-97.39360197547208</c:v>
                </c:pt>
                <c:pt idx="456">
                  <c:v>-97.431631988647013</c:v>
                </c:pt>
                <c:pt idx="457">
                  <c:v>-97.470615983801935</c:v>
                </c:pt>
                <c:pt idx="458">
                  <c:v>-97.509651673784631</c:v>
                </c:pt>
                <c:pt idx="459">
                  <c:v>-97.548738690691607</c:v>
                </c:pt>
                <c:pt idx="460">
                  <c:v>-97.587876679517493</c:v>
                </c:pt>
                <c:pt idx="461">
                  <c:v>-97.627974344775467</c:v>
                </c:pt>
                <c:pt idx="462">
                  <c:v>-97.668124660535895</c:v>
                </c:pt>
                <c:pt idx="463">
                  <c:v>-97.708327286298029</c:v>
                </c:pt>
                <c:pt idx="464">
                  <c:v>-97.748581894280306</c:v>
                </c:pt>
                <c:pt idx="465">
                  <c:v>-97.789833464592576</c:v>
                </c:pt>
                <c:pt idx="466">
                  <c:v>-97.831138827049799</c:v>
                </c:pt>
                <c:pt idx="467">
                  <c:v>-97.872497669556694</c:v>
                </c:pt>
                <c:pt idx="468">
                  <c:v>-97.913909692590238</c:v>
                </c:pt>
                <c:pt idx="469">
                  <c:v>-97.956324804436122</c:v>
                </c:pt>
                <c:pt idx="470">
                  <c:v>-97.998794965381435</c:v>
                </c:pt>
                <c:pt idx="471">
                  <c:v>-98.041319893632306</c:v>
                </c:pt>
                <c:pt idx="472">
                  <c:v>-98.083899319815018</c:v>
                </c:pt>
                <c:pt idx="473">
                  <c:v>-98.127551765150926</c:v>
                </c:pt>
                <c:pt idx="474">
                  <c:v>-98.171260809420787</c:v>
                </c:pt>
                <c:pt idx="475">
                  <c:v>-98.215026201962544</c:v>
                </c:pt>
                <c:pt idx="476">
                  <c:v>-98.258847704452947</c:v>
                </c:pt>
                <c:pt idx="477">
                  <c:v>-98.303749135028085</c:v>
                </c:pt>
                <c:pt idx="478">
                  <c:v>-98.348708856764191</c:v>
                </c:pt>
                <c:pt idx="479">
                  <c:v>-98.393726652455555</c:v>
                </c:pt>
                <c:pt idx="480">
                  <c:v>-98.438802317151428</c:v>
                </c:pt>
                <c:pt idx="481">
                  <c:v>-98.484965008801524</c:v>
                </c:pt>
                <c:pt idx="482">
                  <c:v>-98.531187841721859</c:v>
                </c:pt>
                <c:pt idx="483">
                  <c:v>-98.577470634524502</c:v>
                </c:pt>
                <c:pt idx="484">
                  <c:v>-98.62381321799559</c:v>
                </c:pt>
                <c:pt idx="485">
                  <c:v>-98.671282480789003</c:v>
                </c:pt>
                <c:pt idx="486">
                  <c:v>-98.71881399342189</c:v>
                </c:pt>
                <c:pt idx="487">
                  <c:v>-98.766407612463112</c:v>
                </c:pt>
                <c:pt idx="488">
                  <c:v>-98.814063206614634</c:v>
                </c:pt>
                <c:pt idx="489">
                  <c:v>-98.862918313120673</c:v>
                </c:pt>
                <c:pt idx="490">
                  <c:v>-98.911838142369959</c:v>
                </c:pt>
                <c:pt idx="491">
                  <c:v>-98.960822591206551</c:v>
                </c:pt>
                <c:pt idx="492">
                  <c:v>-99.009871568641003</c:v>
                </c:pt>
                <c:pt idx="493">
                  <c:v>-99.060128694522717</c:v>
                </c:pt>
                <c:pt idx="494">
                  <c:v>-99.11045323237451</c:v>
                </c:pt>
                <c:pt idx="495">
                  <c:v>-99.16084512254595</c:v>
                </c:pt>
                <c:pt idx="496">
                  <c:v>-99.211304317597154</c:v>
                </c:pt>
                <c:pt idx="497">
                  <c:v>-99.263013492605836</c:v>
                </c:pt>
                <c:pt idx="498">
                  <c:v>-99.31479309561422</c:v>
                </c:pt>
                <c:pt idx="499">
                  <c:v>-99.366643113832396</c:v>
                </c:pt>
                <c:pt idx="500">
                  <c:v>-99.418563546773598</c:v>
                </c:pt>
                <c:pt idx="501">
                  <c:v>-99.471776625398334</c:v>
                </c:pt>
                <c:pt idx="502">
                  <c:v>-99.525063503353095</c:v>
                </c:pt>
                <c:pt idx="503">
                  <c:v>-99.578424218545209</c:v>
                </c:pt>
                <c:pt idx="504">
                  <c:v>-99.631858821329871</c:v>
                </c:pt>
                <c:pt idx="505">
                  <c:v>-99.686596416980578</c:v>
                </c:pt>
                <c:pt idx="506">
                  <c:v>-99.741411476457017</c:v>
                </c:pt>
                <c:pt idx="507">
                  <c:v>-99.796304092549889</c:v>
                </c:pt>
                <c:pt idx="508">
                  <c:v>-99.851274370669501</c:v>
                </c:pt>
                <c:pt idx="509">
                  <c:v>-99.907591888734615</c:v>
                </c:pt>
                <c:pt idx="510">
                  <c:v>-99.9639909520412</c:v>
                </c:pt>
                <c:pt idx="511">
                  <c:v>-100.02047171297991</c:v>
                </c:pt>
                <c:pt idx="512">
                  <c:v>-100.07703433679757</c:v>
                </c:pt>
                <c:pt idx="513">
                  <c:v>-100.13502308489088</c:v>
                </c:pt>
                <c:pt idx="514">
                  <c:v>-100.19309801473194</c:v>
                </c:pt>
                <c:pt idx="515">
                  <c:v>-100.25125934405425</c:v>
                </c:pt>
                <c:pt idx="516">
                  <c:v>-100.30950730378537</c:v>
                </c:pt>
                <c:pt idx="517">
                  <c:v>-100.36919429451864</c:v>
                </c:pt>
                <c:pt idx="518">
                  <c:v>-100.42897250561633</c:v>
                </c:pt>
                <c:pt idx="519">
                  <c:v>-100.48884222596804</c:v>
                </c:pt>
                <c:pt idx="520">
                  <c:v>-100.54880375804497</c:v>
                </c:pt>
                <c:pt idx="521">
                  <c:v>-100.61025194916148</c:v>
                </c:pt>
                <c:pt idx="522">
                  <c:v>-100.67179694546004</c:v>
                </c:pt>
                <c:pt idx="523">
                  <c:v>-100.73343911384077</c:v>
                </c:pt>
                <c:pt idx="524">
                  <c:v>-100.79517883526209</c:v>
                </c:pt>
                <c:pt idx="525">
                  <c:v>-100.85845416642881</c:v>
                </c:pt>
                <c:pt idx="526">
                  <c:v>-100.92183248688148</c:v>
                </c:pt>
                <c:pt idx="527">
                  <c:v>-100.98531424926661</c:v>
                </c:pt>
                <c:pt idx="528">
                  <c:v>-101.04889992086761</c:v>
                </c:pt>
                <c:pt idx="529">
                  <c:v>-101.11407159238856</c:v>
                </c:pt>
                <c:pt idx="530">
                  <c:v>-101.17935309571608</c:v>
                </c:pt>
                <c:pt idx="531">
                  <c:v>-101.24474497796749</c:v>
                </c:pt>
                <c:pt idx="532">
                  <c:v>-101.31024780159002</c:v>
                </c:pt>
                <c:pt idx="533">
                  <c:v>-101.37742327647594</c:v>
                </c:pt>
                <c:pt idx="534">
                  <c:v>-101.44471627155026</c:v>
                </c:pt>
                <c:pt idx="535">
                  <c:v>-101.51212743925697</c:v>
                </c:pt>
                <c:pt idx="536">
                  <c:v>-101.57965744822712</c:v>
                </c:pt>
                <c:pt idx="537">
                  <c:v>-101.64884427899572</c:v>
                </c:pt>
                <c:pt idx="538">
                  <c:v>-101.71815687435183</c:v>
                </c:pt>
                <c:pt idx="539">
                  <c:v>-101.78759600113995</c:v>
                </c:pt>
                <c:pt idx="540">
                  <c:v>-101.85716244333122</c:v>
                </c:pt>
                <c:pt idx="541">
                  <c:v>-101.9285112600152</c:v>
                </c:pt>
                <c:pt idx="542">
                  <c:v>-101.99999521898658</c:v>
                </c:pt>
                <c:pt idx="543">
                  <c:v>-102.07161521630866</c:v>
                </c:pt>
                <c:pt idx="544">
                  <c:v>-102.1433721663508</c:v>
                </c:pt>
                <c:pt idx="545">
                  <c:v>-102.21693402384516</c:v>
                </c:pt>
                <c:pt idx="546">
                  <c:v>-102.29064124717465</c:v>
                </c:pt>
                <c:pt idx="547">
                  <c:v>-102.36449487458034</c:v>
                </c:pt>
                <c:pt idx="548">
                  <c:v>-102.43849596395013</c:v>
                </c:pt>
                <c:pt idx="549">
                  <c:v>-102.51436180065423</c:v>
                </c:pt>
                <c:pt idx="550">
                  <c:v>-102.59038430017786</c:v>
                </c:pt>
                <c:pt idx="551">
                  <c:v>-102.66656465884098</c:v>
                </c:pt>
                <c:pt idx="552">
                  <c:v>-102.74290409417586</c:v>
                </c:pt>
                <c:pt idx="553">
                  <c:v>-102.82120662802434</c:v>
                </c:pt>
                <c:pt idx="554">
                  <c:v>-102.89967846509947</c:v>
                </c:pt>
                <c:pt idx="555">
                  <c:v>-102.97832097965484</c:v>
                </c:pt>
                <c:pt idx="556">
                  <c:v>-103.05713556902346</c:v>
                </c:pt>
                <c:pt idx="557">
                  <c:v>-103.2190051781684</c:v>
                </c:pt>
                <c:pt idx="558">
                  <c:v>-103.38161421844774</c:v>
                </c:pt>
                <c:pt idx="559">
                  <c:v>-103.54872896301698</c:v>
                </c:pt>
                <c:pt idx="560">
                  <c:v>-103.71664514143781</c:v>
                </c:pt>
                <c:pt idx="561">
                  <c:v>-103.88939077681283</c:v>
                </c:pt>
                <c:pt idx="562">
                  <c:v>-104.06300793510934</c:v>
                </c:pt>
                <c:pt idx="563">
                  <c:v>-104.24126794742975</c:v>
                </c:pt>
                <c:pt idx="564">
                  <c:v>-104.42047308524354</c:v>
                </c:pt>
                <c:pt idx="565">
                  <c:v>-104.60519694742668</c:v>
                </c:pt>
                <c:pt idx="566">
                  <c:v>-104.79095500419396</c:v>
                </c:pt>
                <c:pt idx="567">
                  <c:v>-104.98237609000532</c:v>
                </c:pt>
                <c:pt idx="568">
                  <c:v>-105.1749293658555</c:v>
                </c:pt>
                <c:pt idx="569">
                  <c:v>-105.37252555798166</c:v>
                </c:pt>
                <c:pt idx="570">
                  <c:v>-105.57135203480549</c:v>
                </c:pt>
                <c:pt idx="571">
                  <c:v>-105.77694688469826</c:v>
                </c:pt>
                <c:pt idx="572">
                  <c:v>-105.98390035837372</c:v>
                </c:pt>
                <c:pt idx="573">
                  <c:v>-106.1962338505629</c:v>
                </c:pt>
                <c:pt idx="574">
                  <c:v>-106.4100456200637</c:v>
                </c:pt>
                <c:pt idx="575">
                  <c:v>-106.6310370213765</c:v>
                </c:pt>
                <c:pt idx="576">
                  <c:v>-106.85366192524782</c:v>
                </c:pt>
                <c:pt idx="577">
                  <c:v>-107.81521255640591</c:v>
                </c:pt>
                <c:pt idx="578">
                  <c:v>-108.81010924700587</c:v>
                </c:pt>
                <c:pt idx="579">
                  <c:v>-111.12576007732997</c:v>
                </c:pt>
                <c:pt idx="580">
                  <c:v>-113.92965330549163</c:v>
                </c:pt>
                <c:pt idx="581">
                  <c:v>-117.41315368304492</c:v>
                </c:pt>
                <c:pt idx="582">
                  <c:v>-121.89418007416538</c:v>
                </c:pt>
                <c:pt idx="583">
                  <c:v>-127.89774591695796</c:v>
                </c:pt>
                <c:pt idx="584">
                  <c:v>-136.32651851711097</c:v>
                </c:pt>
                <c:pt idx="585">
                  <c:v>-148.61484554565661</c:v>
                </c:pt>
                <c:pt idx="586">
                  <c:v>-166.39002321045672</c:v>
                </c:pt>
                <c:pt idx="587">
                  <c:v>-189.03687902920436</c:v>
                </c:pt>
                <c:pt idx="588">
                  <c:v>-211.14152609907828</c:v>
                </c:pt>
                <c:pt idx="589">
                  <c:v>-227.89452833503788</c:v>
                </c:pt>
                <c:pt idx="590">
                  <c:v>-239.23671332441634</c:v>
                </c:pt>
                <c:pt idx="591">
                  <c:v>-246.86295046116987</c:v>
                </c:pt>
                <c:pt idx="592">
                  <c:v>-252.14356723480159</c:v>
                </c:pt>
                <c:pt idx="593">
                  <c:v>-255.9276840673032</c:v>
                </c:pt>
                <c:pt idx="594">
                  <c:v>-258.71969085229409</c:v>
                </c:pt>
                <c:pt idx="595">
                  <c:v>-260.82945117312386</c:v>
                </c:pt>
                <c:pt idx="596">
                  <c:v>-262.45356901344991</c:v>
                </c:pt>
                <c:pt idx="597">
                  <c:v>-263.72320891744545</c:v>
                </c:pt>
                <c:pt idx="598">
                  <c:v>-264.72813813239321</c:v>
                </c:pt>
                <c:pt idx="599">
                  <c:v>-265.53256647791852</c:v>
                </c:pt>
                <c:pt idx="600">
                  <c:v>-266.1828552522478</c:v>
                </c:pt>
              </c:numCache>
            </c:numRef>
          </c:yVal>
          <c:smooth val="0"/>
          <c:extLst>
            <c:ext xmlns:c16="http://schemas.microsoft.com/office/drawing/2014/chart" uri="{C3380CC4-5D6E-409C-BE32-E72D297353CC}">
              <c16:uniqueId val="{00000001-5314-496C-84FB-BC9D9C42BA7D}"/>
            </c:ext>
          </c:extLst>
        </c:ser>
        <c:dLbls>
          <c:showLegendKey val="0"/>
          <c:showVal val="0"/>
          <c:showCatName val="0"/>
          <c:showSerName val="0"/>
          <c:showPercent val="0"/>
          <c:showBubbleSize val="0"/>
        </c:dLbls>
        <c:axId val="184341632"/>
        <c:axId val="184343168"/>
      </c:scatterChart>
      <c:valAx>
        <c:axId val="18432524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4327168"/>
        <c:crossesAt val="-40"/>
        <c:crossBetween val="midCat"/>
        <c:majorUnit val="10"/>
        <c:minorUnit val="10"/>
      </c:valAx>
      <c:valAx>
        <c:axId val="18432716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4325248"/>
        <c:crossesAt val="0.1"/>
        <c:crossBetween val="midCat"/>
        <c:majorUnit val="20"/>
        <c:minorUnit val="4"/>
      </c:valAx>
      <c:valAx>
        <c:axId val="184341632"/>
        <c:scaling>
          <c:logBase val="10"/>
          <c:orientation val="minMax"/>
        </c:scaling>
        <c:delete val="1"/>
        <c:axPos val="t"/>
        <c:numFmt formatCode="General" sourceLinked="1"/>
        <c:majorTickMark val="out"/>
        <c:minorTickMark val="none"/>
        <c:tickLblPos val="none"/>
        <c:crossAx val="184343168"/>
        <c:crossesAt val="0"/>
        <c:crossBetween val="midCat"/>
      </c:valAx>
      <c:valAx>
        <c:axId val="184343168"/>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434163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49-4ADE-B8CD-DD5F374AD6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284082.64698583551</c:v>
                </c:pt>
              </c:numCache>
            </c:numRef>
          </c:xVal>
          <c:yVal>
            <c:numRef>
              <c:f>'Stability Calculations'!$Q$627</c:f>
              <c:numCache>
                <c:formatCode>0.00</c:formatCode>
                <c:ptCount val="1"/>
                <c:pt idx="0">
                  <c:v>-42.338805633770669</c:v>
                </c:pt>
              </c:numCache>
            </c:numRef>
          </c:yVal>
          <c:smooth val="0"/>
          <c:extLst>
            <c:ext xmlns:c16="http://schemas.microsoft.com/office/drawing/2014/chart" uri="{C3380CC4-5D6E-409C-BE32-E72D297353CC}">
              <c16:uniqueId val="{00000001-4B49-4ADE-B8CD-DD5F374AD671}"/>
            </c:ext>
          </c:extLst>
        </c:ser>
        <c:dLbls>
          <c:showLegendKey val="0"/>
          <c:showVal val="0"/>
          <c:showCatName val="0"/>
          <c:showSerName val="0"/>
          <c:showPercent val="0"/>
          <c:showBubbleSize val="0"/>
        </c:dLbls>
        <c:axId val="165647872"/>
        <c:axId val="1656497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72.675341978961711</c:v>
                </c:pt>
                <c:pt idx="1">
                  <c:v>71.878129953865198</c:v>
                </c:pt>
                <c:pt idx="2">
                  <c:v>71.080509909242522</c:v>
                </c:pt>
                <c:pt idx="3">
                  <c:v>70.282532782338905</c:v>
                </c:pt>
                <c:pt idx="4">
                  <c:v>69.484762952859896</c:v>
                </c:pt>
                <c:pt idx="5">
                  <c:v>68.685908403274695</c:v>
                </c:pt>
                <c:pt idx="6">
                  <c:v>67.887133073741126</c:v>
                </c:pt>
                <c:pt idx="7">
                  <c:v>67.087935507079152</c:v>
                </c:pt>
                <c:pt idx="8">
                  <c:v>66.288919281931641</c:v>
                </c:pt>
                <c:pt idx="9">
                  <c:v>65.489497190285462</c:v>
                </c:pt>
                <c:pt idx="10">
                  <c:v>64.690143869903267</c:v>
                </c:pt>
                <c:pt idx="11">
                  <c:v>63.890758269330078</c:v>
                </c:pt>
                <c:pt idx="12">
                  <c:v>63.090928266976661</c:v>
                </c:pt>
                <c:pt idx="13">
                  <c:v>62.291431525807077</c:v>
                </c:pt>
                <c:pt idx="14">
                  <c:v>61.491637835105955</c:v>
                </c:pt>
                <c:pt idx="15">
                  <c:v>60.691861649720245</c:v>
                </c:pt>
                <c:pt idx="16">
                  <c:v>59.892044364201737</c:v>
                </c:pt>
                <c:pt idx="17">
                  <c:v>59.092304694531698</c:v>
                </c:pt>
                <c:pt idx="18">
                  <c:v>58.292414548088729</c:v>
                </c:pt>
                <c:pt idx="19">
                  <c:v>57.492592218547536</c:v>
                </c:pt>
                <c:pt idx="20">
                  <c:v>56.692680882812148</c:v>
                </c:pt>
                <c:pt idx="21">
                  <c:v>55.892845798483826</c:v>
                </c:pt>
                <c:pt idx="22">
                  <c:v>55.092917883580739</c:v>
                </c:pt>
                <c:pt idx="23">
                  <c:v>54.293096727076176</c:v>
                </c:pt>
                <c:pt idx="24">
                  <c:v>53.493180519773503</c:v>
                </c:pt>
                <c:pt idx="25">
                  <c:v>52.69329508838063</c:v>
                </c:pt>
                <c:pt idx="26">
                  <c:v>51.893256513638029</c:v>
                </c:pt>
                <c:pt idx="27">
                  <c:v>51.093322540507238</c:v>
                </c:pt>
                <c:pt idx="28">
                  <c:v>50.293465901758623</c:v>
                </c:pt>
                <c:pt idx="29">
                  <c:v>49.494188296171501</c:v>
                </c:pt>
                <c:pt idx="30">
                  <c:v>48.69414434611771</c:v>
                </c:pt>
                <c:pt idx="31">
                  <c:v>47.894459727707321</c:v>
                </c:pt>
                <c:pt idx="32">
                  <c:v>47.094601512883813</c:v>
                </c:pt>
                <c:pt idx="33">
                  <c:v>46.295151308993432</c:v>
                </c:pt>
                <c:pt idx="34">
                  <c:v>45.495506798038846</c:v>
                </c:pt>
                <c:pt idx="35">
                  <c:v>44.696135189428993</c:v>
                </c:pt>
                <c:pt idx="36">
                  <c:v>43.89693463583648</c:v>
                </c:pt>
                <c:pt idx="37">
                  <c:v>43.097499389454825</c:v>
                </c:pt>
                <c:pt idx="38">
                  <c:v>42.298619923033002</c:v>
                </c:pt>
                <c:pt idx="39">
                  <c:v>41.499687125050862</c:v>
                </c:pt>
                <c:pt idx="40">
                  <c:v>40.701043994405239</c:v>
                </c:pt>
                <c:pt idx="41">
                  <c:v>39.902669814930313</c:v>
                </c:pt>
                <c:pt idx="42">
                  <c:v>39.10473107339601</c:v>
                </c:pt>
                <c:pt idx="43">
                  <c:v>38.307059969166147</c:v>
                </c:pt>
                <c:pt idx="44">
                  <c:v>37.509947517123848</c:v>
                </c:pt>
                <c:pt idx="45">
                  <c:v>36.713326455334553</c:v>
                </c:pt>
                <c:pt idx="46">
                  <c:v>35.917468712184288</c:v>
                </c:pt>
                <c:pt idx="47">
                  <c:v>35.122334808102337</c:v>
                </c:pt>
                <c:pt idx="48">
                  <c:v>34.328276726962997</c:v>
                </c:pt>
                <c:pt idx="49">
                  <c:v>33.535276621392789</c:v>
                </c:pt>
                <c:pt idx="50">
                  <c:v>32.743675252121555</c:v>
                </c:pt>
                <c:pt idx="51">
                  <c:v>31.95354512635836</c:v>
                </c:pt>
                <c:pt idx="52">
                  <c:v>31.165438545660976</c:v>
                </c:pt>
                <c:pt idx="53">
                  <c:v>30.379674190393132</c:v>
                </c:pt>
                <c:pt idx="54">
                  <c:v>29.597141417318618</c:v>
                </c:pt>
                <c:pt idx="55">
                  <c:v>28.816981617868947</c:v>
                </c:pt>
                <c:pt idx="56">
                  <c:v>28.040813100245444</c:v>
                </c:pt>
                <c:pt idx="57">
                  <c:v>27.268696848399735</c:v>
                </c:pt>
                <c:pt idx="58">
                  <c:v>26.501829187580384</c:v>
                </c:pt>
                <c:pt idx="59">
                  <c:v>25.74031645756946</c:v>
                </c:pt>
                <c:pt idx="60">
                  <c:v>24.985322170834724</c:v>
                </c:pt>
                <c:pt idx="61">
                  <c:v>24.23747337672145</c:v>
                </c:pt>
                <c:pt idx="62">
                  <c:v>23.497094722728868</c:v>
                </c:pt>
                <c:pt idx="63">
                  <c:v>22.765545358086587</c:v>
                </c:pt>
                <c:pt idx="64">
                  <c:v>22.042763268153944</c:v>
                </c:pt>
                <c:pt idx="65">
                  <c:v>21.329364619366544</c:v>
                </c:pt>
                <c:pt idx="66">
                  <c:v>20.625367868452283</c:v>
                </c:pt>
                <c:pt idx="67">
                  <c:v>19.930625036620985</c:v>
                </c:pt>
                <c:pt idx="68">
                  <c:v>19.244313414188014</c:v>
                </c:pt>
                <c:pt idx="69">
                  <c:v>18.565594420236767</c:v>
                </c:pt>
                <c:pt idx="70">
                  <c:v>17.892912672109805</c:v>
                </c:pt>
                <c:pt idx="71">
                  <c:v>17.224635691657998</c:v>
                </c:pt>
                <c:pt idx="72">
                  <c:v>16.558586923880682</c:v>
                </c:pt>
                <c:pt idx="73">
                  <c:v>15.892752108562361</c:v>
                </c:pt>
                <c:pt idx="74">
                  <c:v>15.224774114809538</c:v>
                </c:pt>
                <c:pt idx="75">
                  <c:v>14.552698260360739</c:v>
                </c:pt>
                <c:pt idx="76">
                  <c:v>13.874559677591101</c:v>
                </c:pt>
                <c:pt idx="77">
                  <c:v>13.189107941871068</c:v>
                </c:pt>
                <c:pt idx="78">
                  <c:v>12.495245747978604</c:v>
                </c:pt>
                <c:pt idx="79">
                  <c:v>11.792745445453111</c:v>
                </c:pt>
                <c:pt idx="80">
                  <c:v>11.080125306123234</c:v>
                </c:pt>
                <c:pt idx="81">
                  <c:v>10.358413256032685</c:v>
                </c:pt>
                <c:pt idx="82">
                  <c:v>9.6274283952386916</c:v>
                </c:pt>
                <c:pt idx="83">
                  <c:v>8.8881978617658621</c:v>
                </c:pt>
                <c:pt idx="84">
                  <c:v>8.140788795444168</c:v>
                </c:pt>
                <c:pt idx="85">
                  <c:v>7.386330146321952</c:v>
                </c:pt>
                <c:pt idx="86">
                  <c:v>6.6254457783412786</c:v>
                </c:pt>
                <c:pt idx="87">
                  <c:v>5.8584494409254519</c:v>
                </c:pt>
                <c:pt idx="88">
                  <c:v>5.086763700454993</c:v>
                </c:pt>
                <c:pt idx="89">
                  <c:v>4.3104085645337475</c:v>
                </c:pt>
                <c:pt idx="90">
                  <c:v>3.5302548291487303</c:v>
                </c:pt>
                <c:pt idx="91">
                  <c:v>2.7467484789728132</c:v>
                </c:pt>
                <c:pt idx="92">
                  <c:v>1.9604439140566483</c:v>
                </c:pt>
                <c:pt idx="93">
                  <c:v>1.1714907687048834</c:v>
                </c:pt>
                <c:pt idx="94">
                  <c:v>0.97397800488938324</c:v>
                </c:pt>
                <c:pt idx="95">
                  <c:v>0.87455967693527759</c:v>
                </c:pt>
                <c:pt idx="96">
                  <c:v>0.77624690907410687</c:v>
                </c:pt>
                <c:pt idx="97">
                  <c:v>0.67677421197792287</c:v>
                </c:pt>
                <c:pt idx="98">
                  <c:v>0.57840859277344636</c:v>
                </c:pt>
                <c:pt idx="99">
                  <c:v>0.47885855192042293</c:v>
                </c:pt>
                <c:pt idx="100">
                  <c:v>0.38041758356478711</c:v>
                </c:pt>
                <c:pt idx="101">
                  <c:v>0.28084435906950556</c:v>
                </c:pt>
                <c:pt idx="102">
                  <c:v>0.18238096930926209</c:v>
                </c:pt>
                <c:pt idx="103">
                  <c:v>8.2690686829037657E-2</c:v>
                </c:pt>
                <c:pt idx="104">
                  <c:v>-1.5886949035082597E-2</c:v>
                </c:pt>
                <c:pt idx="105">
                  <c:v>-0.11563742105778618</c:v>
                </c:pt>
                <c:pt idx="106">
                  <c:v>-0.21427372791604166</c:v>
                </c:pt>
                <c:pt idx="107">
                  <c:v>-0.3140311818871771</c:v>
                </c:pt>
                <c:pt idx="108">
                  <c:v>-0.41267416727358031</c:v>
                </c:pt>
                <c:pt idx="109">
                  <c:v>-0.51245644824651693</c:v>
                </c:pt>
                <c:pt idx="110">
                  <c:v>-0.61112359443028974</c:v>
                </c:pt>
                <c:pt idx="111">
                  <c:v>-0.71101194296827819</c:v>
                </c:pt>
                <c:pt idx="112">
                  <c:v>-0.80978271720175232</c:v>
                </c:pt>
                <c:pt idx="113">
                  <c:v>-0.90972089201570716</c:v>
                </c:pt>
                <c:pt idx="114">
                  <c:v>-1.0085403368967356</c:v>
                </c:pt>
                <c:pt idx="115">
                  <c:v>-1.108538887918797</c:v>
                </c:pt>
                <c:pt idx="116">
                  <c:v>-1.2074173521728975</c:v>
                </c:pt>
                <c:pt idx="117">
                  <c:v>-1.3074847089847219</c:v>
                </c:pt>
                <c:pt idx="118">
                  <c:v>-1.4064304681917383</c:v>
                </c:pt>
                <c:pt idx="119">
                  <c:v>-1.506512749513405</c:v>
                </c:pt>
                <c:pt idx="120">
                  <c:v>-1.605473157998021</c:v>
                </c:pt>
                <c:pt idx="121">
                  <c:v>-1.7055790613425437</c:v>
                </c:pt>
                <c:pt idx="122">
                  <c:v>-1.8045626580069989</c:v>
                </c:pt>
                <c:pt idx="123">
                  <c:v>-1.9047567271387389</c:v>
                </c:pt>
                <c:pt idx="124">
                  <c:v>-2.0038266517043577</c:v>
                </c:pt>
                <c:pt idx="125">
                  <c:v>-2.1040537801413168</c:v>
                </c:pt>
                <c:pt idx="126">
                  <c:v>-2.2031561913528237</c:v>
                </c:pt>
                <c:pt idx="127">
                  <c:v>-2.303420057664828</c:v>
                </c:pt>
                <c:pt idx="128">
                  <c:v>-2.4025585886850758</c:v>
                </c:pt>
                <c:pt idx="129">
                  <c:v>-2.5028614349191343</c:v>
                </c:pt>
                <c:pt idx="130">
                  <c:v>-2.6020383150302373</c:v>
                </c:pt>
                <c:pt idx="131">
                  <c:v>-2.7023810691757717</c:v>
                </c:pt>
                <c:pt idx="132">
                  <c:v>-2.7521283862241481</c:v>
                </c:pt>
                <c:pt idx="133">
                  <c:v>-2.8015972435991183</c:v>
                </c:pt>
                <c:pt idx="134">
                  <c:v>-2.8519568530626054</c:v>
                </c:pt>
                <c:pt idx="135">
                  <c:v>-2.9020311659876334</c:v>
                </c:pt>
                <c:pt idx="136">
                  <c:v>-2.9518234175835136</c:v>
                </c:pt>
                <c:pt idx="137">
                  <c:v>-3.0013367888337719</c:v>
                </c:pt>
                <c:pt idx="138">
                  <c:v>-3.0516891124409211</c:v>
                </c:pt>
                <c:pt idx="139">
                  <c:v>-3.1017563098378531</c:v>
                </c:pt>
                <c:pt idx="140">
                  <c:v>-3.1515416153508897</c:v>
                </c:pt>
                <c:pt idx="141">
                  <c:v>-3.2010482090756804</c:v>
                </c:pt>
                <c:pt idx="142">
                  <c:v>-3.2514433339783055</c:v>
                </c:pt>
                <c:pt idx="143">
                  <c:v>-3.3015529474138381</c:v>
                </c:pt>
                <c:pt idx="144">
                  <c:v>-3.3513802922520668</c:v>
                </c:pt>
                <c:pt idx="145">
                  <c:v>-3.4009285569178171</c:v>
                </c:pt>
                <c:pt idx="146">
                  <c:v>-3.4513389812312085</c:v>
                </c:pt>
                <c:pt idx="147">
                  <c:v>-3.5014638299782637</c:v>
                </c:pt>
                <c:pt idx="148">
                  <c:v>-3.55130634912233</c:v>
                </c:pt>
                <c:pt idx="149">
                  <c:v>-3.6008697300898529</c:v>
                </c:pt>
                <c:pt idx="150">
                  <c:v>-3.6512934637898873</c:v>
                </c:pt>
                <c:pt idx="151">
                  <c:v>-3.7014315909991922</c:v>
                </c:pt>
                <c:pt idx="152">
                  <c:v>-3.7512873602137327</c:v>
                </c:pt>
                <c:pt idx="153">
                  <c:v>-3.800863965313948</c:v>
                </c:pt>
                <c:pt idx="154">
                  <c:v>-3.8513218064562005</c:v>
                </c:pt>
                <c:pt idx="155">
                  <c:v>-3.9014937862008852</c:v>
                </c:pt>
                <c:pt idx="156">
                  <c:v>-3.9513831593968751</c:v>
                </c:pt>
                <c:pt idx="157">
                  <c:v>-4.0009931261141949</c:v>
                </c:pt>
                <c:pt idx="158">
                  <c:v>-4.0514808640674431</c:v>
                </c:pt>
                <c:pt idx="159">
                  <c:v>-4.101682544591946</c:v>
                </c:pt>
                <c:pt idx="160">
                  <c:v>-4.1516014279029338</c:v>
                </c:pt>
                <c:pt idx="161">
                  <c:v>-4.2012407192960941</c:v>
                </c:pt>
                <c:pt idx="162">
                  <c:v>-4.2517318172597225</c:v>
                </c:pt>
                <c:pt idx="163">
                  <c:v>-4.3019369731692505</c:v>
                </c:pt>
                <c:pt idx="164">
                  <c:v>-4.3518594473123287</c:v>
                </c:pt>
                <c:pt idx="165">
                  <c:v>-4.4015024450356748</c:v>
                </c:pt>
                <c:pt idx="166">
                  <c:v>-4.4520370531949158</c:v>
                </c:pt>
                <c:pt idx="167">
                  <c:v>-4.5022853930299247</c:v>
                </c:pt>
                <c:pt idx="168">
                  <c:v>-4.5522507324532828</c:v>
                </c:pt>
                <c:pt idx="169">
                  <c:v>-4.6019362842466212</c:v>
                </c:pt>
                <c:pt idx="170">
                  <c:v>-4.6524024758274605</c:v>
                </c:pt>
                <c:pt idx="171">
                  <c:v>-4.7025833484654758</c:v>
                </c:pt>
                <c:pt idx="172">
                  <c:v>-4.7524821559448487</c:v>
                </c:pt>
                <c:pt idx="173">
                  <c:v>-4.8021020972171673</c:v>
                </c:pt>
                <c:pt idx="174">
                  <c:v>-4.8526867535670846</c:v>
                </c:pt>
                <c:pt idx="175">
                  <c:v>-4.9029849437726085</c:v>
                </c:pt>
                <c:pt idx="176">
                  <c:v>-4.9529999433098384</c:v>
                </c:pt>
                <c:pt idx="177">
                  <c:v>-5.002734972317926</c:v>
                </c:pt>
                <c:pt idx="178">
                  <c:v>-5.0534059222353198</c:v>
                </c:pt>
                <c:pt idx="179">
                  <c:v>-5.1037896345222586</c:v>
                </c:pt>
                <c:pt idx="180">
                  <c:v>-5.1538894000022868</c:v>
                </c:pt>
                <c:pt idx="181">
                  <c:v>-5.2037084537996794</c:v>
                </c:pt>
                <c:pt idx="182">
                  <c:v>-5.2542379977922335</c:v>
                </c:pt>
                <c:pt idx="183">
                  <c:v>-5.3044821166336966</c:v>
                </c:pt>
                <c:pt idx="184">
                  <c:v>-5.3544440722929814</c:v>
                </c:pt>
                <c:pt idx="185">
                  <c:v>-5.4041270716716756</c:v>
                </c:pt>
                <c:pt idx="186">
                  <c:v>-5.4548866840238119</c:v>
                </c:pt>
                <c:pt idx="187">
                  <c:v>-5.5053585049843878</c:v>
                </c:pt>
                <c:pt idx="188">
                  <c:v>-5.5555458392704598</c:v>
                </c:pt>
                <c:pt idx="189">
                  <c:v>-5.6054519355539991</c:v>
                </c:pt>
                <c:pt idx="190">
                  <c:v>-5.6560244048629027</c:v>
                </c:pt>
                <c:pt idx="191">
                  <c:v>-5.7063114392687799</c:v>
                </c:pt>
                <c:pt idx="192">
                  <c:v>-5.7563163053303912</c:v>
                </c:pt>
                <c:pt idx="193">
                  <c:v>-5.8060422144047745</c:v>
                </c:pt>
                <c:pt idx="194">
                  <c:v>-5.8567850868860347</c:v>
                </c:pt>
                <c:pt idx="195">
                  <c:v>-5.9072408630808528</c:v>
                </c:pt>
                <c:pt idx="196">
                  <c:v>-5.9574128403200604</c:v>
                </c:pt>
                <c:pt idx="197">
                  <c:v>-6.0073042600252098</c:v>
                </c:pt>
                <c:pt idx="198">
                  <c:v>-6.0580016683067628</c:v>
                </c:pt>
                <c:pt idx="199">
                  <c:v>-6.1084127680829088</c:v>
                </c:pt>
                <c:pt idx="200">
                  <c:v>-6.1585408454961419</c:v>
                </c:pt>
                <c:pt idx="201">
                  <c:v>-6.208389131017209</c:v>
                </c:pt>
                <c:pt idx="202">
                  <c:v>-6.2590200466293977</c:v>
                </c:pt>
                <c:pt idx="203">
                  <c:v>-6.3093656915386518</c:v>
                </c:pt>
                <c:pt idx="204">
                  <c:v>-6.3594293364588372</c:v>
                </c:pt>
                <c:pt idx="205">
                  <c:v>-6.4092141967653387</c:v>
                </c:pt>
                <c:pt idx="206">
                  <c:v>-6.4599317691111544</c:v>
                </c:pt>
                <c:pt idx="207">
                  <c:v>-6.5103634022921444</c:v>
                </c:pt>
                <c:pt idx="208">
                  <c:v>-6.5605123809270074</c:v>
                </c:pt>
                <c:pt idx="209">
                  <c:v>-6.6103819339692818</c:v>
                </c:pt>
                <c:pt idx="210">
                  <c:v>-6.6613254746711821</c:v>
                </c:pt>
                <c:pt idx="211">
                  <c:v>-6.7119808560095198</c:v>
                </c:pt>
                <c:pt idx="212">
                  <c:v>-6.762351403352663</c:v>
                </c:pt>
                <c:pt idx="213">
                  <c:v>-6.81244038547025</c:v>
                </c:pt>
                <c:pt idx="214">
                  <c:v>-6.8632411108798621</c:v>
                </c:pt>
                <c:pt idx="215">
                  <c:v>-6.9137556281591213</c:v>
                </c:pt>
                <c:pt idx="216">
                  <c:v>-6.9639872316289155</c:v>
                </c:pt>
                <c:pt idx="217">
                  <c:v>-7.013939159699869</c:v>
                </c:pt>
                <c:pt idx="218">
                  <c:v>-7.0647440614557198</c:v>
                </c:pt>
                <c:pt idx="219">
                  <c:v>-7.1152630675944692</c:v>
                </c:pt>
                <c:pt idx="220">
                  <c:v>-7.165499469693617</c:v>
                </c:pt>
                <c:pt idx="221">
                  <c:v>-7.2154565034696674</c:v>
                </c:pt>
                <c:pt idx="222">
                  <c:v>-7.266241761802549</c:v>
                </c:pt>
                <c:pt idx="223">
                  <c:v>-7.3167417223499855</c:v>
                </c:pt>
                <c:pt idx="224">
                  <c:v>-7.3669596691004617</c:v>
                </c:pt>
                <c:pt idx="225">
                  <c:v>-7.4168988303402887</c:v>
                </c:pt>
                <c:pt idx="226">
                  <c:v>-7.4677966077698601</c:v>
                </c:pt>
                <c:pt idx="227">
                  <c:v>-7.518408223524748</c:v>
                </c:pt>
                <c:pt idx="228">
                  <c:v>-7.5687369792704615</c:v>
                </c:pt>
                <c:pt idx="229">
                  <c:v>-7.6187861205590846</c:v>
                </c:pt>
                <c:pt idx="230">
                  <c:v>-7.7204586215763884</c:v>
                </c:pt>
                <c:pt idx="231">
                  <c:v>-7.7708681957078927</c:v>
                </c:pt>
                <c:pt idx="232">
                  <c:v>-7.8209976800729457</c:v>
                </c:pt>
                <c:pt idx="233">
                  <c:v>-7.8720303821292674</c:v>
                </c:pt>
                <c:pt idx="234">
                  <c:v>-7.9227762704219007</c:v>
                </c:pt>
                <c:pt idx="235">
                  <c:v>-7.9732386637519239</c:v>
                </c:pt>
                <c:pt idx="236">
                  <c:v>-8.0234208243955205</c:v>
                </c:pt>
                <c:pt idx="237">
                  <c:v>-8.0743356819747341</c:v>
                </c:pt>
                <c:pt idx="238">
                  <c:v>-8.1249655063190502</c:v>
                </c:pt>
                <c:pt idx="239">
                  <c:v>-8.1753135885112869</c:v>
                </c:pt>
                <c:pt idx="240">
                  <c:v>-8.2253831637245476</c:v>
                </c:pt>
                <c:pt idx="241">
                  <c:v>-8.276446978886824</c:v>
                </c:pt>
                <c:pt idx="242">
                  <c:v>-8.3272245805786174</c:v>
                </c:pt>
                <c:pt idx="243">
                  <c:v>-8.3777192834516327</c:v>
                </c:pt>
                <c:pt idx="244">
                  <c:v>-8.4279343457032283</c:v>
                </c:pt>
                <c:pt idx="245">
                  <c:v>-8.4789765367116665</c:v>
                </c:pt>
                <c:pt idx="246">
                  <c:v>-8.5297332645389687</c:v>
                </c:pt>
                <c:pt idx="247">
                  <c:v>-8.580207834111647</c:v>
                </c:pt>
                <c:pt idx="248">
                  <c:v>-8.6304034941104177</c:v>
                </c:pt>
                <c:pt idx="249">
                  <c:v>-8.6815375800298185</c:v>
                </c:pt>
                <c:pt idx="250">
                  <c:v>-8.7323857109367324</c:v>
                </c:pt>
                <c:pt idx="251">
                  <c:v>-8.7829512036589925</c:v>
                </c:pt>
                <c:pt idx="252">
                  <c:v>-8.8332373184976056</c:v>
                </c:pt>
                <c:pt idx="253">
                  <c:v>-8.8843027106922818</c:v>
                </c:pt>
                <c:pt idx="254">
                  <c:v>-8.9350834710632512</c:v>
                </c:pt>
                <c:pt idx="255">
                  <c:v>-8.9855828969832956</c:v>
                </c:pt>
                <c:pt idx="256">
                  <c:v>-9.035804229727221</c:v>
                </c:pt>
                <c:pt idx="257">
                  <c:v>-9.0870409796033353</c:v>
                </c:pt>
                <c:pt idx="258">
                  <c:v>-9.1379917760625169</c:v>
                </c:pt>
                <c:pt idx="259">
                  <c:v>-9.1886599430218858</c:v>
                </c:pt>
                <c:pt idx="260">
                  <c:v>-9.2390487476876206</c:v>
                </c:pt>
                <c:pt idx="261">
                  <c:v>-9.2902971412440074</c:v>
                </c:pt>
                <c:pt idx="262">
                  <c:v>-9.3412600662934437</c:v>
                </c:pt>
                <c:pt idx="263">
                  <c:v>-9.3919408420695518</c:v>
                </c:pt>
                <c:pt idx="264">
                  <c:v>-9.4423427311893704</c:v>
                </c:pt>
                <c:pt idx="265">
                  <c:v>-9.4935797497707561</c:v>
                </c:pt>
                <c:pt idx="266">
                  <c:v>-9.544532067678265</c:v>
                </c:pt>
                <c:pt idx="267">
                  <c:v>-9.595202994660573</c:v>
                </c:pt>
                <c:pt idx="268">
                  <c:v>-9.6455957840528157</c:v>
                </c:pt>
                <c:pt idx="269">
                  <c:v>-9.6969208357545327</c:v>
                </c:pt>
                <c:pt idx="270">
                  <c:v>-9.7479608823204327</c:v>
                </c:pt>
                <c:pt idx="271">
                  <c:v>-9.7987192427978957</c:v>
                </c:pt>
                <c:pt idx="272">
                  <c:v>-9.849199179597683</c:v>
                </c:pt>
                <c:pt idx="273">
                  <c:v>-9.9005846771149706</c:v>
                </c:pt>
                <c:pt idx="274">
                  <c:v>-9.9516852034321985</c:v>
                </c:pt>
                <c:pt idx="275">
                  <c:v>-10.00250408115676</c:v>
                </c:pt>
                <c:pt idx="276">
                  <c:v>-10.05304457616605</c:v>
                </c:pt>
                <c:pt idx="277">
                  <c:v>-10.104349377589985</c:v>
                </c:pt>
                <c:pt idx="278">
                  <c:v>-10.155370831615677</c:v>
                </c:pt>
                <c:pt idx="279">
                  <c:v>-10.20611223683739</c:v>
                </c:pt>
                <c:pt idx="280">
                  <c:v>-10.256576835651039</c:v>
                </c:pt>
                <c:pt idx="281">
                  <c:v>-10.308123613887432</c:v>
                </c:pt>
                <c:pt idx="282">
                  <c:v>-10.359385143164875</c:v>
                </c:pt>
                <c:pt idx="283">
                  <c:v>-10.41036475970474</c:v>
                </c:pt>
                <c:pt idx="284">
                  <c:v>-10.461065742662738</c:v>
                </c:pt>
                <c:pt idx="285">
                  <c:v>-10.512485988223172</c:v>
                </c:pt>
                <c:pt idx="286">
                  <c:v>-10.563623180376769</c:v>
                </c:pt>
                <c:pt idx="287">
                  <c:v>-10.614480621591776</c:v>
                </c:pt>
                <c:pt idx="288">
                  <c:v>-10.665061558023375</c:v>
                </c:pt>
                <c:pt idx="289">
                  <c:v>-10.716666642581396</c:v>
                </c:pt>
                <c:pt idx="290">
                  <c:v>-10.767987479830662</c:v>
                </c:pt>
                <c:pt idx="291">
                  <c:v>-10.819027397867076</c:v>
                </c:pt>
                <c:pt idx="292">
                  <c:v>-10.869789667877313</c:v>
                </c:pt>
                <c:pt idx="293">
                  <c:v>-10.921441022231013</c:v>
                </c:pt>
                <c:pt idx="294">
                  <c:v>-10.97280849828628</c:v>
                </c:pt>
                <c:pt idx="295">
                  <c:v>-11.023895422625682</c:v>
                </c:pt>
                <c:pt idx="296">
                  <c:v>-11.074705064941867</c:v>
                </c:pt>
                <c:pt idx="297">
                  <c:v>-11.126378959504281</c:v>
                </c:pt>
                <c:pt idx="298">
                  <c:v>-11.177769643273678</c:v>
                </c:pt>
                <c:pt idx="299">
                  <c:v>-11.228880436249728</c:v>
                </c:pt>
                <c:pt idx="300">
                  <c:v>-11.279714601676066</c:v>
                </c:pt>
                <c:pt idx="301">
                  <c:v>-11.331389088638165</c:v>
                </c:pt>
                <c:pt idx="302">
                  <c:v>-11.382781309961207</c:v>
                </c:pt>
                <c:pt idx="303">
                  <c:v>-11.433894574353669</c:v>
                </c:pt>
                <c:pt idx="304">
                  <c:v>-11.484732134008002</c:v>
                </c:pt>
                <c:pt idx="305">
                  <c:v>-11.53658509027367</c:v>
                </c:pt>
                <c:pt idx="306">
                  <c:v>-11.58815483014579</c:v>
                </c:pt>
                <c:pt idx="307">
                  <c:v>-11.639444684502038</c:v>
                </c:pt>
                <c:pt idx="308">
                  <c:v>-11.690457927182525</c:v>
                </c:pt>
                <c:pt idx="309">
                  <c:v>-11.742264088555777</c:v>
                </c:pt>
                <c:pt idx="310">
                  <c:v>-11.793788579650396</c:v>
                </c:pt>
                <c:pt idx="311">
                  <c:v>-11.845034709829916</c:v>
                </c:pt>
                <c:pt idx="312">
                  <c:v>-11.896005731891242</c:v>
                </c:pt>
                <c:pt idx="313">
                  <c:v>-11.947938036783848</c:v>
                </c:pt>
                <c:pt idx="314">
                  <c:v>-11.999588383576683</c:v>
                </c:pt>
                <c:pt idx="315">
                  <c:v>-12.050960092545054</c:v>
                </c:pt>
                <c:pt idx="316">
                  <c:v>-12.102056427129922</c:v>
                </c:pt>
                <c:pt idx="317">
                  <c:v>-12.154087403277993</c:v>
                </c:pt>
                <c:pt idx="318">
                  <c:v>-12.205836481681933</c:v>
                </c:pt>
                <c:pt idx="319">
                  <c:v>-12.257306987621476</c:v>
                </c:pt>
                <c:pt idx="320">
                  <c:v>-12.308502189407267</c:v>
                </c:pt>
                <c:pt idx="321">
                  <c:v>-12.360606346062754</c:v>
                </c:pt>
                <c:pt idx="322">
                  <c:v>-12.412428991438611</c:v>
                </c:pt>
                <c:pt idx="323">
                  <c:v>-12.463973450272492</c:v>
                </c:pt>
                <c:pt idx="324">
                  <c:v>-12.515242990323108</c:v>
                </c:pt>
                <c:pt idx="325">
                  <c:v>-12.567396732423337</c:v>
                </c:pt>
                <c:pt idx="326">
                  <c:v>-12.61926965414921</c:v>
                </c:pt>
                <c:pt idx="327">
                  <c:v>-12.670865074513063</c:v>
                </c:pt>
                <c:pt idx="328">
                  <c:v>-12.722186255655041</c:v>
                </c:pt>
                <c:pt idx="329">
                  <c:v>-12.774454822508714</c:v>
                </c:pt>
                <c:pt idx="330">
                  <c:v>-12.826442612042053</c:v>
                </c:pt>
                <c:pt idx="331">
                  <c:v>-12.878152949202049</c:v>
                </c:pt>
                <c:pt idx="332">
                  <c:v>-12.929589101902955</c:v>
                </c:pt>
                <c:pt idx="333">
                  <c:v>-12.981861731383068</c:v>
                </c:pt>
                <c:pt idx="334">
                  <c:v>-13.03385486615549</c:v>
                </c:pt>
                <c:pt idx="335">
                  <c:v>-13.08557181535663</c:v>
                </c:pt>
                <c:pt idx="336">
                  <c:v>-13.137015831423557</c:v>
                </c:pt>
                <c:pt idx="337">
                  <c:v>-13.189441023072535</c:v>
                </c:pt>
                <c:pt idx="338">
                  <c:v>-13.241586472923753</c:v>
                </c:pt>
                <c:pt idx="339">
                  <c:v>-13.293455501610005</c:v>
                </c:pt>
                <c:pt idx="340">
                  <c:v>-13.345051372773744</c:v>
                </c:pt>
                <c:pt idx="341">
                  <c:v>-13.397601907070364</c:v>
                </c:pt>
                <c:pt idx="342">
                  <c:v>-13.449872805402407</c:v>
                </c:pt>
                <c:pt idx="343">
                  <c:v>-13.501867393887041</c:v>
                </c:pt>
                <c:pt idx="344">
                  <c:v>-13.553588941494761</c:v>
                </c:pt>
                <c:pt idx="345">
                  <c:v>-13.606159679074917</c:v>
                </c:pt>
                <c:pt idx="346">
                  <c:v>-13.658452061256234</c:v>
                </c:pt>
                <c:pt idx="347">
                  <c:v>-13.710469398955883</c:v>
                </c:pt>
                <c:pt idx="348">
                  <c:v>-13.762214946258096</c:v>
                </c:pt>
                <c:pt idx="349">
                  <c:v>-13.814944108412428</c:v>
                </c:pt>
                <c:pt idx="350">
                  <c:v>-13.867394795912356</c:v>
                </c:pt>
                <c:pt idx="351">
                  <c:v>-13.919570329596972</c:v>
                </c:pt>
                <c:pt idx="352">
                  <c:v>-13.971473973210049</c:v>
                </c:pt>
                <c:pt idx="353">
                  <c:v>-14.024335089819054</c:v>
                </c:pt>
                <c:pt idx="354">
                  <c:v>-14.076917960726753</c:v>
                </c:pt>
                <c:pt idx="355">
                  <c:v>-14.129225910735359</c:v>
                </c:pt>
                <c:pt idx="356">
                  <c:v>-14.181262207422552</c:v>
                </c:pt>
                <c:pt idx="357">
                  <c:v>-14.23415575573787</c:v>
                </c:pt>
                <c:pt idx="358">
                  <c:v>-14.286772396645777</c:v>
                </c:pt>
                <c:pt idx="359">
                  <c:v>-14.339115439295608</c:v>
                </c:pt>
                <c:pt idx="360">
                  <c:v>-14.39118813592877</c:v>
                </c:pt>
                <c:pt idx="361">
                  <c:v>-14.44424316702812</c:v>
                </c:pt>
                <c:pt idx="362">
                  <c:v>-14.497021346897911</c:v>
                </c:pt>
                <c:pt idx="363">
                  <c:v>-14.549525992159664</c:v>
                </c:pt>
                <c:pt idx="364">
                  <c:v>-14.601760362311589</c:v>
                </c:pt>
                <c:pt idx="365">
                  <c:v>-14.654879480688454</c:v>
                </c:pt>
                <c:pt idx="366">
                  <c:v>-14.707722888781557</c:v>
                </c:pt>
                <c:pt idx="367">
                  <c:v>-14.760293891465345</c:v>
                </c:pt>
                <c:pt idx="368">
                  <c:v>-14.81259573671219</c:v>
                </c:pt>
                <c:pt idx="369">
                  <c:v>-14.865900928321585</c:v>
                </c:pt>
                <c:pt idx="370">
                  <c:v>-14.91893035957796</c:v>
                </c:pt>
                <c:pt idx="371">
                  <c:v>-14.97168734517401</c:v>
                </c:pt>
                <c:pt idx="372">
                  <c:v>-15.024175142624019</c:v>
                </c:pt>
                <c:pt idx="373">
                  <c:v>-15.077571326825458</c:v>
                </c:pt>
                <c:pt idx="374">
                  <c:v>-15.13069275905263</c:v>
                </c:pt>
                <c:pt idx="375">
                  <c:v>-15.183542745007552</c:v>
                </c:pt>
                <c:pt idx="376">
                  <c:v>-15.23612453336472</c:v>
                </c:pt>
                <c:pt idx="377">
                  <c:v>-15.289727257410206</c:v>
                </c:pt>
                <c:pt idx="378">
                  <c:v>-15.343055129970672</c:v>
                </c:pt>
                <c:pt idx="379">
                  <c:v>-15.396111467904435</c:v>
                </c:pt>
                <c:pt idx="380">
                  <c:v>-15.448899530726585</c:v>
                </c:pt>
                <c:pt idx="381">
                  <c:v>-15.502549873498513</c:v>
                </c:pt>
                <c:pt idx="382">
                  <c:v>-15.555926969280536</c:v>
                </c:pt>
                <c:pt idx="383">
                  <c:v>-15.609034115535831</c:v>
                </c:pt>
                <c:pt idx="384">
                  <c:v>-15.661874552765999</c:v>
                </c:pt>
                <c:pt idx="385">
                  <c:v>-15.715751167721521</c:v>
                </c:pt>
                <c:pt idx="386">
                  <c:v>-15.769354402722904</c:v>
                </c:pt>
                <c:pt idx="387">
                  <c:v>-15.822687567382165</c:v>
                </c:pt>
                <c:pt idx="388">
                  <c:v>-15.875753914001745</c:v>
                </c:pt>
                <c:pt idx="389">
                  <c:v>-15.929766687847049</c:v>
                </c:pt>
                <c:pt idx="390">
                  <c:v>-15.98350694978385</c:v>
                </c:pt>
                <c:pt idx="391">
                  <c:v>-16.036978003649971</c:v>
                </c:pt>
                <c:pt idx="392">
                  <c:v>-16.090183096032614</c:v>
                </c:pt>
                <c:pt idx="393">
                  <c:v>-16.144311436883196</c:v>
                </c:pt>
                <c:pt idx="394">
                  <c:v>-16.198168422546239</c:v>
                </c:pt>
                <c:pt idx="395">
                  <c:v>-16.251757345977943</c:v>
                </c:pt>
                <c:pt idx="396">
                  <c:v>-16.305081443055457</c:v>
                </c:pt>
                <c:pt idx="397">
                  <c:v>-16.359428888390291</c:v>
                </c:pt>
                <c:pt idx="398">
                  <c:v>-16.413505186876542</c:v>
                </c:pt>
                <c:pt idx="399">
                  <c:v>-16.467313637939949</c:v>
                </c:pt>
                <c:pt idx="400">
                  <c:v>-16.520857483692918</c:v>
                </c:pt>
                <c:pt idx="401">
                  <c:v>-16.575339681120116</c:v>
                </c:pt>
                <c:pt idx="402">
                  <c:v>-16.629551871261906</c:v>
                </c:pt>
                <c:pt idx="403">
                  <c:v>-16.683497343196553</c:v>
                </c:pt>
                <c:pt idx="404">
                  <c:v>-16.737179328836756</c:v>
                </c:pt>
                <c:pt idx="405">
                  <c:v>-16.791836193277383</c:v>
                </c:pt>
                <c:pt idx="406">
                  <c:v>-16.846223882912323</c:v>
                </c:pt>
                <c:pt idx="407">
                  <c:v>-16.900345682142579</c:v>
                </c:pt>
                <c:pt idx="408">
                  <c:v>-16.95420481821418</c:v>
                </c:pt>
                <c:pt idx="409">
                  <c:v>-17.009073387861619</c:v>
                </c:pt>
                <c:pt idx="410">
                  <c:v>-17.06367334590713</c:v>
                </c:pt>
                <c:pt idx="411">
                  <c:v>-17.118007977065492</c:v>
                </c:pt>
                <c:pt idx="412">
                  <c:v>-17.172080508784646</c:v>
                </c:pt>
                <c:pt idx="413">
                  <c:v>-17.227138589681129</c:v>
                </c:pt>
                <c:pt idx="414">
                  <c:v>-17.281928936080291</c:v>
                </c:pt>
                <c:pt idx="415">
                  <c:v>-17.336454827323855</c:v>
                </c:pt>
                <c:pt idx="416">
                  <c:v>-17.390719485499432</c:v>
                </c:pt>
                <c:pt idx="417">
                  <c:v>-17.446002223332915</c:v>
                </c:pt>
                <c:pt idx="418">
                  <c:v>-17.501017860716807</c:v>
                </c:pt>
                <c:pt idx="419">
                  <c:v>-17.555769676093753</c:v>
                </c:pt>
                <c:pt idx="420">
                  <c:v>-17.610260890553356</c:v>
                </c:pt>
                <c:pt idx="421">
                  <c:v>-17.665692126204149</c:v>
                </c:pt>
                <c:pt idx="422">
                  <c:v>-17.720857724833394</c:v>
                </c:pt>
                <c:pt idx="423">
                  <c:v>-17.775760948738466</c:v>
                </c:pt>
                <c:pt idx="424">
                  <c:v>-17.830405003111704</c:v>
                </c:pt>
                <c:pt idx="425">
                  <c:v>-17.886128124656548</c:v>
                </c:pt>
                <c:pt idx="426">
                  <c:v>-17.941585799625077</c:v>
                </c:pt>
                <c:pt idx="427">
                  <c:v>-17.996781297511411</c:v>
                </c:pt>
                <c:pt idx="428">
                  <c:v>-18.051717830400587</c:v>
                </c:pt>
                <c:pt idx="429">
                  <c:v>-18.107656212940896</c:v>
                </c:pt>
                <c:pt idx="430">
                  <c:v>-18.163330174986086</c:v>
                </c:pt>
                <c:pt idx="431">
                  <c:v>-18.218742977780003</c:v>
                </c:pt>
                <c:pt idx="432">
                  <c:v>-18.273897825204582</c:v>
                </c:pt>
                <c:pt idx="433">
                  <c:v>-18.330032137434213</c:v>
                </c:pt>
                <c:pt idx="434">
                  <c:v>-18.385903334444613</c:v>
                </c:pt>
                <c:pt idx="435">
                  <c:v>-18.441514663933617</c:v>
                </c:pt>
                <c:pt idx="436">
                  <c:v>-18.496869316399447</c:v>
                </c:pt>
                <c:pt idx="437">
                  <c:v>-18.553282898329005</c:v>
                </c:pt>
                <c:pt idx="438">
                  <c:v>-18.609433991544755</c:v>
                </c:pt>
                <c:pt idx="439">
                  <c:v>-18.665325842551038</c:v>
                </c:pt>
                <c:pt idx="440">
                  <c:v>-18.720961640516226</c:v>
                </c:pt>
                <c:pt idx="441">
                  <c:v>-18.777632965155131</c:v>
                </c:pt>
                <c:pt idx="442">
                  <c:v>-18.834042734868962</c:v>
                </c:pt>
                <c:pt idx="443">
                  <c:v>-18.890194189075203</c:v>
                </c:pt>
                <c:pt idx="444">
                  <c:v>-18.946090509847174</c:v>
                </c:pt>
                <c:pt idx="445">
                  <c:v>-19.00299987935157</c:v>
                </c:pt>
                <c:pt idx="446">
                  <c:v>-19.059648910752337</c:v>
                </c:pt>
                <c:pt idx="447">
                  <c:v>-19.11604083085539</c:v>
                </c:pt>
                <c:pt idx="448">
                  <c:v>-19.172178809234431</c:v>
                </c:pt>
                <c:pt idx="449">
                  <c:v>-19.229403812206968</c:v>
                </c:pt>
                <c:pt idx="450">
                  <c:v>-19.286369089949417</c:v>
                </c:pt>
                <c:pt idx="451">
                  <c:v>-19.343077867521885</c:v>
                </c:pt>
                <c:pt idx="452">
                  <c:v>-19.399533312597327</c:v>
                </c:pt>
                <c:pt idx="453">
                  <c:v>-19.45700557887514</c:v>
                </c:pt>
                <c:pt idx="454">
                  <c:v>-19.514219457276326</c:v>
                </c:pt>
                <c:pt idx="455">
                  <c:v>-19.571178157276378</c:v>
                </c:pt>
                <c:pt idx="456">
                  <c:v>-19.627884831125236</c:v>
                </c:pt>
                <c:pt idx="457">
                  <c:v>-19.685679408228463</c:v>
                </c:pt>
                <c:pt idx="458">
                  <c:v>-19.743216362794943</c:v>
                </c:pt>
                <c:pt idx="459">
                  <c:v>-19.800498898880612</c:v>
                </c:pt>
                <c:pt idx="460">
                  <c:v>-19.857530163225679</c:v>
                </c:pt>
                <c:pt idx="461">
                  <c:v>-19.915626642144979</c:v>
                </c:pt>
                <c:pt idx="462">
                  <c:v>-19.973466551453903</c:v>
                </c:pt>
                <c:pt idx="463">
                  <c:v>-20.031053083920153</c:v>
                </c:pt>
                <c:pt idx="464">
                  <c:v>-20.08838937503366</c:v>
                </c:pt>
                <c:pt idx="465">
                  <c:v>-20.146813591040249</c:v>
                </c:pt>
                <c:pt idx="466">
                  <c:v>-20.204982165346159</c:v>
                </c:pt>
                <c:pt idx="467">
                  <c:v>-20.262898281159018</c:v>
                </c:pt>
                <c:pt idx="468">
                  <c:v>-20.320565064394131</c:v>
                </c:pt>
                <c:pt idx="469">
                  <c:v>-20.379297698274719</c:v>
                </c:pt>
                <c:pt idx="470">
                  <c:v>-20.437775887416375</c:v>
                </c:pt>
                <c:pt idx="471">
                  <c:v>-20.496002799782801</c:v>
                </c:pt>
                <c:pt idx="472">
                  <c:v>-20.553981546155583</c:v>
                </c:pt>
                <c:pt idx="473">
                  <c:v>-20.613090923379339</c:v>
                </c:pt>
                <c:pt idx="474">
                  <c:v>-20.671946562430698</c:v>
                </c:pt>
                <c:pt idx="475">
                  <c:v>-20.730551624407745</c:v>
                </c:pt>
                <c:pt idx="476">
                  <c:v>-20.788909213124036</c:v>
                </c:pt>
                <c:pt idx="477">
                  <c:v>-20.848374892745518</c:v>
                </c:pt>
                <c:pt idx="478">
                  <c:v>-20.907587818805219</c:v>
                </c:pt>
                <c:pt idx="479">
                  <c:v>-20.966551139522096</c:v>
                </c:pt>
                <c:pt idx="480">
                  <c:v>-21.025267945861113</c:v>
                </c:pt>
                <c:pt idx="481">
                  <c:v>-21.085071183836199</c:v>
                </c:pt>
                <c:pt idx="482">
                  <c:v>-21.144622905141645</c:v>
                </c:pt>
                <c:pt idx="483">
                  <c:v>-21.203926239496642</c:v>
                </c:pt>
                <c:pt idx="484">
                  <c:v>-21.262984259522074</c:v>
                </c:pt>
                <c:pt idx="485">
                  <c:v>-21.323148772387604</c:v>
                </c:pt>
                <c:pt idx="486">
                  <c:v>-21.383062893949251</c:v>
                </c:pt>
                <c:pt idx="487">
                  <c:v>-21.442729736494485</c:v>
                </c:pt>
                <c:pt idx="488">
                  <c:v>-21.502152355332164</c:v>
                </c:pt>
                <c:pt idx="489">
                  <c:v>-21.562740872341735</c:v>
                </c:pt>
                <c:pt idx="490">
                  <c:v>-21.623079693565327</c:v>
                </c:pt>
                <c:pt idx="491">
                  <c:v>-21.683171920744812</c:v>
                </c:pt>
                <c:pt idx="492">
                  <c:v>-21.743020598584792</c:v>
                </c:pt>
                <c:pt idx="493">
                  <c:v>-21.804013032511008</c:v>
                </c:pt>
                <c:pt idx="494">
                  <c:v>-21.864756722821866</c:v>
                </c:pt>
                <c:pt idx="495">
                  <c:v>-21.925254754745318</c:v>
                </c:pt>
                <c:pt idx="496">
                  <c:v>-21.985510156548678</c:v>
                </c:pt>
                <c:pt idx="497">
                  <c:v>-22.046926932995795</c:v>
                </c:pt>
                <c:pt idx="498">
                  <c:v>-22.108095835731639</c:v>
                </c:pt>
                <c:pt idx="499">
                  <c:v>-22.169019933701669</c:v>
                </c:pt>
                <c:pt idx="500">
                  <c:v>-22.229702238952129</c:v>
                </c:pt>
                <c:pt idx="501">
                  <c:v>-22.29156280211161</c:v>
                </c:pt>
                <c:pt idx="502">
                  <c:v>-22.353176286325102</c:v>
                </c:pt>
                <c:pt idx="503">
                  <c:v>-22.414545744251157</c:v>
                </c:pt>
                <c:pt idx="504">
                  <c:v>-22.475674171701648</c:v>
                </c:pt>
                <c:pt idx="505">
                  <c:v>-22.537959343763212</c:v>
                </c:pt>
                <c:pt idx="506">
                  <c:v>-22.599998458981432</c:v>
                </c:pt>
                <c:pt idx="507">
                  <c:v>-22.6617945480453</c:v>
                </c:pt>
                <c:pt idx="508">
                  <c:v>-22.723350584982786</c:v>
                </c:pt>
                <c:pt idx="509">
                  <c:v>-22.786079765425473</c:v>
                </c:pt>
                <c:pt idx="510">
                  <c:v>-22.848563823742744</c:v>
                </c:pt>
                <c:pt idx="511">
                  <c:v>-22.910805768699262</c:v>
                </c:pt>
                <c:pt idx="512">
                  <c:v>-22.972808552577021</c:v>
                </c:pt>
                <c:pt idx="513">
                  <c:v>-23.036036757685395</c:v>
                </c:pt>
                <c:pt idx="514">
                  <c:v>-23.099020411425393</c:v>
                </c:pt>
                <c:pt idx="515">
                  <c:v>-23.161762505637494</c:v>
                </c:pt>
                <c:pt idx="516">
                  <c:v>-23.224265975727462</c:v>
                </c:pt>
                <c:pt idx="517">
                  <c:v>-23.287973148512414</c:v>
                </c:pt>
                <c:pt idx="518">
                  <c:v>-23.351436557171894</c:v>
                </c:pt>
                <c:pt idx="519">
                  <c:v>-23.414659170882473</c:v>
                </c:pt>
                <c:pt idx="520">
                  <c:v>-23.477643902573305</c:v>
                </c:pt>
                <c:pt idx="521">
                  <c:v>-23.541846834965444</c:v>
                </c:pt>
                <c:pt idx="522">
                  <c:v>-23.605806713454264</c:v>
                </c:pt>
                <c:pt idx="523">
                  <c:v>-23.669526484106527</c:v>
                </c:pt>
                <c:pt idx="524">
                  <c:v>-23.733009036937833</c:v>
                </c:pt>
                <c:pt idx="525">
                  <c:v>-23.797723704619909</c:v>
                </c:pt>
                <c:pt idx="526">
                  <c:v>-23.862195953195318</c:v>
                </c:pt>
                <c:pt idx="527">
                  <c:v>-23.926428705052555</c:v>
                </c:pt>
                <c:pt idx="528">
                  <c:v>-23.990424826738884</c:v>
                </c:pt>
                <c:pt idx="529">
                  <c:v>-24.055666414731927</c:v>
                </c:pt>
                <c:pt idx="530">
                  <c:v>-24.120666143667371</c:v>
                </c:pt>
                <c:pt idx="531">
                  <c:v>-24.185426911586291</c:v>
                </c:pt>
                <c:pt idx="532">
                  <c:v>-24.249951560916667</c:v>
                </c:pt>
                <c:pt idx="533">
                  <c:v>-24.315768382862984</c:v>
                </c:pt>
                <c:pt idx="534">
                  <c:v>-24.381343583101852</c:v>
                </c:pt>
                <c:pt idx="535">
                  <c:v>-24.446680038987445</c:v>
                </c:pt>
                <c:pt idx="536">
                  <c:v>-24.511780572398276</c:v>
                </c:pt>
                <c:pt idx="537">
                  <c:v>-24.578118002749967</c:v>
                </c:pt>
                <c:pt idx="538">
                  <c:v>-24.644214474323192</c:v>
                </c:pt>
                <c:pt idx="539">
                  <c:v>-24.710072834049917</c:v>
                </c:pt>
                <c:pt idx="540">
                  <c:v>-24.775695873778751</c:v>
                </c:pt>
                <c:pt idx="541">
                  <c:v>-24.842634162077562</c:v>
                </c:pt>
                <c:pt idx="542">
                  <c:v>-24.909331587397816</c:v>
                </c:pt>
                <c:pt idx="543">
                  <c:v>-24.975790974064523</c:v>
                </c:pt>
                <c:pt idx="544">
                  <c:v>-25.04201509151866</c:v>
                </c:pt>
                <c:pt idx="545">
                  <c:v>-25.109532557714225</c:v>
                </c:pt>
                <c:pt idx="546">
                  <c:v>-25.176809424176607</c:v>
                </c:pt>
                <c:pt idx="547">
                  <c:v>-25.243848487393365</c:v>
                </c:pt>
                <c:pt idx="548">
                  <c:v>-25.310652489312488</c:v>
                </c:pt>
                <c:pt idx="549">
                  <c:v>-25.378760619716722</c:v>
                </c:pt>
                <c:pt idx="550">
                  <c:v>-25.446628330882319</c:v>
                </c:pt>
                <c:pt idx="551">
                  <c:v>-25.514258390615336</c:v>
                </c:pt>
                <c:pt idx="552">
                  <c:v>-25.581653512561985</c:v>
                </c:pt>
                <c:pt idx="553">
                  <c:v>-25.650394626770044</c:v>
                </c:pt>
                <c:pt idx="554">
                  <c:v>-25.718895196481476</c:v>
                </c:pt>
                <c:pt idx="555">
                  <c:v>-25.787157963745749</c:v>
                </c:pt>
                <c:pt idx="556">
                  <c:v>-25.855185616772062</c:v>
                </c:pt>
                <c:pt idx="557">
                  <c:v>-25.993710504298733</c:v>
                </c:pt>
                <c:pt idx="558">
                  <c:v>-26.131283222402022</c:v>
                </c:pt>
                <c:pt idx="559">
                  <c:v>-26.271046115560726</c:v>
                </c:pt>
                <c:pt idx="560">
                  <c:v>-26.409856441089854</c:v>
                </c:pt>
                <c:pt idx="561">
                  <c:v>-26.550995176622454</c:v>
                </c:pt>
                <c:pt idx="562">
                  <c:v>-26.691178933361648</c:v>
                </c:pt>
                <c:pt idx="563">
                  <c:v>-26.833406448693232</c:v>
                </c:pt>
                <c:pt idx="564">
                  <c:v>-26.974680236948721</c:v>
                </c:pt>
                <c:pt idx="565">
                  <c:v>-27.118546712954053</c:v>
                </c:pt>
                <c:pt idx="566">
                  <c:v>-27.261453144392789</c:v>
                </c:pt>
                <c:pt idx="567">
                  <c:v>-27.40689904375774</c:v>
                </c:pt>
                <c:pt idx="568">
                  <c:v>-27.551379185888536</c:v>
                </c:pt>
                <c:pt idx="569">
                  <c:v>-27.697774803033184</c:v>
                </c:pt>
                <c:pt idx="570">
                  <c:v>-27.843206957783782</c:v>
                </c:pt>
                <c:pt idx="571">
                  <c:v>-27.991648515045846</c:v>
                </c:pt>
                <c:pt idx="572">
                  <c:v>-28.139114197403366</c:v>
                </c:pt>
                <c:pt idx="573">
                  <c:v>-28.288410482476969</c:v>
                </c:pt>
                <c:pt idx="574">
                  <c:v>-28.436733714729115</c:v>
                </c:pt>
                <c:pt idx="575">
                  <c:v>-28.587954069031603</c:v>
                </c:pt>
                <c:pt idx="576">
                  <c:v>-28.738189876959961</c:v>
                </c:pt>
                <c:pt idx="577">
                  <c:v>-29.363745575409197</c:v>
                </c:pt>
                <c:pt idx="578">
                  <c:v>-29.973300186535727</c:v>
                </c:pt>
                <c:pt idx="579">
                  <c:v>-31.258397679415282</c:v>
                </c:pt>
                <c:pt idx="580">
                  <c:v>-32.597631344682966</c:v>
                </c:pt>
                <c:pt idx="581">
                  <c:v>-33.990501522976132</c:v>
                </c:pt>
                <c:pt idx="582">
                  <c:v>-35.438607353786942</c:v>
                </c:pt>
                <c:pt idx="583">
                  <c:v>-36.94091258850073</c:v>
                </c:pt>
                <c:pt idx="584">
                  <c:v>-38.497962909614678</c:v>
                </c:pt>
                <c:pt idx="585">
                  <c:v>-40.107749389886898</c:v>
                </c:pt>
                <c:pt idx="586">
                  <c:v>-41.768921144579238</c:v>
                </c:pt>
                <c:pt idx="587">
                  <c:v>-43.480521331992762</c:v>
                </c:pt>
                <c:pt idx="588">
                  <c:v>-45.238866080087746</c:v>
                </c:pt>
                <c:pt idx="589">
                  <c:v>-47.043267252987285</c:v>
                </c:pt>
                <c:pt idx="590">
                  <c:v>-48.891040889783959</c:v>
                </c:pt>
                <c:pt idx="591">
                  <c:v>-50.780477961971052</c:v>
                </c:pt>
                <c:pt idx="592">
                  <c:v>-52.709637463087873</c:v>
                </c:pt>
                <c:pt idx="593">
                  <c:v>-54.677594991128601</c:v>
                </c:pt>
                <c:pt idx="594">
                  <c:v>-56.682466696346538</c:v>
                </c:pt>
                <c:pt idx="595">
                  <c:v>-58.723343710283935</c:v>
                </c:pt>
                <c:pt idx="596">
                  <c:v>-60.798465049110185</c:v>
                </c:pt>
                <c:pt idx="597">
                  <c:v>-62.906816189847092</c:v>
                </c:pt>
                <c:pt idx="598">
                  <c:v>-65.046249331397917</c:v>
                </c:pt>
                <c:pt idx="599">
                  <c:v>-67.21549392247934</c:v>
                </c:pt>
                <c:pt idx="600">
                  <c:v>-69.412224241653377</c:v>
                </c:pt>
              </c:numCache>
            </c:numRef>
          </c:yVal>
          <c:smooth val="1"/>
          <c:extLst>
            <c:ext xmlns:c16="http://schemas.microsoft.com/office/drawing/2014/chart" uri="{C3380CC4-5D6E-409C-BE32-E72D297353CC}">
              <c16:uniqueId val="{00000002-4B49-4ADE-B8CD-DD5F374AD671}"/>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643.67444501236082</c:v>
                </c:pt>
              </c:numCache>
            </c:numRef>
          </c:xVal>
          <c:yVal>
            <c:numRef>
              <c:f>'Stability Calculations'!$D$635</c:f>
              <c:numCache>
                <c:formatCode>0.00</c:formatCode>
                <c:ptCount val="1"/>
                <c:pt idx="0">
                  <c:v>17.74784659346372</c:v>
                </c:pt>
              </c:numCache>
            </c:numRef>
          </c:yVal>
          <c:smooth val="1"/>
          <c:extLst>
            <c:ext xmlns:c16="http://schemas.microsoft.com/office/drawing/2014/chart" uri="{C3380CC4-5D6E-409C-BE32-E72D297353CC}">
              <c16:uniqueId val="{00000004-4B49-4ADE-B8CD-DD5F374AD671}"/>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0.000</c:formatCode>
                <c:ptCount val="1"/>
                <c:pt idx="0">
                  <c:v>6.3757683713494134E-2</c:v>
                </c:pt>
              </c:numCache>
            </c:numRef>
          </c:xVal>
          <c:yVal>
            <c:numRef>
              <c:f>'Stability Calculations'!$Q$624</c:f>
              <c:numCache>
                <c:formatCode>0.00</c:formatCode>
                <c:ptCount val="1"/>
                <c:pt idx="0">
                  <c:v>93.592004728119178</c:v>
                </c:pt>
              </c:numCache>
            </c:numRef>
          </c:yVal>
          <c:smooth val="1"/>
          <c:extLst>
            <c:ext xmlns:c16="http://schemas.microsoft.com/office/drawing/2014/chart" uri="{C3380CC4-5D6E-409C-BE32-E72D297353CC}">
              <c16:uniqueId val="{00000006-4B49-4ADE-B8CD-DD5F374AD671}"/>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903.72463971154241</c:v>
                </c:pt>
              </c:numCache>
            </c:numRef>
          </c:xVal>
          <c:yVal>
            <c:numRef>
              <c:f>'Stability Calculations'!$D$632</c:f>
              <c:numCache>
                <c:formatCode>0.00</c:formatCode>
                <c:ptCount val="1"/>
                <c:pt idx="0">
                  <c:v>15.291111154265238</c:v>
                </c:pt>
              </c:numCache>
            </c:numRef>
          </c:yVal>
          <c:smooth val="1"/>
          <c:extLst>
            <c:ext xmlns:c16="http://schemas.microsoft.com/office/drawing/2014/chart" uri="{C3380CC4-5D6E-409C-BE32-E72D297353CC}">
              <c16:uniqueId val="{00000008-4B49-4ADE-B8CD-DD5F374AD671}"/>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49-4ADE-B8CD-DD5F374AD671}"/>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397887.35818439093</c:v>
                </c:pt>
              </c:numCache>
            </c:numRef>
          </c:xVal>
          <c:yVal>
            <c:numRef>
              <c:f>'Stability Calculations'!$Q$623</c:f>
              <c:numCache>
                <c:formatCode>0.00</c:formatCode>
                <c:ptCount val="1"/>
                <c:pt idx="0">
                  <c:v>-48.879690882171104</c:v>
                </c:pt>
              </c:numCache>
            </c:numRef>
          </c:yVal>
          <c:smooth val="1"/>
          <c:extLst>
            <c:ext xmlns:c16="http://schemas.microsoft.com/office/drawing/2014/chart" uri="{C3380CC4-5D6E-409C-BE32-E72D297353CC}">
              <c16:uniqueId val="{0000000A-4B49-4ADE-B8CD-DD5F374AD671}"/>
            </c:ext>
          </c:extLst>
        </c:ser>
        <c:dLbls>
          <c:showLegendKey val="0"/>
          <c:showVal val="0"/>
          <c:showCatName val="0"/>
          <c:showSerName val="0"/>
          <c:showPercent val="0"/>
          <c:showBubbleSize val="0"/>
        </c:dLbls>
        <c:axId val="165647872"/>
        <c:axId val="1656497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-86.32682388680233</c:v>
                </c:pt>
                <c:pt idx="1">
                  <c:v>-86.644708752300659</c:v>
                </c:pt>
                <c:pt idx="2">
                  <c:v>-86.934322716113755</c:v>
                </c:pt>
                <c:pt idx="3">
                  <c:v>-87.198082613366537</c:v>
                </c:pt>
                <c:pt idx="4">
                  <c:v>-87.438044277469089</c:v>
                </c:pt>
                <c:pt idx="5">
                  <c:v>-87.656605794098013</c:v>
                </c:pt>
                <c:pt idx="6">
                  <c:v>-87.855269996833485</c:v>
                </c:pt>
                <c:pt idx="7">
                  <c:v>-88.035842006681193</c:v>
                </c:pt>
                <c:pt idx="8">
                  <c:v>-88.199713875065896</c:v>
                </c:pt>
                <c:pt idx="9">
                  <c:v>-88.348393987938024</c:v>
                </c:pt>
                <c:pt idx="10">
                  <c:v>-88.483048784182515</c:v>
                </c:pt>
                <c:pt idx="11">
                  <c:v>-88.604841003830998</c:v>
                </c:pt>
                <c:pt idx="12">
                  <c:v>-88.714857842550444</c:v>
                </c:pt>
                <c:pt idx="13">
                  <c:v>-88.813924480400033</c:v>
                </c:pt>
                <c:pt idx="14">
                  <c:v>-88.902961862480197</c:v>
                </c:pt>
                <c:pt idx="15">
                  <c:v>-88.982686174686279</c:v>
                </c:pt>
                <c:pt idx="16">
                  <c:v>-89.053780203543411</c:v>
                </c:pt>
                <c:pt idx="17">
                  <c:v>-89.116837803981866</c:v>
                </c:pt>
                <c:pt idx="18">
                  <c:v>-89.172411559819963</c:v>
                </c:pt>
                <c:pt idx="19">
                  <c:v>-89.220957121972447</c:v>
                </c:pt>
                <c:pt idx="20">
                  <c:v>-89.262896126323866</c:v>
                </c:pt>
                <c:pt idx="21">
                  <c:v>-89.298575959370581</c:v>
                </c:pt>
                <c:pt idx="22">
                  <c:v>-89.328307136377106</c:v>
                </c:pt>
                <c:pt idx="23">
                  <c:v>-89.352335012032256</c:v>
                </c:pt>
                <c:pt idx="24">
                  <c:v>-89.370870096233048</c:v>
                </c:pt>
                <c:pt idx="25">
                  <c:v>-89.384066561454574</c:v>
                </c:pt>
                <c:pt idx="26">
                  <c:v>-89.39203881173664</c:v>
                </c:pt>
                <c:pt idx="27">
                  <c:v>-89.394852176356423</c:v>
                </c:pt>
                <c:pt idx="28">
                  <c:v>-89.392533303487767</c:v>
                </c:pt>
                <c:pt idx="29">
                  <c:v>-89.385071506022399</c:v>
                </c:pt>
                <c:pt idx="30">
                  <c:v>-89.372390609680124</c:v>
                </c:pt>
                <c:pt idx="31">
                  <c:v>-89.354398972577243</c:v>
                </c:pt>
                <c:pt idx="32">
                  <c:v>-89.330936442053428</c:v>
                </c:pt>
                <c:pt idx="33">
                  <c:v>-89.301827102357976</c:v>
                </c:pt>
                <c:pt idx="34">
                  <c:v>-89.266809008055048</c:v>
                </c:pt>
                <c:pt idx="35">
                  <c:v>-89.225612799010335</c:v>
                </c:pt>
                <c:pt idx="36">
                  <c:v>-89.177897358780086</c:v>
                </c:pt>
                <c:pt idx="37">
                  <c:v>-89.12324378179126</c:v>
                </c:pt>
                <c:pt idx="38">
                  <c:v>-89.061261567664076</c:v>
                </c:pt>
                <c:pt idx="39">
                  <c:v>-88.991403908513064</c:v>
                </c:pt>
                <c:pt idx="40">
                  <c:v>-88.913137449289408</c:v>
                </c:pt>
                <c:pt idx="41">
                  <c:v>-88.825839044781517</c:v>
                </c:pt>
                <c:pt idx="42">
                  <c:v>-88.728843395535293</c:v>
                </c:pt>
                <c:pt idx="43">
                  <c:v>-88.621379341794736</c:v>
                </c:pt>
                <c:pt idx="44">
                  <c:v>-88.502669048964918</c:v>
                </c:pt>
                <c:pt idx="45">
                  <c:v>-88.371820667939389</c:v>
                </c:pt>
                <c:pt idx="46">
                  <c:v>-88.227933289896725</c:v>
                </c:pt>
                <c:pt idx="47">
                  <c:v>-88.06999395961698</c:v>
                </c:pt>
                <c:pt idx="48">
                  <c:v>-87.897014882727873</c:v>
                </c:pt>
                <c:pt idx="49">
                  <c:v>-87.707892614175648</c:v>
                </c:pt>
                <c:pt idx="50">
                  <c:v>-87.501581524033512</c:v>
                </c:pt>
                <c:pt idx="51">
                  <c:v>-87.276969742226626</c:v>
                </c:pt>
                <c:pt idx="52">
                  <c:v>-87.033117129032533</c:v>
                </c:pt>
                <c:pt idx="53">
                  <c:v>-86.769108910277637</c:v>
                </c:pt>
                <c:pt idx="54">
                  <c:v>-86.484383498201197</c:v>
                </c:pt>
                <c:pt idx="55">
                  <c:v>-86.177940548925037</c:v>
                </c:pt>
                <c:pt idx="56">
                  <c:v>-85.850018767008109</c:v>
                </c:pt>
                <c:pt idx="57">
                  <c:v>-85.50068792311356</c:v>
                </c:pt>
                <c:pt idx="58">
                  <c:v>-85.131088702147423</c:v>
                </c:pt>
                <c:pt idx="59">
                  <c:v>-84.742583985625444</c:v>
                </c:pt>
                <c:pt idx="60">
                  <c:v>-84.337962723239002</c:v>
                </c:pt>
                <c:pt idx="61">
                  <c:v>-83.920844382836535</c:v>
                </c:pt>
                <c:pt idx="62">
                  <c:v>-83.495932498911031</c:v>
                </c:pt>
                <c:pt idx="63">
                  <c:v>-83.0699386499778</c:v>
                </c:pt>
                <c:pt idx="64">
                  <c:v>-82.650247234315202</c:v>
                </c:pt>
                <c:pt idx="65">
                  <c:v>-82.246103138327541</c:v>
                </c:pt>
                <c:pt idx="66">
                  <c:v>-81.867710405252751</c:v>
                </c:pt>
                <c:pt idx="67">
                  <c:v>-81.526145877149062</c:v>
                </c:pt>
                <c:pt idx="68">
                  <c:v>-81.232602943000728</c:v>
                </c:pt>
                <c:pt idx="69">
                  <c:v>-80.998040544444336</c:v>
                </c:pt>
                <c:pt idx="70">
                  <c:v>-80.832113286444383</c:v>
                </c:pt>
                <c:pt idx="71">
                  <c:v>-80.742618123330772</c:v>
                </c:pt>
                <c:pt idx="72">
                  <c:v>-80.734707573490724</c:v>
                </c:pt>
                <c:pt idx="73">
                  <c:v>-80.810505816898257</c:v>
                </c:pt>
                <c:pt idx="74">
                  <c:v>-80.968940206443051</c:v>
                </c:pt>
                <c:pt idx="75">
                  <c:v>-81.205831301922899</c:v>
                </c:pt>
                <c:pt idx="76">
                  <c:v>-81.514436915847881</c:v>
                </c:pt>
                <c:pt idx="77">
                  <c:v>-81.885845167374185</c:v>
                </c:pt>
                <c:pt idx="78">
                  <c:v>-82.309986273726224</c:v>
                </c:pt>
                <c:pt idx="79">
                  <c:v>-82.77601195064041</c:v>
                </c:pt>
                <c:pt idx="80">
                  <c:v>-83.274415274691009</c:v>
                </c:pt>
                <c:pt idx="81">
                  <c:v>-83.794994772498654</c:v>
                </c:pt>
                <c:pt idx="82">
                  <c:v>-84.329731540522829</c:v>
                </c:pt>
                <c:pt idx="83">
                  <c:v>-84.871275435111002</c:v>
                </c:pt>
                <c:pt idx="84">
                  <c:v>-85.414555692774556</c:v>
                </c:pt>
                <c:pt idx="85">
                  <c:v>-85.955235925661981</c:v>
                </c:pt>
                <c:pt idx="86">
                  <c:v>-86.490724140603646</c:v>
                </c:pt>
                <c:pt idx="87">
                  <c:v>-87.019839458282817</c:v>
                </c:pt>
                <c:pt idx="88">
                  <c:v>-87.541662097005016</c:v>
                </c:pt>
                <c:pt idx="89">
                  <c:v>-88.057086572334214</c:v>
                </c:pt>
                <c:pt idx="90">
                  <c:v>-88.567127567759243</c:v>
                </c:pt>
                <c:pt idx="91">
                  <c:v>-89.073651584326186</c:v>
                </c:pt>
                <c:pt idx="92">
                  <c:v>-89.578913192480925</c:v>
                </c:pt>
                <c:pt idx="93">
                  <c:v>-90.08580119879187</c:v>
                </c:pt>
                <c:pt idx="94">
                  <c:v>-90.213067747384997</c:v>
                </c:pt>
                <c:pt idx="95">
                  <c:v>-90.277220069074161</c:v>
                </c:pt>
                <c:pt idx="96">
                  <c:v>-90.340728938554562</c:v>
                </c:pt>
                <c:pt idx="97">
                  <c:v>-90.405064813000791</c:v>
                </c:pt>
                <c:pt idx="98">
                  <c:v>-90.468768392816528</c:v>
                </c:pt>
                <c:pt idx="99">
                  <c:v>-90.533330830549062</c:v>
                </c:pt>
                <c:pt idx="100">
                  <c:v>-90.597271780709875</c:v>
                </c:pt>
                <c:pt idx="101">
                  <c:v>-90.662054237581273</c:v>
                </c:pt>
                <c:pt idx="102">
                  <c:v>-90.726226607519948</c:v>
                </c:pt>
                <c:pt idx="103">
                  <c:v>-90.791319272078468</c:v>
                </c:pt>
                <c:pt idx="104">
                  <c:v>-90.855812029535883</c:v>
                </c:pt>
                <c:pt idx="105">
                  <c:v>-90.921207590424956</c:v>
                </c:pt>
                <c:pt idx="106">
                  <c:v>-90.986014029948763</c:v>
                </c:pt>
                <c:pt idx="107">
                  <c:v>-91.051707469152618</c:v>
                </c:pt>
                <c:pt idx="108">
                  <c:v>-91.116823084685322</c:v>
                </c:pt>
                <c:pt idx="109">
                  <c:v>-91.182856221390935</c:v>
                </c:pt>
                <c:pt idx="110">
                  <c:v>-91.248322497133884</c:v>
                </c:pt>
                <c:pt idx="111">
                  <c:v>-91.314780012280281</c:v>
                </c:pt>
                <c:pt idx="112">
                  <c:v>-91.380680602924215</c:v>
                </c:pt>
                <c:pt idx="113">
                  <c:v>-91.447556715871997</c:v>
                </c:pt>
                <c:pt idx="114">
                  <c:v>-91.513886357152927</c:v>
                </c:pt>
                <c:pt idx="115">
                  <c:v>-91.581219920508019</c:v>
                </c:pt>
                <c:pt idx="116">
                  <c:v>-91.648017225659629</c:v>
                </c:pt>
                <c:pt idx="117">
                  <c:v>-91.715846286276729</c:v>
                </c:pt>
                <c:pt idx="118">
                  <c:v>-91.783149087938369</c:v>
                </c:pt>
                <c:pt idx="119">
                  <c:v>-91.851469705482685</c:v>
                </c:pt>
                <c:pt idx="120">
                  <c:v>-91.919274486530071</c:v>
                </c:pt>
                <c:pt idx="121">
                  <c:v>-91.988125197951078</c:v>
                </c:pt>
                <c:pt idx="122">
                  <c:v>-92.056470250708799</c:v>
                </c:pt>
                <c:pt idx="123">
                  <c:v>-92.125928957653329</c:v>
                </c:pt>
                <c:pt idx="124">
                  <c:v>-92.194891395298029</c:v>
                </c:pt>
                <c:pt idx="125">
                  <c:v>-92.264954096326619</c:v>
                </c:pt>
                <c:pt idx="126">
                  <c:v>-92.334530319582328</c:v>
                </c:pt>
                <c:pt idx="127">
                  <c:v>-92.405233715645124</c:v>
                </c:pt>
                <c:pt idx="128">
                  <c:v>-92.475460234028461</c:v>
                </c:pt>
                <c:pt idx="129">
                  <c:v>-92.546840519359876</c:v>
                </c:pt>
                <c:pt idx="130">
                  <c:v>-92.617753349250449</c:v>
                </c:pt>
                <c:pt idx="131">
                  <c:v>-92.689846266162334</c:v>
                </c:pt>
                <c:pt idx="132">
                  <c:v>-92.725719960145909</c:v>
                </c:pt>
                <c:pt idx="133">
                  <c:v>-92.761480983440947</c:v>
                </c:pt>
                <c:pt idx="134">
                  <c:v>-92.797977299004486</c:v>
                </c:pt>
                <c:pt idx="135">
                  <c:v>-92.834359358627495</c:v>
                </c:pt>
                <c:pt idx="136">
                  <c:v>-92.870629039248826</c:v>
                </c:pt>
                <c:pt idx="137">
                  <c:v>-92.906788176818807</c:v>
                </c:pt>
                <c:pt idx="138">
                  <c:v>-92.943655800232207</c:v>
                </c:pt>
                <c:pt idx="139">
                  <c:v>-92.980411561702027</c:v>
                </c:pt>
                <c:pt idx="140">
                  <c:v>-93.017057299108927</c:v>
                </c:pt>
                <c:pt idx="141">
                  <c:v>-93.05359481012789</c:v>
                </c:pt>
                <c:pt idx="142">
                  <c:v>-93.090888479834021</c:v>
                </c:pt>
                <c:pt idx="143">
                  <c:v>-93.128072417558386</c:v>
                </c:pt>
                <c:pt idx="144">
                  <c:v>-93.16514842793606</c:v>
                </c:pt>
                <c:pt idx="145">
                  <c:v>-93.202118276019945</c:v>
                </c:pt>
                <c:pt idx="146">
                  <c:v>-93.239836419161961</c:v>
                </c:pt>
                <c:pt idx="147">
                  <c:v>-93.277447040749308</c:v>
                </c:pt>
                <c:pt idx="148">
                  <c:v>-93.314951909541307</c:v>
                </c:pt>
                <c:pt idx="149">
                  <c:v>-93.352352755423595</c:v>
                </c:pt>
                <c:pt idx="150">
                  <c:v>-93.390512466773913</c:v>
                </c:pt>
                <c:pt idx="151">
                  <c:v>-93.428566832658106</c:v>
                </c:pt>
                <c:pt idx="152">
                  <c:v>-93.466517586147262</c:v>
                </c:pt>
                <c:pt idx="153">
                  <c:v>-93.504366422149886</c:v>
                </c:pt>
                <c:pt idx="154">
                  <c:v>-93.543002423801013</c:v>
                </c:pt>
                <c:pt idx="155">
                  <c:v>-93.581535128154414</c:v>
                </c:pt>
                <c:pt idx="156">
                  <c:v>-93.619966235087134</c:v>
                </c:pt>
                <c:pt idx="157">
                  <c:v>-93.658297406960131</c:v>
                </c:pt>
                <c:pt idx="158">
                  <c:v>-93.697426009491622</c:v>
                </c:pt>
                <c:pt idx="159">
                  <c:v>-93.736453340577299</c:v>
                </c:pt>
                <c:pt idx="160">
                  <c:v>-93.775381066805934</c:v>
                </c:pt>
                <c:pt idx="161">
                  <c:v>-93.814210817906655</c:v>
                </c:pt>
                <c:pt idx="162">
                  <c:v>-93.853830891289391</c:v>
                </c:pt>
                <c:pt idx="163">
                  <c:v>-93.893351782504624</c:v>
                </c:pt>
                <c:pt idx="164">
                  <c:v>-93.932775122649005</c:v>
                </c:pt>
                <c:pt idx="165">
                  <c:v>-93.972102506688017</c:v>
                </c:pt>
                <c:pt idx="166">
                  <c:v>-94.01226519600732</c:v>
                </c:pt>
                <c:pt idx="167">
                  <c:v>-94.052330592883109</c:v>
                </c:pt>
                <c:pt idx="168">
                  <c:v>-94.092300297178539</c:v>
                </c:pt>
                <c:pt idx="169">
                  <c:v>-94.132175873235681</c:v>
                </c:pt>
                <c:pt idx="170">
                  <c:v>-94.172811559053869</c:v>
                </c:pt>
                <c:pt idx="171">
                  <c:v>-94.213352223679024</c:v>
                </c:pt>
                <c:pt idx="172">
                  <c:v>-94.253799425732097</c:v>
                </c:pt>
                <c:pt idx="173">
                  <c:v>-94.294154689225607</c:v>
                </c:pt>
                <c:pt idx="174">
                  <c:v>-94.335433427823787</c:v>
                </c:pt>
                <c:pt idx="175">
                  <c:v>-94.376618670373418</c:v>
                </c:pt>
                <c:pt idx="176">
                  <c:v>-94.417711951902703</c:v>
                </c:pt>
                <c:pt idx="177">
                  <c:v>-94.458714773229886</c:v>
                </c:pt>
                <c:pt idx="178">
                  <c:v>-94.500633570842894</c:v>
                </c:pt>
                <c:pt idx="179">
                  <c:v>-94.542460488417262</c:v>
                </c:pt>
                <c:pt idx="180">
                  <c:v>-94.584197034532352</c:v>
                </c:pt>
                <c:pt idx="181">
                  <c:v>-94.625844684044338</c:v>
                </c:pt>
                <c:pt idx="182">
                  <c:v>-94.668235200613267</c:v>
                </c:pt>
                <c:pt idx="183">
                  <c:v>-94.71053622550491</c:v>
                </c:pt>
                <c:pt idx="184">
                  <c:v>-94.752749221286848</c:v>
                </c:pt>
                <c:pt idx="185">
                  <c:v>-94.794875617877523</c:v>
                </c:pt>
                <c:pt idx="186">
                  <c:v>-94.838069697050216</c:v>
                </c:pt>
                <c:pt idx="187">
                  <c:v>-94.881175315685837</c:v>
                </c:pt>
                <c:pt idx="188">
                  <c:v>-94.924193922869136</c:v>
                </c:pt>
                <c:pt idx="189">
                  <c:v>-94.967126935148926</c:v>
                </c:pt>
                <c:pt idx="190">
                  <c:v>-95.010792652715239</c:v>
                </c:pt>
                <c:pt idx="191">
                  <c:v>-95.054372348246119</c:v>
                </c:pt>
                <c:pt idx="192">
                  <c:v>-95.09786742232653</c:v>
                </c:pt>
                <c:pt idx="193">
                  <c:v>-95.141279244166427</c:v>
                </c:pt>
                <c:pt idx="194">
                  <c:v>-95.185744052601905</c:v>
                </c:pt>
                <c:pt idx="195">
                  <c:v>-95.230124010250492</c:v>
                </c:pt>
                <c:pt idx="196">
                  <c:v>-95.274420499404684</c:v>
                </c:pt>
                <c:pt idx="197">
                  <c:v>-95.318634871247809</c:v>
                </c:pt>
                <c:pt idx="198">
                  <c:v>-95.363733981161417</c:v>
                </c:pt>
                <c:pt idx="199">
                  <c:v>-95.408750095206855</c:v>
                </c:pt>
                <c:pt idx="200">
                  <c:v>-95.453684560090409</c:v>
                </c:pt>
                <c:pt idx="201">
                  <c:v>-95.49853869219541</c:v>
                </c:pt>
                <c:pt idx="202">
                  <c:v>-95.544272388813965</c:v>
                </c:pt>
                <c:pt idx="203">
                  <c:v>-95.589924956001539</c:v>
                </c:pt>
                <c:pt idx="204">
                  <c:v>-95.63549770394873</c:v>
                </c:pt>
                <c:pt idx="205">
                  <c:v>-95.680991913343291</c:v>
                </c:pt>
                <c:pt idx="206">
                  <c:v>-95.727519480640154</c:v>
                </c:pt>
                <c:pt idx="207">
                  <c:v>-95.773967247545343</c:v>
                </c:pt>
                <c:pt idx="208">
                  <c:v>-95.820336500021568</c:v>
                </c:pt>
                <c:pt idx="209">
                  <c:v>-95.866628494985534</c:v>
                </c:pt>
                <c:pt idx="210">
                  <c:v>-95.914105275663559</c:v>
                </c:pt>
                <c:pt idx="211">
                  <c:v>-95.961503120859803</c:v>
                </c:pt>
                <c:pt idx="212">
                  <c:v>-96.008823302757108</c:v>
                </c:pt>
                <c:pt idx="213">
                  <c:v>-96.056067064636679</c:v>
                </c:pt>
                <c:pt idx="214">
                  <c:v>-96.104175102382797</c:v>
                </c:pt>
                <c:pt idx="215">
                  <c:v>-96.152206167155953</c:v>
                </c:pt>
                <c:pt idx="216">
                  <c:v>-96.200161490257216</c:v>
                </c:pt>
                <c:pt idx="217">
                  <c:v>-96.248042275050352</c:v>
                </c:pt>
                <c:pt idx="218">
                  <c:v>-96.296938922906861</c:v>
                </c:pt>
                <c:pt idx="219">
                  <c:v>-96.345760054836333</c:v>
                </c:pt>
                <c:pt idx="220">
                  <c:v>-96.394506872672864</c:v>
                </c:pt>
                <c:pt idx="221">
                  <c:v>-96.443180550938123</c:v>
                </c:pt>
                <c:pt idx="222">
                  <c:v>-96.492864903013384</c:v>
                </c:pt>
                <c:pt idx="223">
                  <c:v>-96.542475216365332</c:v>
                </c:pt>
                <c:pt idx="224">
                  <c:v>-96.59201266215949</c:v>
                </c:pt>
                <c:pt idx="225">
                  <c:v>-96.641478384913057</c:v>
                </c:pt>
                <c:pt idx="226">
                  <c:v>-96.692103641965758</c:v>
                </c:pt>
                <c:pt idx="227">
                  <c:v>-96.742655908287986</c:v>
                </c:pt>
                <c:pt idx="228">
                  <c:v>-96.793136333750468</c:v>
                </c:pt>
                <c:pt idx="229">
                  <c:v>-96.843546041959357</c:v>
                </c:pt>
                <c:pt idx="230">
                  <c:v>-96.946600761299806</c:v>
                </c:pt>
                <c:pt idx="231">
                  <c:v>-96.998021407976097</c:v>
                </c:pt>
                <c:pt idx="232">
                  <c:v>-97.049372388941222</c:v>
                </c:pt>
                <c:pt idx="233">
                  <c:v>-97.101871341203008</c:v>
                </c:pt>
                <c:pt idx="234">
                  <c:v>-97.154299535770051</c:v>
                </c:pt>
                <c:pt idx="235">
                  <c:v>-97.206658074206288</c:v>
                </c:pt>
                <c:pt idx="236">
                  <c:v>-97.25894803275736</c:v>
                </c:pt>
                <c:pt idx="237">
                  <c:v>-97.312229356834195</c:v>
                </c:pt>
                <c:pt idx="238">
                  <c:v>-97.365441475786042</c:v>
                </c:pt>
                <c:pt idx="239">
                  <c:v>-97.418585455699827</c:v>
                </c:pt>
                <c:pt idx="240">
                  <c:v>-97.471662338166794</c:v>
                </c:pt>
                <c:pt idx="241">
                  <c:v>-97.526027673294749</c:v>
                </c:pt>
                <c:pt idx="242">
                  <c:v>-97.580324578947753</c:v>
                </c:pt>
                <c:pt idx="243">
                  <c:v>-97.634554102805993</c:v>
                </c:pt>
                <c:pt idx="244">
                  <c:v>-97.688717268356797</c:v>
                </c:pt>
                <c:pt idx="245">
                  <c:v>-97.744013186203986</c:v>
                </c:pt>
                <c:pt idx="246">
                  <c:v>-97.799241860011932</c:v>
                </c:pt>
                <c:pt idx="247">
                  <c:v>-97.854404308778655</c:v>
                </c:pt>
                <c:pt idx="248">
                  <c:v>-97.909501527928171</c:v>
                </c:pt>
                <c:pt idx="249">
                  <c:v>-97.965875962654707</c:v>
                </c:pt>
                <c:pt idx="250">
                  <c:v>-98.022183988640307</c:v>
                </c:pt>
                <c:pt idx="251">
                  <c:v>-98.078426603227641</c:v>
                </c:pt>
                <c:pt idx="252">
                  <c:v>-98.134604780589328</c:v>
                </c:pt>
                <c:pt idx="253">
                  <c:v>-98.191906405684719</c:v>
                </c:pt>
                <c:pt idx="254">
                  <c:v>-98.249142819273445</c:v>
                </c:pt>
                <c:pt idx="255">
                  <c:v>-98.306314988024923</c:v>
                </c:pt>
                <c:pt idx="256">
                  <c:v>-98.363423856122324</c:v>
                </c:pt>
                <c:pt idx="257">
                  <c:v>-98.42194741341595</c:v>
                </c:pt>
                <c:pt idx="258">
                  <c:v>-98.480406291025588</c:v>
                </c:pt>
                <c:pt idx="259">
                  <c:v>-98.538801438724477</c:v>
                </c:pt>
                <c:pt idx="260">
                  <c:v>-98.597133784057434</c:v>
                </c:pt>
                <c:pt idx="261">
                  <c:v>-98.656727848967606</c:v>
                </c:pt>
                <c:pt idx="262">
                  <c:v>-98.716258118327715</c:v>
                </c:pt>
                <c:pt idx="263">
                  <c:v>-98.775725516216127</c:v>
                </c:pt>
                <c:pt idx="264">
                  <c:v>-98.835130945013361</c:v>
                </c:pt>
                <c:pt idx="265">
                  <c:v>-98.895793361934409</c:v>
                </c:pt>
                <c:pt idx="266">
                  <c:v>-98.956392865017492</c:v>
                </c:pt>
                <c:pt idx="267">
                  <c:v>-99.016930351734032</c:v>
                </c:pt>
                <c:pt idx="268">
                  <c:v>-99.077406698417249</c:v>
                </c:pt>
                <c:pt idx="269">
                  <c:v>-99.139281347392441</c:v>
                </c:pt>
                <c:pt idx="270">
                  <c:v>-99.201093662184547</c:v>
                </c:pt>
                <c:pt idx="271">
                  <c:v>-99.262844519046567</c:v>
                </c:pt>
                <c:pt idx="272">
                  <c:v>-99.324534773483919</c:v>
                </c:pt>
                <c:pt idx="273">
                  <c:v>-99.38761809532393</c:v>
                </c:pt>
                <c:pt idx="274">
                  <c:v>-99.450639672137711</c:v>
                </c:pt>
                <c:pt idx="275">
                  <c:v>-99.513600357605966</c:v>
                </c:pt>
                <c:pt idx="276">
                  <c:v>-99.57650098509427</c:v>
                </c:pt>
                <c:pt idx="277">
                  <c:v>-99.64064490921966</c:v>
                </c:pt>
                <c:pt idx="278">
                  <c:v>-99.70472795097821</c:v>
                </c:pt>
                <c:pt idx="279">
                  <c:v>-99.768750934804913</c:v>
                </c:pt>
                <c:pt idx="280">
                  <c:v>-99.832714665462277</c:v>
                </c:pt>
                <c:pt idx="281">
                  <c:v>-99.898350190584907</c:v>
                </c:pt>
                <c:pt idx="282">
                  <c:v>-99.963924868478458</c:v>
                </c:pt>
                <c:pt idx="283">
                  <c:v>-100.02943950987826</c:v>
                </c:pt>
                <c:pt idx="284">
                  <c:v>-100.09489490599515</c:v>
                </c:pt>
                <c:pt idx="285">
                  <c:v>-100.16158480998222</c:v>
                </c:pt>
                <c:pt idx="286">
                  <c:v>-100.22821470399055</c:v>
                </c:pt>
                <c:pt idx="287">
                  <c:v>-100.29478536787093</c:v>
                </c:pt>
                <c:pt idx="288">
                  <c:v>-100.36129756264434</c:v>
                </c:pt>
                <c:pt idx="289">
                  <c:v>-100.42946992184109</c:v>
                </c:pt>
                <c:pt idx="290">
                  <c:v>-100.4975823125155</c:v>
                </c:pt>
                <c:pt idx="291">
                  <c:v>-100.56563549793188</c:v>
                </c:pt>
                <c:pt idx="292">
                  <c:v>-100.63363022275878</c:v>
                </c:pt>
                <c:pt idx="293">
                  <c:v>-100.70313650924693</c:v>
                </c:pt>
                <c:pt idx="294">
                  <c:v>-100.77258312158533</c:v>
                </c:pt>
                <c:pt idx="295">
                  <c:v>-100.84197080020287</c:v>
                </c:pt>
                <c:pt idx="296">
                  <c:v>-100.91130026736471</c:v>
                </c:pt>
                <c:pt idx="297">
                  <c:v>-100.98213623334102</c:v>
                </c:pt>
                <c:pt idx="298">
                  <c:v>-101.05291280012676</c:v>
                </c:pt>
                <c:pt idx="299">
                  <c:v>-101.12363068440273</c:v>
                </c:pt>
                <c:pt idx="300">
                  <c:v>-101.19429058514605</c:v>
                </c:pt>
                <c:pt idx="301">
                  <c:v>-101.26645203754978</c:v>
                </c:pt>
                <c:pt idx="302">
                  <c:v>-101.33855433868163</c:v>
                </c:pt>
                <c:pt idx="303">
                  <c:v>-101.41059818072901</c:v>
                </c:pt>
                <c:pt idx="304">
                  <c:v>-101.48258423865762</c:v>
                </c:pt>
                <c:pt idx="305">
                  <c:v>-101.55634951298052</c:v>
                </c:pt>
                <c:pt idx="306">
                  <c:v>-101.63005539826111</c:v>
                </c:pt>
                <c:pt idx="307">
                  <c:v>-101.70370256922931</c:v>
                </c:pt>
                <c:pt idx="308">
                  <c:v>-101.77729168363882</c:v>
                </c:pt>
                <c:pt idx="309">
                  <c:v>-101.85237228817381</c:v>
                </c:pt>
                <c:pt idx="310">
                  <c:v>-101.92739369747302</c:v>
                </c:pt>
                <c:pt idx="311">
                  <c:v>-102.00235656003311</c:v>
                </c:pt>
                <c:pt idx="312">
                  <c:v>-102.07726150790903</c:v>
                </c:pt>
                <c:pt idx="313">
                  <c:v>-102.15393399888912</c:v>
                </c:pt>
                <c:pt idx="314">
                  <c:v>-102.23054700743845</c:v>
                </c:pt>
                <c:pt idx="315">
                  <c:v>-102.30710116233305</c:v>
                </c:pt>
                <c:pt idx="316">
                  <c:v>-102.38359707621919</c:v>
                </c:pt>
                <c:pt idx="317">
                  <c:v>-102.46185460711374</c:v>
                </c:pt>
                <c:pt idx="318">
                  <c:v>-102.54005234038732</c:v>
                </c:pt>
                <c:pt idx="319">
                  <c:v>-102.61819088389966</c:v>
                </c:pt>
                <c:pt idx="320">
                  <c:v>-102.69627082972676</c:v>
                </c:pt>
                <c:pt idx="321">
                  <c:v>-102.77610653216573</c:v>
                </c:pt>
                <c:pt idx="322">
                  <c:v>-102.85588208535286</c:v>
                </c:pt>
                <c:pt idx="323">
                  <c:v>-102.93559807520604</c:v>
                </c:pt>
                <c:pt idx="324">
                  <c:v>-103.01525507223553</c:v>
                </c:pt>
                <c:pt idx="325">
                  <c:v>-103.09666201527521</c:v>
                </c:pt>
                <c:pt idx="326">
                  <c:v>-103.17800841311251</c:v>
                </c:pt>
                <c:pt idx="327">
                  <c:v>-103.25929482885839</c:v>
                </c:pt>
                <c:pt idx="328">
                  <c:v>-103.34052181061816</c:v>
                </c:pt>
                <c:pt idx="329">
                  <c:v>-103.42363165858038</c:v>
                </c:pt>
                <c:pt idx="330">
                  <c:v>-103.50668031050343</c:v>
                </c:pt>
                <c:pt idx="331">
                  <c:v>-103.58966830865079</c:v>
                </c:pt>
                <c:pt idx="332">
                  <c:v>-103.67259618060662</c:v>
                </c:pt>
                <c:pt idx="333">
                  <c:v>-103.75726225893855</c:v>
                </c:pt>
                <c:pt idx="334">
                  <c:v>-103.84186664128895</c:v>
                </c:pt>
                <c:pt idx="335">
                  <c:v>-103.9264098455544</c:v>
                </c:pt>
                <c:pt idx="336">
                  <c:v>-104.01089237540042</c:v>
                </c:pt>
                <c:pt idx="337">
                  <c:v>-104.09738314422954</c:v>
                </c:pt>
                <c:pt idx="338">
                  <c:v>-104.18381125418536</c:v>
                </c:pt>
                <c:pt idx="339">
                  <c:v>-104.27017720304693</c:v>
                </c:pt>
                <c:pt idx="340">
                  <c:v>-104.35648147464855</c:v>
                </c:pt>
                <c:pt idx="341">
                  <c:v>-104.4447870246409</c:v>
                </c:pt>
                <c:pt idx="342">
                  <c:v>-104.53302889459108</c:v>
                </c:pt>
                <c:pt idx="343">
                  <c:v>-104.6212075610397</c:v>
                </c:pt>
                <c:pt idx="344">
                  <c:v>-104.70932348690127</c:v>
                </c:pt>
                <c:pt idx="345">
                  <c:v>-104.79929660389264</c:v>
                </c:pt>
                <c:pt idx="346">
                  <c:v>-104.88920514946808</c:v>
                </c:pt>
                <c:pt idx="347">
                  <c:v>-104.97904957592694</c:v>
                </c:pt>
                <c:pt idx="348">
                  <c:v>-105.06883032236948</c:v>
                </c:pt>
                <c:pt idx="349">
                  <c:v>-105.16073525992249</c:v>
                </c:pt>
                <c:pt idx="350">
                  <c:v>-105.25257426522107</c:v>
                </c:pt>
                <c:pt idx="351">
                  <c:v>-105.34434776967301</c:v>
                </c:pt>
                <c:pt idx="352">
                  <c:v>-105.43605619177671</c:v>
                </c:pt>
                <c:pt idx="353">
                  <c:v>-105.52988114641732</c:v>
                </c:pt>
                <c:pt idx="354">
                  <c:v>-105.62363873058504</c:v>
                </c:pt>
                <c:pt idx="355">
                  <c:v>-105.71732935376059</c:v>
                </c:pt>
                <c:pt idx="356">
                  <c:v>-105.810953412836</c:v>
                </c:pt>
                <c:pt idx="357">
                  <c:v>-105.90655033749597</c:v>
                </c:pt>
                <c:pt idx="358">
                  <c:v>-106.00207856309395</c:v>
                </c:pt>
                <c:pt idx="359">
                  <c:v>-106.09753847468401</c:v>
                </c:pt>
                <c:pt idx="360">
                  <c:v>-106.1929304451475</c:v>
                </c:pt>
                <c:pt idx="361">
                  <c:v>-106.29055914335497</c:v>
                </c:pt>
                <c:pt idx="362">
                  <c:v>-106.38811732892157</c:v>
                </c:pt>
                <c:pt idx="363">
                  <c:v>-106.4856053650477</c:v>
                </c:pt>
                <c:pt idx="364">
                  <c:v>-106.58302360306145</c:v>
                </c:pt>
                <c:pt idx="365">
                  <c:v>-106.6825349026151</c:v>
                </c:pt>
                <c:pt idx="366">
                  <c:v>-106.78197397338712</c:v>
                </c:pt>
                <c:pt idx="367">
                  <c:v>-106.88134115444225</c:v>
                </c:pt>
                <c:pt idx="368">
                  <c:v>-106.98063677336387</c:v>
                </c:pt>
                <c:pt idx="369">
                  <c:v>-107.08228693972679</c:v>
                </c:pt>
                <c:pt idx="370">
                  <c:v>-107.18386266137844</c:v>
                </c:pt>
                <c:pt idx="371">
                  <c:v>-107.2853642552592</c:v>
                </c:pt>
                <c:pt idx="372">
                  <c:v>-107.38679202711981</c:v>
                </c:pt>
                <c:pt idx="373">
                  <c:v>-107.49043060179302</c:v>
                </c:pt>
                <c:pt idx="374">
                  <c:v>-107.59399260030285</c:v>
                </c:pt>
                <c:pt idx="375">
                  <c:v>-107.69747831541854</c:v>
                </c:pt>
                <c:pt idx="376">
                  <c:v>-107.80088802909687</c:v>
                </c:pt>
                <c:pt idx="377">
                  <c:v>-107.90676755141008</c:v>
                </c:pt>
                <c:pt idx="378">
                  <c:v>-108.01256784622721</c:v>
                </c:pt>
                <c:pt idx="379">
                  <c:v>-108.11828918366943</c:v>
                </c:pt>
                <c:pt idx="380">
                  <c:v>-108.22393182333734</c:v>
                </c:pt>
                <c:pt idx="381">
                  <c:v>-108.33176678869543</c:v>
                </c:pt>
                <c:pt idx="382">
                  <c:v>-108.43952014827154</c:v>
                </c:pt>
                <c:pt idx="383">
                  <c:v>-108.54719214685265</c:v>
                </c:pt>
                <c:pt idx="384">
                  <c:v>-108.65478301912792</c:v>
                </c:pt>
                <c:pt idx="385">
                  <c:v>-108.76495639998998</c:v>
                </c:pt>
                <c:pt idx="386">
                  <c:v>-108.87504505145951</c:v>
                </c:pt>
                <c:pt idx="387">
                  <c:v>-108.98504919513621</c:v>
                </c:pt>
                <c:pt idx="388">
                  <c:v>-109.09496904281878</c:v>
                </c:pt>
                <c:pt idx="389">
                  <c:v>-109.20732724344344</c:v>
                </c:pt>
                <c:pt idx="390">
                  <c:v>-109.31959764854419</c:v>
                </c:pt>
                <c:pt idx="391">
                  <c:v>-109.43178045500582</c:v>
                </c:pt>
                <c:pt idx="392">
                  <c:v>-109.54387585028573</c:v>
                </c:pt>
                <c:pt idx="393">
                  <c:v>-109.65839856222749</c:v>
                </c:pt>
                <c:pt idx="394">
                  <c:v>-109.77283026010265</c:v>
                </c:pt>
                <c:pt idx="395">
                  <c:v>-109.88717111565174</c:v>
                </c:pt>
                <c:pt idx="396">
                  <c:v>-110.00142129158418</c:v>
                </c:pt>
                <c:pt idx="397">
                  <c:v>-110.11835132352819</c:v>
                </c:pt>
                <c:pt idx="398">
                  <c:v>-110.23518653724679</c:v>
                </c:pt>
                <c:pt idx="399">
                  <c:v>-110.35192708002258</c:v>
                </c:pt>
                <c:pt idx="400">
                  <c:v>-110.46857309044708</c:v>
                </c:pt>
                <c:pt idx="401">
                  <c:v>-110.58775457194841</c:v>
                </c:pt>
                <c:pt idx="402">
                  <c:v>-110.70683747163318</c:v>
                </c:pt>
                <c:pt idx="403">
                  <c:v>-110.8258219113531</c:v>
                </c:pt>
                <c:pt idx="404">
                  <c:v>-110.94470800467538</c:v>
                </c:pt>
                <c:pt idx="405">
                  <c:v>-111.06624805383856</c:v>
                </c:pt>
                <c:pt idx="406">
                  <c:v>-111.1876853598516</c:v>
                </c:pt>
                <c:pt idx="407">
                  <c:v>-111.30902001924484</c:v>
                </c:pt>
                <c:pt idx="408">
                  <c:v>-111.43025212065908</c:v>
                </c:pt>
                <c:pt idx="409">
                  <c:v>-111.55425520608451</c:v>
                </c:pt>
                <c:pt idx="410">
                  <c:v>-111.67815097170916</c:v>
                </c:pt>
                <c:pt idx="411">
                  <c:v>-111.8019394887157</c:v>
                </c:pt>
                <c:pt idx="412">
                  <c:v>-111.9256208207873</c:v>
                </c:pt>
                <c:pt idx="413">
                  <c:v>-112.05205848816708</c:v>
                </c:pt>
                <c:pt idx="414">
                  <c:v>-112.17838405542126</c:v>
                </c:pt>
                <c:pt idx="415">
                  <c:v>-112.30459756812157</c:v>
                </c:pt>
                <c:pt idx="416">
                  <c:v>-112.43069906475944</c:v>
                </c:pt>
                <c:pt idx="417">
                  <c:v>-112.55967152311604</c:v>
                </c:pt>
                <c:pt idx="418">
                  <c:v>-112.68852665595834</c:v>
                </c:pt>
                <c:pt idx="419">
                  <c:v>-112.81726448322057</c:v>
                </c:pt>
                <c:pt idx="420">
                  <c:v>-112.94588501817671</c:v>
                </c:pt>
                <c:pt idx="421">
                  <c:v>-113.07723107736916</c:v>
                </c:pt>
                <c:pt idx="422">
                  <c:v>-113.20845460264111</c:v>
                </c:pt>
                <c:pt idx="423">
                  <c:v>-113.33955558824675</c:v>
                </c:pt>
                <c:pt idx="424">
                  <c:v>-113.47053402225458</c:v>
                </c:pt>
                <c:pt idx="425">
                  <c:v>-113.60460822006949</c:v>
                </c:pt>
                <c:pt idx="426">
                  <c:v>-113.73855371680867</c:v>
                </c:pt>
                <c:pt idx="427">
                  <c:v>-113.87237048105008</c:v>
                </c:pt>
                <c:pt idx="428">
                  <c:v>-114.00605847561789</c:v>
                </c:pt>
                <c:pt idx="429">
                  <c:v>-114.1426953125853</c:v>
                </c:pt>
                <c:pt idx="430">
                  <c:v>-114.27919727782543</c:v>
                </c:pt>
                <c:pt idx="431">
                  <c:v>-114.41556431441572</c:v>
                </c:pt>
                <c:pt idx="432">
                  <c:v>-114.55179636016796</c:v>
                </c:pt>
                <c:pt idx="433">
                  <c:v>-114.69095876561398</c:v>
                </c:pt>
                <c:pt idx="434">
                  <c:v>-114.8299798802371</c:v>
                </c:pt>
                <c:pt idx="435">
                  <c:v>-114.96885962200567</c:v>
                </c:pt>
                <c:pt idx="436">
                  <c:v>-115.10759790413924</c:v>
                </c:pt>
                <c:pt idx="437">
                  <c:v>-115.24950191731193</c:v>
                </c:pt>
                <c:pt idx="438">
                  <c:v>-115.39125743710849</c:v>
                </c:pt>
                <c:pt idx="439">
                  <c:v>-115.5328643564077</c:v>
                </c:pt>
                <c:pt idx="440">
                  <c:v>-115.67432256385328</c:v>
                </c:pt>
                <c:pt idx="441">
                  <c:v>-115.81892527408672</c:v>
                </c:pt>
                <c:pt idx="442">
                  <c:v>-115.96337200761462</c:v>
                </c:pt>
                <c:pt idx="443">
                  <c:v>-116.10766263279382</c:v>
                </c:pt>
                <c:pt idx="444">
                  <c:v>-116.25179701429471</c:v>
                </c:pt>
                <c:pt idx="445">
                  <c:v>-116.39905402069361</c:v>
                </c:pt>
                <c:pt idx="446">
                  <c:v>-116.54614728440396</c:v>
                </c:pt>
                <c:pt idx="447">
                  <c:v>-116.6930766500809</c:v>
                </c:pt>
                <c:pt idx="448">
                  <c:v>-116.83984195927376</c:v>
                </c:pt>
                <c:pt idx="449">
                  <c:v>-116.98995845318287</c:v>
                </c:pt>
                <c:pt idx="450">
                  <c:v>-117.13990257836409</c:v>
                </c:pt>
                <c:pt idx="451">
                  <c:v>-117.28967415593905</c:v>
                </c:pt>
                <c:pt idx="452">
                  <c:v>-117.43927300451803</c:v>
                </c:pt>
                <c:pt idx="453">
                  <c:v>-117.59207309227504</c:v>
                </c:pt>
                <c:pt idx="454">
                  <c:v>-117.74469216673749</c:v>
                </c:pt>
                <c:pt idx="455">
                  <c:v>-117.89713002712445</c:v>
                </c:pt>
                <c:pt idx="456">
                  <c:v>-118.04938647078082</c:v>
                </c:pt>
                <c:pt idx="457">
                  <c:v>-118.20506806244151</c:v>
                </c:pt>
                <c:pt idx="458">
                  <c:v>-118.36055908961028</c:v>
                </c:pt>
                <c:pt idx="459">
                  <c:v>-118.5158593300431</c:v>
                </c:pt>
                <c:pt idx="460">
                  <c:v>-118.67096856028107</c:v>
                </c:pt>
                <c:pt idx="461">
                  <c:v>-118.82947551062954</c:v>
                </c:pt>
                <c:pt idx="462">
                  <c:v>-118.98778201598095</c:v>
                </c:pt>
                <c:pt idx="463">
                  <c:v>-119.14588783426515</c:v>
                </c:pt>
                <c:pt idx="464">
                  <c:v>-119.30379272289248</c:v>
                </c:pt>
                <c:pt idx="465">
                  <c:v>-119.46519020507432</c:v>
                </c:pt>
                <c:pt idx="466">
                  <c:v>-119.62637671363299</c:v>
                </c:pt>
                <c:pt idx="467">
                  <c:v>-119.78735198802174</c:v>
                </c:pt>
                <c:pt idx="468">
                  <c:v>-119.94811576790407</c:v>
                </c:pt>
                <c:pt idx="469">
                  <c:v>-120.11234207502704</c:v>
                </c:pt>
                <c:pt idx="470">
                  <c:v>-120.2763465403559</c:v>
                </c:pt>
                <c:pt idx="471">
                  <c:v>-120.44012888707663</c:v>
                </c:pt>
                <c:pt idx="472">
                  <c:v>-120.6036888393492</c:v>
                </c:pt>
                <c:pt idx="473">
                  <c:v>-120.77092398982684</c:v>
                </c:pt>
                <c:pt idx="474">
                  <c:v>-120.93792541580686</c:v>
                </c:pt>
                <c:pt idx="475">
                  <c:v>-121.10469282547064</c:v>
                </c:pt>
                <c:pt idx="476">
                  <c:v>-121.27122592877799</c:v>
                </c:pt>
                <c:pt idx="477">
                  <c:v>-121.44140031814071</c:v>
                </c:pt>
                <c:pt idx="478">
                  <c:v>-121.61132873579579</c:v>
                </c:pt>
                <c:pt idx="479">
                  <c:v>-121.78101087774408</c:v>
                </c:pt>
                <c:pt idx="480">
                  <c:v>-121.95044644260639</c:v>
                </c:pt>
                <c:pt idx="481">
                  <c:v>-122.12348840438337</c:v>
                </c:pt>
                <c:pt idx="482">
                  <c:v>-122.29627179230104</c:v>
                </c:pt>
                <c:pt idx="483">
                  <c:v>-122.46879629336664</c:v>
                </c:pt>
                <c:pt idx="484">
                  <c:v>-122.64106159807952</c:v>
                </c:pt>
                <c:pt idx="485">
                  <c:v>-122.81701712748605</c:v>
                </c:pt>
                <c:pt idx="486">
                  <c:v>-122.99270076729802</c:v>
                </c:pt>
                <c:pt idx="487">
                  <c:v>-123.16811219841981</c:v>
                </c:pt>
                <c:pt idx="488">
                  <c:v>-123.34325110615904</c:v>
                </c:pt>
                <c:pt idx="489">
                  <c:v>-123.52228016234669</c:v>
                </c:pt>
                <c:pt idx="490">
                  <c:v>-123.70102290140926</c:v>
                </c:pt>
                <c:pt idx="491">
                  <c:v>-123.87947900078554</c:v>
                </c:pt>
                <c:pt idx="492">
                  <c:v>-124.05764814328261</c:v>
                </c:pt>
                <c:pt idx="493">
                  <c:v>-124.23966613267419</c:v>
                </c:pt>
                <c:pt idx="494">
                  <c:v>-124.42138299980537</c:v>
                </c:pt>
                <c:pt idx="495">
                  <c:v>-124.60279842301597</c:v>
                </c:pt>
                <c:pt idx="496">
                  <c:v>-124.78391208700857</c:v>
                </c:pt>
                <c:pt idx="497">
                  <c:v>-124.96894957591296</c:v>
                </c:pt>
                <c:pt idx="498">
                  <c:v>-125.15367037577603</c:v>
                </c:pt>
                <c:pt idx="499">
                  <c:v>-125.33807417000389</c:v>
                </c:pt>
                <c:pt idx="500">
                  <c:v>-125.52216064940026</c:v>
                </c:pt>
                <c:pt idx="501">
                  <c:v>-125.71024280127313</c:v>
                </c:pt>
                <c:pt idx="502">
                  <c:v>-125.89799192315196</c:v>
                </c:pt>
                <c:pt idx="503">
                  <c:v>-126.08540770816634</c:v>
                </c:pt>
                <c:pt idx="504">
                  <c:v>-126.27248985791933</c:v>
                </c:pt>
                <c:pt idx="505">
                  <c:v>-126.46352056474839</c:v>
                </c:pt>
                <c:pt idx="506">
                  <c:v>-126.65420154056605</c:v>
                </c:pt>
                <c:pt idx="507">
                  <c:v>-126.8445324939307</c:v>
                </c:pt>
                <c:pt idx="508">
                  <c:v>-127.03451314296512</c:v>
                </c:pt>
                <c:pt idx="509">
                  <c:v>-127.22850896727893</c:v>
                </c:pt>
                <c:pt idx="510">
                  <c:v>-127.42213759027165</c:v>
                </c:pt>
                <c:pt idx="511">
                  <c:v>-127.61539874154556</c:v>
                </c:pt>
                <c:pt idx="512">
                  <c:v>-127.80829216138999</c:v>
                </c:pt>
                <c:pt idx="513">
                  <c:v>-128.00537805140613</c:v>
                </c:pt>
                <c:pt idx="514">
                  <c:v>-128.20207804856287</c:v>
                </c:pt>
                <c:pt idx="515">
                  <c:v>-128.39839190926</c:v>
                </c:pt>
                <c:pt idx="516">
                  <c:v>-128.59431940176361</c:v>
                </c:pt>
                <c:pt idx="517">
                  <c:v>-128.79438475464721</c:v>
                </c:pt>
                <c:pt idx="518">
                  <c:v>-128.9940451815954</c:v>
                </c:pt>
                <c:pt idx="519">
                  <c:v>-129.19330047305715</c:v>
                </c:pt>
                <c:pt idx="520">
                  <c:v>-129.39215043252597</c:v>
                </c:pt>
                <c:pt idx="521">
                  <c:v>-129.59519460137489</c:v>
                </c:pt>
                <c:pt idx="522">
                  <c:v>-129.79781403558863</c:v>
                </c:pt>
                <c:pt idx="523">
                  <c:v>-130.0000085670147</c:v>
                </c:pt>
                <c:pt idx="524">
                  <c:v>-130.20177804174216</c:v>
                </c:pt>
                <c:pt idx="525">
                  <c:v>-130.40779451104183</c:v>
                </c:pt>
                <c:pt idx="526">
                  <c:v>-130.6133656655559</c:v>
                </c:pt>
                <c:pt idx="527">
                  <c:v>-130.81849138648872</c:v>
                </c:pt>
                <c:pt idx="528">
                  <c:v>-131.02317157049524</c:v>
                </c:pt>
                <c:pt idx="529">
                  <c:v>-131.23214790329334</c:v>
                </c:pt>
                <c:pt idx="530">
                  <c:v>-131.44065757739313</c:v>
                </c:pt>
                <c:pt idx="531">
                  <c:v>-131.64870053193272</c:v>
                </c:pt>
                <c:pt idx="532">
                  <c:v>-131.85627672271426</c:v>
                </c:pt>
                <c:pt idx="533">
                  <c:v>-132.06830380319002</c:v>
                </c:pt>
                <c:pt idx="534">
                  <c:v>-132.27984162392113</c:v>
                </c:pt>
                <c:pt idx="535">
                  <c:v>-132.49089019120171</c:v>
                </c:pt>
                <c:pt idx="536">
                  <c:v>-132.70144952923562</c:v>
                </c:pt>
                <c:pt idx="537">
                  <c:v>-132.91628339571753</c:v>
                </c:pt>
                <c:pt idx="538">
                  <c:v>-133.13060567408272</c:v>
                </c:pt>
                <c:pt idx="539">
                  <c:v>-133.34441644759033</c:v>
                </c:pt>
                <c:pt idx="540">
                  <c:v>-133.55771581856567</c:v>
                </c:pt>
                <c:pt idx="541">
                  <c:v>-133.77554363700651</c:v>
                </c:pt>
                <c:pt idx="542">
                  <c:v>-133.99283578873434</c:v>
                </c:pt>
                <c:pt idx="543">
                  <c:v>-134.2095924446534</c:v>
                </c:pt>
                <c:pt idx="544">
                  <c:v>-134.42581379594037</c:v>
                </c:pt>
                <c:pt idx="545">
                  <c:v>-134.64648989704776</c:v>
                </c:pt>
                <c:pt idx="546">
                  <c:v>-134.86660607568788</c:v>
                </c:pt>
                <c:pt idx="547">
                  <c:v>-135.08616260133834</c:v>
                </c:pt>
                <c:pt idx="548">
                  <c:v>-135.30515976487635</c:v>
                </c:pt>
                <c:pt idx="549">
                  <c:v>-135.52864186075828</c:v>
                </c:pt>
                <c:pt idx="550">
                  <c:v>-135.75153911270328</c:v>
                </c:pt>
                <c:pt idx="551">
                  <c:v>-135.97385190035678</c:v>
                </c:pt>
                <c:pt idx="552">
                  <c:v>-136.19558062583647</c:v>
                </c:pt>
                <c:pt idx="553">
                  <c:v>-136.42192454943341</c:v>
                </c:pt>
                <c:pt idx="554">
                  <c:v>-136.64765751245341</c:v>
                </c:pt>
                <c:pt idx="555">
                  <c:v>-136.87278001754441</c:v>
                </c:pt>
                <c:pt idx="556">
                  <c:v>-137.09729259087263</c:v>
                </c:pt>
                <c:pt idx="557">
                  <c:v>-137.55495177368385</c:v>
                </c:pt>
                <c:pt idx="558">
                  <c:v>-138.01006275598471</c:v>
                </c:pt>
                <c:pt idx="559">
                  <c:v>-138.47297464637185</c:v>
                </c:pt>
                <c:pt idx="560">
                  <c:v>-138.93323202676291</c:v>
                </c:pt>
                <c:pt idx="561">
                  <c:v>-139.40166656056434</c:v>
                </c:pt>
                <c:pt idx="562">
                  <c:v>-139.86733354922583</c:v>
                </c:pt>
                <c:pt idx="563">
                  <c:v>-140.34014436404544</c:v>
                </c:pt>
                <c:pt idx="564">
                  <c:v>-140.81008472326619</c:v>
                </c:pt>
                <c:pt idx="565">
                  <c:v>-141.28890214265772</c:v>
                </c:pt>
                <c:pt idx="566">
                  <c:v>-141.76472279696054</c:v>
                </c:pt>
                <c:pt idx="567">
                  <c:v>-142.24914715342521</c:v>
                </c:pt>
                <c:pt idx="568">
                  <c:v>-142.73044917560787</c:v>
                </c:pt>
                <c:pt idx="569">
                  <c:v>-143.21817369950207</c:v>
                </c:pt>
                <c:pt idx="570">
                  <c:v>-143.70267672293286</c:v>
                </c:pt>
                <c:pt idx="571">
                  <c:v>-144.19713947903421</c:v>
                </c:pt>
                <c:pt idx="572">
                  <c:v>-144.68823246646002</c:v>
                </c:pt>
                <c:pt idx="573">
                  <c:v>-145.18524758337512</c:v>
                </c:pt>
                <c:pt idx="574">
                  <c:v>-145.678797903766</c:v>
                </c:pt>
                <c:pt idx="575">
                  <c:v>-146.1817046165155</c:v>
                </c:pt>
                <c:pt idx="576">
                  <c:v>-146.68100180710633</c:v>
                </c:pt>
                <c:pt idx="577">
                  <c:v>-148.7553076279622</c:v>
                </c:pt>
                <c:pt idx="578">
                  <c:v>-150.76692966975378</c:v>
                </c:pt>
                <c:pt idx="579">
                  <c:v>-154.9645090941514</c:v>
                </c:pt>
                <c:pt idx="580">
                  <c:v>-159.25751175910068</c:v>
                </c:pt>
                <c:pt idx="581">
                  <c:v>-163.61514306676037</c:v>
                </c:pt>
                <c:pt idx="582">
                  <c:v>-168.01486840499038</c:v>
                </c:pt>
                <c:pt idx="583">
                  <c:v>-172.42843150935391</c:v>
                </c:pt>
                <c:pt idx="584">
                  <c:v>-176.83535286902878</c:v>
                </c:pt>
                <c:pt idx="585">
                  <c:v>-181.21129418682347</c:v>
                </c:pt>
                <c:pt idx="586">
                  <c:v>-185.53771061924624</c:v>
                </c:pt>
                <c:pt idx="587">
                  <c:v>-189.80067125563951</c:v>
                </c:pt>
                <c:pt idx="588">
                  <c:v>-193.98302414822979</c:v>
                </c:pt>
                <c:pt idx="589">
                  <c:v>-198.07802812809649</c:v>
                </c:pt>
                <c:pt idx="590">
                  <c:v>-202.07651017538859</c:v>
                </c:pt>
                <c:pt idx="591">
                  <c:v>-205.97313377455154</c:v>
                </c:pt>
                <c:pt idx="592">
                  <c:v>-209.76285225303107</c:v>
                </c:pt>
                <c:pt idx="593">
                  <c:v>-213.44267813214603</c:v>
                </c:pt>
                <c:pt idx="594">
                  <c:v>-217.00737235431163</c:v>
                </c:pt>
                <c:pt idx="595">
                  <c:v>-220.45289278005833</c:v>
                </c:pt>
                <c:pt idx="596">
                  <c:v>-223.77319118797013</c:v>
                </c:pt>
                <c:pt idx="597">
                  <c:v>-226.96321136955876</c:v>
                </c:pt>
                <c:pt idx="598">
                  <c:v>-230.01635709820741</c:v>
                </c:pt>
                <c:pt idx="599">
                  <c:v>-232.92801325773817</c:v>
                </c:pt>
                <c:pt idx="600">
                  <c:v>-235.69319929771518</c:v>
                </c:pt>
              </c:numCache>
            </c:numRef>
          </c:yVal>
          <c:smooth val="0"/>
          <c:extLst>
            <c:ext xmlns:c16="http://schemas.microsoft.com/office/drawing/2014/chart" uri="{C3380CC4-5D6E-409C-BE32-E72D297353CC}">
              <c16:uniqueId val="{0000000B-4B49-4ADE-B8CD-DD5F374AD671}"/>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49-4ADE-B8CD-DD5F374AD671}"/>
              </c:ext>
            </c:extLst>
          </c:dPt>
          <c:xVal>
            <c:numRef>
              <c:f>'Stability Calculations'!$A$617:$A$618</c:f>
              <c:numCache>
                <c:formatCode>General</c:formatCode>
                <c:ptCount val="2"/>
                <c:pt idx="0">
                  <c:v>5957</c:v>
                </c:pt>
                <c:pt idx="1">
                  <c:v>5957</c:v>
                </c:pt>
              </c:numCache>
            </c:numRef>
          </c:xVal>
          <c:yVal>
            <c:numRef>
              <c:f>'Stability Calculations'!$R$617:$R$618</c:f>
              <c:numCache>
                <c:formatCode>0.00</c:formatCode>
                <c:ptCount val="2"/>
                <c:pt idx="0">
                  <c:v>-90.791319272078468</c:v>
                </c:pt>
                <c:pt idx="1">
                  <c:v>-135</c:v>
                </c:pt>
              </c:numCache>
            </c:numRef>
          </c:yVal>
          <c:smooth val="0"/>
          <c:extLst>
            <c:ext xmlns:c16="http://schemas.microsoft.com/office/drawing/2014/chart" uri="{C3380CC4-5D6E-409C-BE32-E72D297353CC}">
              <c16:uniqueId val="{0000000D-4B49-4ADE-B8CD-DD5F374AD671}"/>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5957</c:v>
                </c:pt>
                <c:pt idx="1">
                  <c:v>1000000</c:v>
                </c:pt>
              </c:numCache>
            </c:numRef>
          </c:xVal>
          <c:yVal>
            <c:numRef>
              <c:f>'Stability Calculations'!$R$619:$R$620</c:f>
              <c:numCache>
                <c:formatCode>0.00</c:formatCode>
                <c:ptCount val="2"/>
                <c:pt idx="1">
                  <c:v>-90.791319272078468</c:v>
                </c:pt>
              </c:numCache>
            </c:numRef>
          </c:yVal>
          <c:smooth val="0"/>
          <c:extLst>
            <c:ext xmlns:c16="http://schemas.microsoft.com/office/drawing/2014/chart" uri="{C3380CC4-5D6E-409C-BE32-E72D297353CC}">
              <c16:uniqueId val="{0000000E-4B49-4ADE-B8CD-DD5F374AD671}"/>
            </c:ext>
          </c:extLst>
        </c:ser>
        <c:dLbls>
          <c:showLegendKey val="0"/>
          <c:showVal val="0"/>
          <c:showCatName val="0"/>
          <c:showSerName val="0"/>
          <c:showPercent val="0"/>
          <c:showBubbleSize val="0"/>
        </c:dLbls>
        <c:axId val="165660160"/>
        <c:axId val="165661696"/>
      </c:scatterChart>
      <c:valAx>
        <c:axId val="165647872"/>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5649792"/>
        <c:crossesAt val="-80"/>
        <c:crossBetween val="midCat"/>
      </c:valAx>
      <c:valAx>
        <c:axId val="16564979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5647872"/>
        <c:crossesAt val="1.0000000000000005E-2"/>
        <c:crossBetween val="midCat"/>
        <c:majorUnit val="20"/>
      </c:valAx>
      <c:valAx>
        <c:axId val="165660160"/>
        <c:scaling>
          <c:logBase val="10"/>
          <c:orientation val="minMax"/>
        </c:scaling>
        <c:delete val="1"/>
        <c:axPos val="b"/>
        <c:numFmt formatCode="General" sourceLinked="1"/>
        <c:majorTickMark val="out"/>
        <c:minorTickMark val="none"/>
        <c:tickLblPos val="none"/>
        <c:crossAx val="165661696"/>
        <c:crosses val="autoZero"/>
        <c:crossBetween val="midCat"/>
      </c:valAx>
      <c:valAx>
        <c:axId val="165661696"/>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65660160"/>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(Ch2),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0BD-4998-8A98-65686C23F2C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Calculations'!$A$627</c:f>
              <c:numCache>
                <c:formatCode>0</c:formatCode>
                <c:ptCount val="1"/>
                <c:pt idx="0">
                  <c:v>284082.64698583551</c:v>
                </c:pt>
              </c:numCache>
            </c:numRef>
          </c:xVal>
          <c:yVal>
            <c:numRef>
              <c:f>'Ch2 Stability Calculations'!$Q$627</c:f>
              <c:numCache>
                <c:formatCode>0.00</c:formatCode>
                <c:ptCount val="1"/>
                <c:pt idx="0">
                  <c:v>-27.181307226964847</c:v>
                </c:pt>
              </c:numCache>
            </c:numRef>
          </c:yVal>
          <c:smooth val="0"/>
          <c:extLst>
            <c:ext xmlns:c16="http://schemas.microsoft.com/office/drawing/2014/chart" uri="{C3380CC4-5D6E-409C-BE32-E72D297353CC}">
              <c16:uniqueId val="{00000001-10BD-4998-8A98-65686C23F2C0}"/>
            </c:ext>
          </c:extLst>
        </c:ser>
        <c:dLbls>
          <c:showLegendKey val="0"/>
          <c:showVal val="0"/>
          <c:showCatName val="0"/>
          <c:showSerName val="0"/>
          <c:showPercent val="0"/>
          <c:showBubbleSize val="0"/>
        </c:dLbls>
        <c:axId val="185161600"/>
        <c:axId val="185188352"/>
      </c:scatterChart>
      <c:scatterChart>
        <c:scatterStyle val="smoothMarker"/>
        <c:varyColors val="0"/>
        <c:ser>
          <c:idx val="2"/>
          <c:order val="0"/>
          <c:tx>
            <c:v>Loop Gain</c:v>
          </c:tx>
          <c:spPr>
            <a:ln w="3175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85.978649500916106</c:v>
                </c:pt>
                <c:pt idx="1">
                  <c:v>85.240385683627295</c:v>
                </c:pt>
                <c:pt idx="2">
                  <c:v>84.492459759792311</c:v>
                </c:pt>
                <c:pt idx="3">
                  <c:v>83.736282993940364</c:v>
                </c:pt>
                <c:pt idx="4">
                  <c:v>82.973584865358418</c:v>
                </c:pt>
                <c:pt idx="5">
                  <c:v>82.204154292526482</c:v>
                </c:pt>
                <c:pt idx="6">
                  <c:v>81.429989999376659</c:v>
                </c:pt>
                <c:pt idx="7">
                  <c:v>80.651361571412423</c:v>
                </c:pt>
                <c:pt idx="8">
                  <c:v>79.869499244132697</c:v>
                </c:pt>
                <c:pt idx="9">
                  <c:v>79.084371931614768</c:v>
                </c:pt>
                <c:pt idx="10">
                  <c:v>78.296903025903262</c:v>
                </c:pt>
                <c:pt idx="11">
                  <c:v>77.507378444453522</c:v>
                </c:pt>
                <c:pt idx="12">
                  <c:v>76.71571180795641</c:v>
                </c:pt>
                <c:pt idx="13">
                  <c:v>75.922940918357128</c:v>
                </c:pt>
                <c:pt idx="14">
                  <c:v>75.128663497441252</c:v>
                </c:pt>
                <c:pt idx="15">
                  <c:v>74.333374446974105</c:v>
                </c:pt>
                <c:pt idx="16">
                  <c:v>73.53716506771714</c:v>
                </c:pt>
                <c:pt idx="17">
                  <c:v>72.740274224746827</c:v>
                </c:pt>
                <c:pt idx="18">
                  <c:v>71.942570031474844</c:v>
                </c:pt>
                <c:pt idx="19">
                  <c:v>71.144343472322689</c:v>
                </c:pt>
                <c:pt idx="20">
                  <c:v>70.345491676223176</c:v>
                </c:pt>
                <c:pt idx="21">
                  <c:v>69.546215325436592</c:v>
                </c:pt>
                <c:pt idx="22">
                  <c:v>68.746364260627104</c:v>
                </c:pt>
                <c:pt idx="23">
                  <c:v>67.94614065591378</c:v>
                </c:pt>
                <c:pt idx="24">
                  <c:v>67.145329060981553</c:v>
                </c:pt>
                <c:pt idx="25">
                  <c:v>66.344025250247469</c:v>
                </c:pt>
                <c:pt idx="26">
                  <c:v>65.54199714207067</c:v>
                </c:pt>
                <c:pt idx="27">
                  <c:v>64.739436239780744</c:v>
                </c:pt>
                <c:pt idx="28">
                  <c:v>63.936227316942734</c:v>
                </c:pt>
                <c:pt idx="29">
                  <c:v>63.132763052732706</c:v>
                </c:pt>
                <c:pt idx="30">
                  <c:v>62.327550941995852</c:v>
                </c:pt>
                <c:pt idx="31">
                  <c:v>61.521551413569959</c:v>
                </c:pt>
                <c:pt idx="32">
                  <c:v>60.71401854511101</c:v>
                </c:pt>
                <c:pt idx="33">
                  <c:v>59.905287446693983</c:v>
                </c:pt>
                <c:pt idx="34">
                  <c:v>59.094445562479194</c:v>
                </c:pt>
                <c:pt idx="35">
                  <c:v>58.281603268775335</c:v>
                </c:pt>
                <c:pt idx="36">
                  <c:v>57.466225392049218</c:v>
                </c:pt>
                <c:pt idx="37">
                  <c:v>56.647382318020931</c:v>
                </c:pt>
                <c:pt idx="38">
                  <c:v>55.82527617737852</c:v>
                </c:pt>
                <c:pt idx="39">
                  <c:v>54.998565315728733</c:v>
                </c:pt>
                <c:pt idx="40">
                  <c:v>54.166764005490478</c:v>
                </c:pt>
                <c:pt idx="41">
                  <c:v>53.328873162001429</c:v>
                </c:pt>
                <c:pt idx="42">
                  <c:v>52.483936395356722</c:v>
                </c:pt>
                <c:pt idx="43">
                  <c:v>51.630474278524787</c:v>
                </c:pt>
                <c:pt idx="44">
                  <c:v>50.767315687084043</c:v>
                </c:pt>
                <c:pt idx="45">
                  <c:v>49.892718668937221</c:v>
                </c:pt>
                <c:pt idx="46">
                  <c:v>49.005126265373413</c:v>
                </c:pt>
                <c:pt idx="47">
                  <c:v>48.102462732621909</c:v>
                </c:pt>
                <c:pt idx="48">
                  <c:v>47.18294607018273</c:v>
                </c:pt>
                <c:pt idx="49">
                  <c:v>46.244264011382803</c:v>
                </c:pt>
                <c:pt idx="50">
                  <c:v>45.28447642606114</c:v>
                </c:pt>
                <c:pt idx="51">
                  <c:v>44.301355788244194</c:v>
                </c:pt>
                <c:pt idx="52">
                  <c:v>43.293408181606608</c:v>
                </c:pt>
                <c:pt idx="53">
                  <c:v>42.259117226767799</c:v>
                </c:pt>
                <c:pt idx="54">
                  <c:v>41.198124522134876</c:v>
                </c:pt>
                <c:pt idx="55">
                  <c:v>40.108171098874401</c:v>
                </c:pt>
                <c:pt idx="56">
                  <c:v>38.990994993370549</c:v>
                </c:pt>
                <c:pt idx="57">
                  <c:v>37.846859122795578</c:v>
                </c:pt>
                <c:pt idx="58">
                  <c:v>36.678417984381383</c:v>
                </c:pt>
                <c:pt idx="59">
                  <c:v>35.487422332794864</c:v>
                </c:pt>
                <c:pt idx="60">
                  <c:v>34.277948676224248</c:v>
                </c:pt>
                <c:pt idx="61">
                  <c:v>33.053894984872997</c:v>
                </c:pt>
                <c:pt idx="62">
                  <c:v>31.81920284978013</c:v>
                </c:pt>
                <c:pt idx="63">
                  <c:v>30.58002413635699</c:v>
                </c:pt>
                <c:pt idx="64">
                  <c:v>29.340526808284096</c:v>
                </c:pt>
                <c:pt idx="65">
                  <c:v>28.106341900122572</c:v>
                </c:pt>
                <c:pt idx="66">
                  <c:v>26.882332673212378</c:v>
                </c:pt>
                <c:pt idx="67">
                  <c:v>25.673261245896001</c:v>
                </c:pt>
                <c:pt idx="68">
                  <c:v>24.482833726348762</c:v>
                </c:pt>
                <c:pt idx="69">
                  <c:v>23.314759941760315</c:v>
                </c:pt>
                <c:pt idx="70">
                  <c:v>22.171431923333603</c:v>
                </c:pt>
                <c:pt idx="71">
                  <c:v>21.054893079301525</c:v>
                </c:pt>
                <c:pt idx="72">
                  <c:v>19.965898954598625</c:v>
                </c:pt>
                <c:pt idx="73">
                  <c:v>18.904938795981042</c:v>
                </c:pt>
                <c:pt idx="74">
                  <c:v>17.871273621067793</c:v>
                </c:pt>
                <c:pt idx="75">
                  <c:v>16.86402217797626</c:v>
                </c:pt>
                <c:pt idx="76">
                  <c:v>15.88146330715583</c:v>
                </c:pt>
                <c:pt idx="77">
                  <c:v>14.922104163544994</c:v>
                </c:pt>
                <c:pt idx="78">
                  <c:v>13.98390097621286</c:v>
                </c:pt>
                <c:pt idx="79">
                  <c:v>13.06533280803526</c:v>
                </c:pt>
                <c:pt idx="80">
                  <c:v>12.16277963461711</c:v>
                </c:pt>
                <c:pt idx="81">
                  <c:v>11.275516889466575</c:v>
                </c:pt>
                <c:pt idx="82">
                  <c:v>10.401059690962725</c:v>
                </c:pt>
                <c:pt idx="83">
                  <c:v>9.5383002880237377</c:v>
                </c:pt>
                <c:pt idx="84">
                  <c:v>8.6850096714879896</c:v>
                </c:pt>
                <c:pt idx="85">
                  <c:v>7.8402785123549119</c:v>
                </c:pt>
                <c:pt idx="86">
                  <c:v>7.0027492672962053</c:v>
                </c:pt>
                <c:pt idx="87">
                  <c:v>6.1709071197871435</c:v>
                </c:pt>
                <c:pt idx="88">
                  <c:v>5.3446214547745168</c:v>
                </c:pt>
                <c:pt idx="89">
                  <c:v>4.5224332972462467</c:v>
                </c:pt>
                <c:pt idx="90">
                  <c:v>3.7039797946956328</c:v>
                </c:pt>
                <c:pt idx="91">
                  <c:v>2.888617165888689</c:v>
                </c:pt>
                <c:pt idx="92">
                  <c:v>2.0759734838571324</c:v>
                </c:pt>
                <c:pt idx="93">
                  <c:v>1.265403450838118</c:v>
                </c:pt>
                <c:pt idx="94">
                  <c:v>1.0631470710955853</c:v>
                </c:pt>
                <c:pt idx="95">
                  <c:v>0.96143519592204807</c:v>
                </c:pt>
                <c:pt idx="96">
                  <c:v>0.86091482480144377</c:v>
                </c:pt>
                <c:pt idx="97">
                  <c:v>0.75926849517554995</c:v>
                </c:pt>
                <c:pt idx="98">
                  <c:v>0.65881169411808704</c:v>
                </c:pt>
                <c:pt idx="99">
                  <c:v>0.55720318160277382</c:v>
                </c:pt>
                <c:pt idx="100">
                  <c:v>0.45678289266947858</c:v>
                </c:pt>
                <c:pt idx="101">
                  <c:v>0.35526341646077786</c:v>
                </c:pt>
                <c:pt idx="102">
                  <c:v>0.25492969333162924</c:v>
                </c:pt>
                <c:pt idx="103">
                  <c:v>0.15339972394598178</c:v>
                </c:pt>
                <c:pt idx="104">
                  <c:v>5.3055372928910591E-2</c:v>
                </c:pt>
                <c:pt idx="105">
                  <c:v>-4.8430684509550813E-2</c:v>
                </c:pt>
                <c:pt idx="106">
                  <c:v>-0.14873249873631555</c:v>
                </c:pt>
                <c:pt idx="107">
                  <c:v>-0.25012399774972915</c:v>
                </c:pt>
                <c:pt idx="108">
                  <c:v>-0.35033377957567746</c:v>
                </c:pt>
                <c:pt idx="109">
                  <c:v>-0.45165221363222735</c:v>
                </c:pt>
                <c:pt idx="110">
                  <c:v>-0.55179093405500046</c:v>
                </c:pt>
                <c:pt idx="111">
                  <c:v>-0.6531218247748628</c:v>
                </c:pt>
                <c:pt idx="112">
                  <c:v>-0.75327300328230362</c:v>
                </c:pt>
                <c:pt idx="113">
                  <c:v>-0.85456207526407602</c:v>
                </c:pt>
                <c:pt idx="114">
                  <c:v>-0.95467267172959769</c:v>
                </c:pt>
                <c:pt idx="115">
                  <c:v>-1.0559332961655101</c:v>
                </c:pt>
                <c:pt idx="116">
                  <c:v>-1.156016351282724</c:v>
                </c:pt>
                <c:pt idx="117">
                  <c:v>-1.2572595412921928</c:v>
                </c:pt>
                <c:pt idx="118">
                  <c:v>-1.357325792989853</c:v>
                </c:pt>
                <c:pt idx="119">
                  <c:v>-1.4584993853628438</c:v>
                </c:pt>
                <c:pt idx="120">
                  <c:v>-1.5584978552735487</c:v>
                </c:pt>
                <c:pt idx="121">
                  <c:v>-1.6596128938788643</c:v>
                </c:pt>
                <c:pt idx="122">
                  <c:v>-1.7595543496601154</c:v>
                </c:pt>
                <c:pt idx="123">
                  <c:v>-1.8606780355259986</c:v>
                </c:pt>
                <c:pt idx="124">
                  <c:v>-1.9606281073276373</c:v>
                </c:pt>
                <c:pt idx="125">
                  <c:v>-2.0617066343630168</c:v>
                </c:pt>
                <c:pt idx="126">
                  <c:v>-2.1616127382216805</c:v>
                </c:pt>
                <c:pt idx="127">
                  <c:v>-2.2626515431340191</c:v>
                </c:pt>
                <c:pt idx="128">
                  <c:v>-2.3625189706537366</c:v>
                </c:pt>
                <c:pt idx="129">
                  <c:v>-2.4635218774792351</c:v>
                </c:pt>
                <c:pt idx="130">
                  <c:v>-2.5633543451293592</c:v>
                </c:pt>
                <c:pt idx="131">
                  <c:v>-2.6643236972795012</c:v>
                </c:pt>
                <c:pt idx="132">
                  <c:v>-2.7143680845922722</c:v>
                </c:pt>
                <c:pt idx="133">
                  <c:v>-2.7641234752773105</c:v>
                </c:pt>
                <c:pt idx="134">
                  <c:v>-2.8147657270766242</c:v>
                </c:pt>
                <c:pt idx="135">
                  <c:v>-2.8651120656192974</c:v>
                </c:pt>
                <c:pt idx="136">
                  <c:v>-2.9151659331725992</c:v>
                </c:pt>
                <c:pt idx="137">
                  <c:v>-2.9649307119739361</c:v>
                </c:pt>
                <c:pt idx="138">
                  <c:v>-3.0155297962075354</c:v>
                </c:pt>
                <c:pt idx="139">
                  <c:v>-3.0658334850383397</c:v>
                </c:pt>
                <c:pt idx="140">
                  <c:v>-3.1158452104685703</c:v>
                </c:pt>
                <c:pt idx="141">
                  <c:v>-3.1655683447294143</c:v>
                </c:pt>
                <c:pt idx="142">
                  <c:v>-3.2161751064888886</c:v>
                </c:pt>
                <c:pt idx="143">
                  <c:v>-3.2664863937863315</c:v>
                </c:pt>
                <c:pt idx="144">
                  <c:v>-3.3165056387650704</c:v>
                </c:pt>
                <c:pt idx="145">
                  <c:v>-3.3662362138143549</c:v>
                </c:pt>
                <c:pt idx="146">
                  <c:v>-3.4168234325273223</c:v>
                </c:pt>
                <c:pt idx="147">
                  <c:v>-3.4671154098656558</c:v>
                </c:pt>
                <c:pt idx="148">
                  <c:v>-3.5171155727171572</c:v>
                </c:pt>
                <c:pt idx="149">
                  <c:v>-3.5668272883566061</c:v>
                </c:pt>
                <c:pt idx="150">
                  <c:v>-3.6173933303025603</c:v>
                </c:pt>
                <c:pt idx="151">
                  <c:v>-3.6676643781281184</c:v>
                </c:pt>
                <c:pt idx="152">
                  <c:v>-3.7176438532471439</c:v>
                </c:pt>
                <c:pt idx="153">
                  <c:v>-3.7673351176056897</c:v>
                </c:pt>
                <c:pt idx="154">
                  <c:v>-3.8179011190343997</c:v>
                </c:pt>
                <c:pt idx="155">
                  <c:v>-3.8681721228911075</c:v>
                </c:pt>
                <c:pt idx="156">
                  <c:v>-3.9181515494878303</c:v>
                </c:pt>
                <c:pt idx="157">
                  <c:v>-3.9678427597122368</c:v>
                </c:pt>
                <c:pt idx="158">
                  <c:v>-4.0184046878542246</c:v>
                </c:pt>
                <c:pt idx="159">
                  <c:v>-4.0686716570963197</c:v>
                </c:pt>
                <c:pt idx="160">
                  <c:v>-4.1186470859370781</c:v>
                </c:pt>
                <c:pt idx="161">
                  <c:v>-4.1683343335098408</c:v>
                </c:pt>
                <c:pt idx="162">
                  <c:v>-4.2188657558265596</c:v>
                </c:pt>
                <c:pt idx="163">
                  <c:v>-4.2691025604921284</c:v>
                </c:pt>
                <c:pt idx="164">
                  <c:v>-4.319048158967508</c:v>
                </c:pt>
                <c:pt idx="165">
                  <c:v>-4.3687059035274496</c:v>
                </c:pt>
                <c:pt idx="166">
                  <c:v>-4.4192470794996233</c:v>
                </c:pt>
                <c:pt idx="167">
                  <c:v>-4.4694935060061578</c:v>
                </c:pt>
                <c:pt idx="168">
                  <c:v>-4.519448595681367</c:v>
                </c:pt>
                <c:pt idx="169">
                  <c:v>-4.5691157019622306</c:v>
                </c:pt>
                <c:pt idx="170">
                  <c:v>-4.6195547328869093</c:v>
                </c:pt>
                <c:pt idx="171">
                  <c:v>-4.66970017784997</c:v>
                </c:pt>
                <c:pt idx="172">
                  <c:v>-4.7195554282672934</c:v>
                </c:pt>
                <c:pt idx="173">
                  <c:v>-4.7691238168613896</c:v>
                </c:pt>
                <c:pt idx="174">
                  <c:v>-4.8196474564823877</c:v>
                </c:pt>
                <c:pt idx="175">
                  <c:v>-4.8698764989740271</c:v>
                </c:pt>
                <c:pt idx="176">
                  <c:v>-4.9198143521534057</c:v>
                </c:pt>
                <c:pt idx="177">
                  <c:v>-4.9694643647812535</c:v>
                </c:pt>
                <c:pt idx="178">
                  <c:v>-5.0200401757792026</c:v>
                </c:pt>
                <c:pt idx="179">
                  <c:v>-5.0703207492493245</c:v>
                </c:pt>
                <c:pt idx="180">
                  <c:v>-5.1203095030140853</c:v>
                </c:pt>
                <c:pt idx="181">
                  <c:v>-5.1700097956231179</c:v>
                </c:pt>
                <c:pt idx="182">
                  <c:v>-5.2204103440980933</c:v>
                </c:pt>
                <c:pt idx="183">
                  <c:v>-5.2705176534163236</c:v>
                </c:pt>
                <c:pt idx="184">
                  <c:v>-5.3203351057953121</c:v>
                </c:pt>
                <c:pt idx="185">
                  <c:v>-5.369866025012656</c:v>
                </c:pt>
                <c:pt idx="186">
                  <c:v>-5.4204616101264467</c:v>
                </c:pt>
                <c:pt idx="187">
                  <c:v>-5.4707616449666743</c:v>
                </c:pt>
                <c:pt idx="188">
                  <c:v>-5.5207695506286534</c:v>
                </c:pt>
                <c:pt idx="189">
                  <c:v>-5.5704886888860425</c:v>
                </c:pt>
                <c:pt idx="190">
                  <c:v>-5.620862999764924</c:v>
                </c:pt>
                <c:pt idx="191">
                  <c:v>-5.6709442834582031</c:v>
                </c:pt>
                <c:pt idx="192">
                  <c:v>-5.7207359164183211</c:v>
                </c:pt>
                <c:pt idx="193">
                  <c:v>-5.7702412168152968</c:v>
                </c:pt>
                <c:pt idx="194">
                  <c:v>-5.8207501375880106</c:v>
                </c:pt>
                <c:pt idx="195">
                  <c:v>-5.8709644131018681</c:v>
                </c:pt>
                <c:pt idx="196">
                  <c:v>-5.9208874466737758</c:v>
                </c:pt>
                <c:pt idx="197">
                  <c:v>-5.9705225827328317</c:v>
                </c:pt>
                <c:pt idx="198">
                  <c:v>-6.0209506166662141</c:v>
                </c:pt>
                <c:pt idx="199">
                  <c:v>-6.0710848855410324</c:v>
                </c:pt>
                <c:pt idx="200">
                  <c:v>-6.1209287764217759</c:v>
                </c:pt>
                <c:pt idx="201">
                  <c:v>-6.1704856178700105</c:v>
                </c:pt>
                <c:pt idx="202">
                  <c:v>-6.2208114508246934</c:v>
                </c:pt>
                <c:pt idx="203">
                  <c:v>-6.2708446394116191</c:v>
                </c:pt>
                <c:pt idx="204">
                  <c:v>-6.3205885503341888</c:v>
                </c:pt>
                <c:pt idx="205">
                  <c:v>-6.3700464922707631</c:v>
                </c:pt>
                <c:pt idx="206">
                  <c:v>-6.4204217892772437</c:v>
                </c:pt>
                <c:pt idx="207">
                  <c:v>-6.47050379675174</c:v>
                </c:pt>
                <c:pt idx="208">
                  <c:v>-6.5202958914438476</c:v>
                </c:pt>
                <c:pt idx="209">
                  <c:v>-6.5698013918581442</c:v>
                </c:pt>
                <c:pt idx="210">
                  <c:v>-6.6203635664368985</c:v>
                </c:pt>
                <c:pt idx="211">
                  <c:v>-6.6706301997625692</c:v>
                </c:pt>
                <c:pt idx="212">
                  <c:v>-6.7206047063503105</c:v>
                </c:pt>
                <c:pt idx="213">
                  <c:v>-6.770290441612687</c:v>
                </c:pt>
                <c:pt idx="214">
                  <c:v>-6.8206725463506492</c:v>
                </c:pt>
                <c:pt idx="215">
                  <c:v>-6.8707611211726771</c:v>
                </c:pt>
                <c:pt idx="216">
                  <c:v>-6.9205595448130532</c:v>
                </c:pt>
                <c:pt idx="217">
                  <c:v>-6.970071137734978</c:v>
                </c:pt>
                <c:pt idx="218">
                  <c:v>-7.0204183453555</c:v>
                </c:pt>
                <c:pt idx="219">
                  <c:v>-7.0704723384280497</c:v>
                </c:pt>
                <c:pt idx="220">
                  <c:v>-7.1202364891678336</c:v>
                </c:pt>
                <c:pt idx="221">
                  <c:v>-7.169714111677445</c:v>
                </c:pt>
                <c:pt idx="222">
                  <c:v>-7.2200019494726106</c:v>
                </c:pt>
                <c:pt idx="223">
                  <c:v>-7.2699971655743747</c:v>
                </c:pt>
                <c:pt idx="224">
                  <c:v>-7.319703120903867</c:v>
                </c:pt>
                <c:pt idx="225">
                  <c:v>-7.3691231185367929</c:v>
                </c:pt>
                <c:pt idx="226">
                  <c:v>-7.419481427243384</c:v>
                </c:pt>
                <c:pt idx="227">
                  <c:v>-7.4695461926328202</c:v>
                </c:pt>
                <c:pt idx="228">
                  <c:v>-7.5193207903482193</c:v>
                </c:pt>
                <c:pt idx="229">
                  <c:v>-7.5688085378584375</c:v>
                </c:pt>
                <c:pt idx="230">
                  <c:v>-7.6693086465285276</c:v>
                </c:pt>
                <c:pt idx="231">
                  <c:v>-7.7191209272508683</c:v>
                </c:pt>
                <c:pt idx="232">
                  <c:v>-7.7686458127568416</c:v>
                </c:pt>
                <c:pt idx="233">
                  <c:v>-7.8190520658902365</c:v>
                </c:pt>
                <c:pt idx="234">
                  <c:v>-7.8691639892091017</c:v>
                </c:pt>
                <c:pt idx="235">
                  <c:v>-7.9189849695754493</c:v>
                </c:pt>
                <c:pt idx="236">
                  <c:v>-7.9685183354353395</c:v>
                </c:pt>
                <c:pt idx="237">
                  <c:v>-8.0187636930285819</c:v>
                </c:pt>
                <c:pt idx="238">
                  <c:v>-8.0687164663956139</c:v>
                </c:pt>
                <c:pt idx="239">
                  <c:v>-8.1183800112170559</c:v>
                </c:pt>
                <c:pt idx="240">
                  <c:v>-8.1677576254786164</c:v>
                </c:pt>
                <c:pt idx="241">
                  <c:v>-8.218104140767192</c:v>
                </c:pt>
                <c:pt idx="242">
                  <c:v>-8.2681567628541774</c:v>
                </c:pt>
                <c:pt idx="243">
                  <c:v>-8.3179188686841847</c:v>
                </c:pt>
                <c:pt idx="244">
                  <c:v>-8.3673937770271642</c:v>
                </c:pt>
                <c:pt idx="245">
                  <c:v>-8.417671663229024</c:v>
                </c:pt>
                <c:pt idx="246">
                  <c:v>-8.4676563134676979</c:v>
                </c:pt>
                <c:pt idx="247">
                  <c:v>-8.5173510921572877</c:v>
                </c:pt>
                <c:pt idx="248">
                  <c:v>-8.5667593058304714</c:v>
                </c:pt>
                <c:pt idx="249">
                  <c:v>-8.6170788604313824</c:v>
                </c:pt>
                <c:pt idx="250">
                  <c:v>-8.6671045444601127</c:v>
                </c:pt>
                <c:pt idx="251">
                  <c:v>-8.7168397319501167</c:v>
                </c:pt>
                <c:pt idx="252">
                  <c:v>-8.7662877388394875</c:v>
                </c:pt>
                <c:pt idx="253">
                  <c:v>-8.8164892894187012</c:v>
                </c:pt>
                <c:pt idx="254">
                  <c:v>-8.8663981841761021</c:v>
                </c:pt>
                <c:pt idx="255">
                  <c:v>-8.9160177750029561</c:v>
                </c:pt>
                <c:pt idx="256">
                  <c:v>-8.965351356207286</c:v>
                </c:pt>
                <c:pt idx="257">
                  <c:v>-9.0156691831365023</c:v>
                </c:pt>
                <c:pt idx="258">
                  <c:v>-9.0656928332078195</c:v>
                </c:pt>
                <c:pt idx="259">
                  <c:v>-9.1154256830523543</c:v>
                </c:pt>
                <c:pt idx="260">
                  <c:v>-9.1648710511577498</c:v>
                </c:pt>
                <c:pt idx="261">
                  <c:v>-9.2151462200665772</c:v>
                </c:pt>
                <c:pt idx="262">
                  <c:v>-9.2651275318809372</c:v>
                </c:pt>
                <c:pt idx="263">
                  <c:v>-9.3148183563534168</c:v>
                </c:pt>
                <c:pt idx="264">
                  <c:v>-9.3642220052557601</c:v>
                </c:pt>
                <c:pt idx="265">
                  <c:v>-9.4144300830480994</c:v>
                </c:pt>
                <c:pt idx="266">
                  <c:v>-9.4643448984673633</c:v>
                </c:pt>
                <c:pt idx="267">
                  <c:v>-9.5139698096422869</c:v>
                </c:pt>
                <c:pt idx="268">
                  <c:v>-9.5633081169914025</c:v>
                </c:pt>
                <c:pt idx="269">
                  <c:v>-9.6135444884955703</c:v>
                </c:pt>
                <c:pt idx="270">
                  <c:v>-9.663487070675739</c:v>
                </c:pt>
                <c:pt idx="271">
                  <c:v>-9.7131392292113024</c:v>
                </c:pt>
                <c:pt idx="272">
                  <c:v>-9.7625042719034809</c:v>
                </c:pt>
                <c:pt idx="273">
                  <c:v>-9.812739624671261</c:v>
                </c:pt>
                <c:pt idx="274">
                  <c:v>-9.8626809916615787</c:v>
                </c:pt>
                <c:pt idx="275">
                  <c:v>-9.9123317403895115</c:v>
                </c:pt>
                <c:pt idx="276">
                  <c:v>-9.9616951804543135</c:v>
                </c:pt>
                <c:pt idx="277">
                  <c:v>-10.011789356650286</c:v>
                </c:pt>
                <c:pt idx="278">
                  <c:v>-10.061590973909805</c:v>
                </c:pt>
                <c:pt idx="279">
                  <c:v>-10.111103373759441</c:v>
                </c:pt>
                <c:pt idx="280">
                  <c:v>-10.160329840407433</c:v>
                </c:pt>
                <c:pt idx="281">
                  <c:v>-10.210595489702746</c:v>
                </c:pt>
                <c:pt idx="282">
                  <c:v>-10.260566348040518</c:v>
                </c:pt>
                <c:pt idx="283">
                  <c:v>-10.3102457935031</c:v>
                </c:pt>
                <c:pt idx="284">
                  <c:v>-10.359637146023108</c:v>
                </c:pt>
                <c:pt idx="285">
                  <c:v>-10.409712155675205</c:v>
                </c:pt>
                <c:pt idx="286">
                  <c:v>-10.459494357007886</c:v>
                </c:pt>
                <c:pt idx="287">
                  <c:v>-10.508987092485505</c:v>
                </c:pt>
                <c:pt idx="288">
                  <c:v>-10.558193647239825</c:v>
                </c:pt>
                <c:pt idx="289">
                  <c:v>-10.608378791043753</c:v>
                </c:pt>
                <c:pt idx="290">
                  <c:v>-10.658269584602794</c:v>
                </c:pt>
                <c:pt idx="291">
                  <c:v>-10.707869394973075</c:v>
                </c:pt>
                <c:pt idx="292">
                  <c:v>-10.75718153131988</c:v>
                </c:pt>
                <c:pt idx="293">
                  <c:v>-10.807338902917618</c:v>
                </c:pt>
                <c:pt idx="294">
                  <c:v>-10.857201978903761</c:v>
                </c:pt>
                <c:pt idx="295">
                  <c:v>-10.906774123559245</c:v>
                </c:pt>
                <c:pt idx="296">
                  <c:v>-10.956058643340519</c:v>
                </c:pt>
                <c:pt idx="297">
                  <c:v>-11.006162308460167</c:v>
                </c:pt>
                <c:pt idx="298">
                  <c:v>-11.055972022326523</c:v>
                </c:pt>
                <c:pt idx="299">
                  <c:v>-11.105491141424293</c:v>
                </c:pt>
                <c:pt idx="300">
                  <c:v>-11.15472296459442</c:v>
                </c:pt>
                <c:pt idx="301">
                  <c:v>-11.204748727906681</c:v>
                </c:pt>
                <c:pt idx="302">
                  <c:v>-11.254481153192064</c:v>
                </c:pt>
                <c:pt idx="303">
                  <c:v>-11.303923584487631</c:v>
                </c:pt>
                <c:pt idx="304">
                  <c:v>-11.353079308473051</c:v>
                </c:pt>
                <c:pt idx="305">
                  <c:v>-11.403196082119054</c:v>
                </c:pt>
                <c:pt idx="306">
                  <c:v>-11.453018138483536</c:v>
                </c:pt>
                <c:pt idx="307">
                  <c:v>-11.502548843072123</c:v>
                </c:pt>
                <c:pt idx="308">
                  <c:v>-11.551791503544981</c:v>
                </c:pt>
                <c:pt idx="309">
                  <c:v>-11.601778009569991</c:v>
                </c:pt>
                <c:pt idx="310">
                  <c:v>-11.65147099478104</c:v>
                </c:pt>
                <c:pt idx="311">
                  <c:v>-11.70087380211587</c:v>
                </c:pt>
                <c:pt idx="312">
                  <c:v>-11.749989717183624</c:v>
                </c:pt>
                <c:pt idx="313">
                  <c:v>-11.800009483315048</c:v>
                </c:pt>
                <c:pt idx="314">
                  <c:v>-11.849734992718259</c:v>
                </c:pt>
                <c:pt idx="315">
                  <c:v>-11.899169598623997</c:v>
                </c:pt>
                <c:pt idx="316">
                  <c:v>-11.948316596701048</c:v>
                </c:pt>
                <c:pt idx="317">
                  <c:v>-11.99833918266137</c:v>
                </c:pt>
                <c:pt idx="318">
                  <c:v>-12.048067114090237</c:v>
                </c:pt>
                <c:pt idx="319">
                  <c:v>-12.097503748645249</c:v>
                </c:pt>
                <c:pt idx="320">
                  <c:v>-12.146652386322154</c:v>
                </c:pt>
                <c:pt idx="321">
                  <c:v>-12.196649277780512</c:v>
                </c:pt>
                <c:pt idx="322">
                  <c:v>-12.246351433017095</c:v>
                </c:pt>
                <c:pt idx="323">
                  <c:v>-12.295762208620314</c:v>
                </c:pt>
                <c:pt idx="324">
                  <c:v>-12.344884903541971</c:v>
                </c:pt>
                <c:pt idx="325">
                  <c:v>-12.39482942642403</c:v>
                </c:pt>
                <c:pt idx="326">
                  <c:v>-12.444479425955882</c:v>
                </c:pt>
                <c:pt idx="327">
                  <c:v>-12.493838252532225</c:v>
                </c:pt>
                <c:pt idx="328">
                  <c:v>-12.542909199052945</c:v>
                </c:pt>
                <c:pt idx="329">
                  <c:v>-12.59285957660193</c:v>
                </c:pt>
                <c:pt idx="330">
                  <c:v>-12.642514938655204</c:v>
                </c:pt>
                <c:pt idx="331">
                  <c:v>-12.691878641293812</c:v>
                </c:pt>
                <c:pt idx="332">
                  <c:v>-12.740953982974366</c:v>
                </c:pt>
                <c:pt idx="333">
                  <c:v>-12.790799954967246</c:v>
                </c:pt>
                <c:pt idx="334">
                  <c:v>-12.840351696393446</c:v>
                </c:pt>
                <c:pt idx="335">
                  <c:v>-12.889612547184583</c:v>
                </c:pt>
                <c:pt idx="336">
                  <c:v>-12.938585790016024</c:v>
                </c:pt>
                <c:pt idx="337">
                  <c:v>-12.988464462563648</c:v>
                </c:pt>
                <c:pt idx="338">
                  <c:v>-13.038048052867266</c:v>
                </c:pt>
                <c:pt idx="339">
                  <c:v>-13.087339912386335</c:v>
                </c:pt>
                <c:pt idx="340">
                  <c:v>-13.136343335060538</c:v>
                </c:pt>
                <c:pt idx="341">
                  <c:v>-13.18622359968054</c:v>
                </c:pt>
                <c:pt idx="342">
                  <c:v>-13.2358082718704</c:v>
                </c:pt>
                <c:pt idx="343">
                  <c:v>-13.285100708669146</c:v>
                </c:pt>
                <c:pt idx="344">
                  <c:v>-13.334104209467712</c:v>
                </c:pt>
                <c:pt idx="345">
                  <c:v>-13.383881240499173</c:v>
                </c:pt>
                <c:pt idx="346">
                  <c:v>-13.433363382897124</c:v>
                </c:pt>
                <c:pt idx="347">
                  <c:v>-13.482553978527337</c:v>
                </c:pt>
                <c:pt idx="348">
                  <c:v>-13.531456311952194</c:v>
                </c:pt>
                <c:pt idx="349">
                  <c:v>-13.581255865597665</c:v>
                </c:pt>
                <c:pt idx="350">
                  <c:v>-13.630759722786438</c:v>
                </c:pt>
                <c:pt idx="351">
                  <c:v>-13.679971235696659</c:v>
                </c:pt>
                <c:pt idx="352">
                  <c:v>-13.728893698966008</c:v>
                </c:pt>
                <c:pt idx="353">
                  <c:v>-13.778684909281992</c:v>
                </c:pt>
                <c:pt idx="354">
                  <c:v>-13.82817995165494</c:v>
                </c:pt>
                <c:pt idx="355">
                  <c:v>-13.877382182696994</c:v>
                </c:pt>
                <c:pt idx="356">
                  <c:v>-13.926294901376234</c:v>
                </c:pt>
                <c:pt idx="357">
                  <c:v>-13.975978355317888</c:v>
                </c:pt>
                <c:pt idx="358">
                  <c:v>-14.025366320574861</c:v>
                </c:pt>
                <c:pt idx="359">
                  <c:v>-14.074462138528661</c:v>
                </c:pt>
                <c:pt idx="360">
                  <c:v>-14.123269093261388</c:v>
                </c:pt>
                <c:pt idx="361">
                  <c:v>-14.172960248618754</c:v>
                </c:pt>
                <c:pt idx="362">
                  <c:v>-14.222355195556348</c:v>
                </c:pt>
                <c:pt idx="363">
                  <c:v>-14.271457283721467</c:v>
                </c:pt>
                <c:pt idx="364">
                  <c:v>-14.32026980527003</c:v>
                </c:pt>
                <c:pt idx="365">
                  <c:v>-14.369871128277209</c:v>
                </c:pt>
                <c:pt idx="366">
                  <c:v>-14.4191766504598</c:v>
                </c:pt>
                <c:pt idx="367">
                  <c:v>-14.468189710474189</c:v>
                </c:pt>
                <c:pt idx="368">
                  <c:v>-14.516913589732086</c:v>
                </c:pt>
                <c:pt idx="369">
                  <c:v>-14.566532581503349</c:v>
                </c:pt>
                <c:pt idx="370">
                  <c:v>-14.615854868227903</c:v>
                </c:pt>
                <c:pt idx="371">
                  <c:v>-14.664883799519725</c:v>
                </c:pt>
                <c:pt idx="372">
                  <c:v>-14.713622667493544</c:v>
                </c:pt>
                <c:pt idx="373">
                  <c:v>-14.763163846540998</c:v>
                </c:pt>
                <c:pt idx="374">
                  <c:v>-14.812408518710081</c:v>
                </c:pt>
                <c:pt idx="375">
                  <c:v>-14.861360025738019</c:v>
                </c:pt>
                <c:pt idx="376">
                  <c:v>-14.910021652037184</c:v>
                </c:pt>
                <c:pt idx="377">
                  <c:v>-14.959585154057908</c:v>
                </c:pt>
                <c:pt idx="378">
                  <c:v>-15.008851114667278</c:v>
                </c:pt>
                <c:pt idx="379">
                  <c:v>-15.057822888275689</c:v>
                </c:pt>
                <c:pt idx="380">
                  <c:v>-15.106503771673349</c:v>
                </c:pt>
                <c:pt idx="381">
                  <c:v>-15.155935240848002</c:v>
                </c:pt>
                <c:pt idx="382">
                  <c:v>-15.205069941948857</c:v>
                </c:pt>
                <c:pt idx="383">
                  <c:v>-15.253911211350783</c:v>
                </c:pt>
                <c:pt idx="384">
                  <c:v>-15.302462328213158</c:v>
                </c:pt>
                <c:pt idx="385">
                  <c:v>-15.35191903790386</c:v>
                </c:pt>
                <c:pt idx="386">
                  <c:v>-15.401077829148711</c:v>
                </c:pt>
                <c:pt idx="387">
                  <c:v>-15.449942052402829</c:v>
                </c:pt>
                <c:pt idx="388">
                  <c:v>-15.498515000576866</c:v>
                </c:pt>
                <c:pt idx="389">
                  <c:v>-15.547905877686478</c:v>
                </c:pt>
                <c:pt idx="390">
                  <c:v>-15.596998734414649</c:v>
                </c:pt>
                <c:pt idx="391">
                  <c:v>-15.64579691737322</c:v>
                </c:pt>
                <c:pt idx="392">
                  <c:v>-15.694303715708626</c:v>
                </c:pt>
                <c:pt idx="393">
                  <c:v>-15.743602003383367</c:v>
                </c:pt>
                <c:pt idx="394">
                  <c:v>-15.792602447307322</c:v>
                </c:pt>
                <c:pt idx="395">
                  <c:v>-15.841308385292539</c:v>
                </c:pt>
                <c:pt idx="396">
                  <c:v>-15.889723097876796</c:v>
                </c:pt>
                <c:pt idx="397">
                  <c:v>-15.939014649649145</c:v>
                </c:pt>
                <c:pt idx="398">
                  <c:v>-15.988007452422114</c:v>
                </c:pt>
                <c:pt idx="399">
                  <c:v>-16.036704853034514</c:v>
                </c:pt>
                <c:pt idx="400">
                  <c:v>-16.08511014083409</c:v>
                </c:pt>
                <c:pt idx="401">
                  <c:v>-16.134309388892543</c:v>
                </c:pt>
                <c:pt idx="402">
                  <c:v>-16.183209965638191</c:v>
                </c:pt>
                <c:pt idx="403">
                  <c:v>-16.231815210132439</c:v>
                </c:pt>
                <c:pt idx="404">
                  <c:v>-16.280128404111135</c:v>
                </c:pt>
                <c:pt idx="405">
                  <c:v>-16.329262521485738</c:v>
                </c:pt>
                <c:pt idx="406">
                  <c:v>-16.378097665366059</c:v>
                </c:pt>
                <c:pt idx="407">
                  <c:v>-16.426637173050501</c:v>
                </c:pt>
                <c:pt idx="408">
                  <c:v>-16.474884324538891</c:v>
                </c:pt>
                <c:pt idx="409">
                  <c:v>-16.523977019847898</c:v>
                </c:pt>
                <c:pt idx="410">
                  <c:v>-16.572770095871356</c:v>
                </c:pt>
                <c:pt idx="411">
                  <c:v>-16.621266893500838</c:v>
                </c:pt>
                <c:pt idx="412">
                  <c:v>-16.669470696232565</c:v>
                </c:pt>
                <c:pt idx="413">
                  <c:v>-16.718492077752824</c:v>
                </c:pt>
                <c:pt idx="414">
                  <c:v>-16.767213498587669</c:v>
                </c:pt>
                <c:pt idx="415">
                  <c:v>-16.815638297739188</c:v>
                </c:pt>
                <c:pt idx="416">
                  <c:v>-16.863769756840959</c:v>
                </c:pt>
                <c:pt idx="417">
                  <c:v>-16.912740824289774</c:v>
                </c:pt>
                <c:pt idx="418">
                  <c:v>-16.961411271198262</c:v>
                </c:pt>
                <c:pt idx="419">
                  <c:v>-17.009784439552035</c:v>
                </c:pt>
                <c:pt idx="420">
                  <c:v>-17.057863613881938</c:v>
                </c:pt>
                <c:pt idx="421">
                  <c:v>-17.106706449057839</c:v>
                </c:pt>
                <c:pt idx="422">
                  <c:v>-17.155248893307199</c:v>
                </c:pt>
                <c:pt idx="423">
                  <c:v>-17.20349427637839</c:v>
                </c:pt>
                <c:pt idx="424">
                  <c:v>-17.25144587082481</c:v>
                </c:pt>
                <c:pt idx="425">
                  <c:v>-17.300276018777431</c:v>
                </c:pt>
                <c:pt idx="426">
                  <c:v>-17.348804519308281</c:v>
                </c:pt>
                <c:pt idx="427">
                  <c:v>-17.397034714103551</c:v>
                </c:pt>
                <c:pt idx="428">
                  <c:v>-17.44496988735969</c:v>
                </c:pt>
                <c:pt idx="429">
                  <c:v>-17.493708257716566</c:v>
                </c:pt>
                <c:pt idx="430">
                  <c:v>-17.54214462176985</c:v>
                </c:pt>
                <c:pt idx="431">
                  <c:v>-17.590282317740797</c:v>
                </c:pt>
                <c:pt idx="432">
                  <c:v>-17.638124626416047</c:v>
                </c:pt>
                <c:pt idx="433">
                  <c:v>-17.686742983603633</c:v>
                </c:pt>
                <c:pt idx="434">
                  <c:v>-17.735059249976526</c:v>
                </c:pt>
                <c:pt idx="435">
                  <c:v>-17.783076755238845</c:v>
                </c:pt>
                <c:pt idx="436">
                  <c:v>-17.830798771828341</c:v>
                </c:pt>
                <c:pt idx="437">
                  <c:v>-17.879357360669164</c:v>
                </c:pt>
                <c:pt idx="438">
                  <c:v>-17.927612947402686</c:v>
                </c:pt>
                <c:pt idx="439">
                  <c:v>-17.975568866281055</c:v>
                </c:pt>
                <c:pt idx="440">
                  <c:v>-18.023228394156813</c:v>
                </c:pt>
                <c:pt idx="441">
                  <c:v>-18.071695786527467</c:v>
                </c:pt>
                <c:pt idx="442">
                  <c:v>-18.119859568432631</c:v>
                </c:pt>
                <c:pt idx="443">
                  <c:v>-18.16772307305618</c:v>
                </c:pt>
                <c:pt idx="444">
                  <c:v>-18.215289576174719</c:v>
                </c:pt>
                <c:pt idx="445">
                  <c:v>-18.263636103817504</c:v>
                </c:pt>
                <c:pt idx="446">
                  <c:v>-18.31167869352894</c:v>
                </c:pt>
                <c:pt idx="447">
                  <c:v>-18.359420672172405</c:v>
                </c:pt>
                <c:pt idx="448">
                  <c:v>-18.406865309313464</c:v>
                </c:pt>
                <c:pt idx="449">
                  <c:v>-18.455143520616122</c:v>
                </c:pt>
                <c:pt idx="450">
                  <c:v>-18.503116711333483</c:v>
                </c:pt>
                <c:pt idx="451">
                  <c:v>-18.550788213676555</c:v>
                </c:pt>
                <c:pt idx="452">
                  <c:v>-18.598161302397266</c:v>
                </c:pt>
                <c:pt idx="453">
                  <c:v>-18.646299495276125</c:v>
                </c:pt>
                <c:pt idx="454">
                  <c:v>-18.694132385242956</c:v>
                </c:pt>
                <c:pt idx="455">
                  <c:v>-18.741663296038457</c:v>
                </c:pt>
                <c:pt idx="456">
                  <c:v>-18.788895494095911</c:v>
                </c:pt>
                <c:pt idx="457">
                  <c:v>-18.83694250853058</c:v>
                </c:pt>
                <c:pt idx="458">
                  <c:v>-18.884683213560315</c:v>
                </c:pt>
                <c:pt idx="459">
                  <c:v>-18.932120935472316</c:v>
                </c:pt>
                <c:pt idx="460">
                  <c:v>-18.979258943141339</c:v>
                </c:pt>
                <c:pt idx="461">
                  <c:v>-19.027182812619216</c:v>
                </c:pt>
                <c:pt idx="462">
                  <c:v>-19.074799656386951</c:v>
                </c:pt>
                <c:pt idx="463">
                  <c:v>-19.122112797709832</c:v>
                </c:pt>
                <c:pt idx="464">
                  <c:v>-19.169125502458883</c:v>
                </c:pt>
                <c:pt idx="465">
                  <c:v>-19.216932335292064</c:v>
                </c:pt>
                <c:pt idx="466">
                  <c:v>-19.264431226671782</c:v>
                </c:pt>
                <c:pt idx="467">
                  <c:v>-19.311625499171122</c:v>
                </c:pt>
                <c:pt idx="468">
                  <c:v>-19.358518417928611</c:v>
                </c:pt>
                <c:pt idx="469">
                  <c:v>-19.406176780807456</c:v>
                </c:pt>
                <c:pt idx="470">
                  <c:v>-19.45352656206142</c:v>
                </c:pt>
                <c:pt idx="471">
                  <c:v>-19.500571078174808</c:v>
                </c:pt>
                <c:pt idx="472">
                  <c:v>-19.547313588275767</c:v>
                </c:pt>
                <c:pt idx="473">
                  <c:v>-19.594862771967133</c:v>
                </c:pt>
                <c:pt idx="474">
                  <c:v>-19.642102089466032</c:v>
                </c:pt>
                <c:pt idx="475">
                  <c:v>-19.689034860500911</c:v>
                </c:pt>
                <c:pt idx="476">
                  <c:v>-19.735664347301906</c:v>
                </c:pt>
                <c:pt idx="477">
                  <c:v>-19.783070769594943</c:v>
                </c:pt>
                <c:pt idx="478">
                  <c:v>-19.830166328508049</c:v>
                </c:pt>
                <c:pt idx="479">
                  <c:v>-19.876954341287291</c:v>
                </c:pt>
                <c:pt idx="480">
                  <c:v>-19.923438067663511</c:v>
                </c:pt>
                <c:pt idx="481">
                  <c:v>-19.970669822520389</c:v>
                </c:pt>
                <c:pt idx="482">
                  <c:v>-20.017589981439066</c:v>
                </c:pt>
                <c:pt idx="483">
                  <c:v>-20.064201853815167</c:v>
                </c:pt>
                <c:pt idx="484">
                  <c:v>-20.110508691628937</c:v>
                </c:pt>
                <c:pt idx="485">
                  <c:v>-20.157567385788994</c:v>
                </c:pt>
                <c:pt idx="486">
                  <c:v>-20.204313570730466</c:v>
                </c:pt>
                <c:pt idx="487">
                  <c:v>-20.250750549669249</c:v>
                </c:pt>
                <c:pt idx="488">
                  <c:v>-20.29688156845976</c:v>
                </c:pt>
                <c:pt idx="489">
                  <c:v>-20.343798041552546</c:v>
                </c:pt>
                <c:pt idx="490">
                  <c:v>-20.390400508498367</c:v>
                </c:pt>
                <c:pt idx="491">
                  <c:v>-20.436692274224448</c:v>
                </c:pt>
                <c:pt idx="492">
                  <c:v>-20.482676586159755</c:v>
                </c:pt>
                <c:pt idx="493">
                  <c:v>-20.529416071214463</c:v>
                </c:pt>
                <c:pt idx="494">
                  <c:v>-20.575840327275465</c:v>
                </c:pt>
                <c:pt idx="495">
                  <c:v>-20.621952655214358</c:v>
                </c:pt>
                <c:pt idx="496">
                  <c:v>-20.667756298391748</c:v>
                </c:pt>
                <c:pt idx="497">
                  <c:v>-20.714315096805826</c:v>
                </c:pt>
                <c:pt idx="498">
                  <c:v>-20.760557294451395</c:v>
                </c:pt>
                <c:pt idx="499">
                  <c:v>-20.806486188953176</c:v>
                </c:pt>
                <c:pt idx="500">
                  <c:v>-20.85210502038337</c:v>
                </c:pt>
                <c:pt idx="501">
                  <c:v>-20.89847778000582</c:v>
                </c:pt>
                <c:pt idx="502">
                  <c:v>-20.944532426223368</c:v>
                </c:pt>
                <c:pt idx="503">
                  <c:v>-20.990272253964527</c:v>
                </c:pt>
                <c:pt idx="504">
                  <c:v>-21.03570050053991</c:v>
                </c:pt>
                <c:pt idx="505">
                  <c:v>-21.081852380455281</c:v>
                </c:pt>
                <c:pt idx="506">
                  <c:v>-21.127684885685628</c:v>
                </c:pt>
                <c:pt idx="507">
                  <c:v>-21.173201302839885</c:v>
                </c:pt>
                <c:pt idx="508">
                  <c:v>-21.218404860962671</c:v>
                </c:pt>
                <c:pt idx="509">
                  <c:v>-21.264329653720296</c:v>
                </c:pt>
                <c:pt idx="510">
                  <c:v>-21.309933660225404</c:v>
                </c:pt>
                <c:pt idx="511">
                  <c:v>-21.355220159269763</c:v>
                </c:pt>
                <c:pt idx="512">
                  <c:v>-21.400192372110066</c:v>
                </c:pt>
                <c:pt idx="513">
                  <c:v>-21.445908660471659</c:v>
                </c:pt>
                <c:pt idx="514">
                  <c:v>-21.491302234561967</c:v>
                </c:pt>
                <c:pt idx="515">
                  <c:v>-21.536376371258225</c:v>
                </c:pt>
                <c:pt idx="516">
                  <c:v>-21.581134289779929</c:v>
                </c:pt>
                <c:pt idx="517">
                  <c:v>-21.626604880538824</c:v>
                </c:pt>
                <c:pt idx="518">
                  <c:v>-21.671751074213752</c:v>
                </c:pt>
                <c:pt idx="519">
                  <c:v>-21.71657613989418</c:v>
                </c:pt>
                <c:pt idx="520">
                  <c:v>-21.76108328901099</c:v>
                </c:pt>
                <c:pt idx="521">
                  <c:v>-21.806297368545167</c:v>
                </c:pt>
                <c:pt idx="522">
                  <c:v>-21.851185230115572</c:v>
                </c:pt>
                <c:pt idx="523">
                  <c:v>-21.895750134855984</c:v>
                </c:pt>
                <c:pt idx="524">
                  <c:v>-21.939995286228143</c:v>
                </c:pt>
                <c:pt idx="525">
                  <c:v>-21.98494055737951</c:v>
                </c:pt>
                <c:pt idx="526">
                  <c:v>-22.029557653428146</c:v>
                </c:pt>
                <c:pt idx="527">
                  <c:v>-22.073849827178918</c:v>
                </c:pt>
                <c:pt idx="528">
                  <c:v>-22.117820273742055</c:v>
                </c:pt>
                <c:pt idx="529">
                  <c:v>-22.162482978852648</c:v>
                </c:pt>
                <c:pt idx="530">
                  <c:v>-22.206815416057594</c:v>
                </c:pt>
                <c:pt idx="531">
                  <c:v>-22.250820829263635</c:v>
                </c:pt>
                <c:pt idx="532">
                  <c:v>-22.294502404654281</c:v>
                </c:pt>
                <c:pt idx="533">
                  <c:v>-22.33889016028678</c:v>
                </c:pt>
                <c:pt idx="534">
                  <c:v>-22.382945077224221</c:v>
                </c:pt>
                <c:pt idx="535">
                  <c:v>-22.42667039468509</c:v>
                </c:pt>
                <c:pt idx="536">
                  <c:v>-22.470069294014799</c:v>
                </c:pt>
                <c:pt idx="537">
                  <c:v>-22.514119151534473</c:v>
                </c:pt>
                <c:pt idx="538">
                  <c:v>-22.55783415150912</c:v>
                </c:pt>
                <c:pt idx="539">
                  <c:v>-22.60121751748121</c:v>
                </c:pt>
                <c:pt idx="540">
                  <c:v>-22.644272415208476</c:v>
                </c:pt>
                <c:pt idx="541">
                  <c:v>-22.68801129344531</c:v>
                </c:pt>
                <c:pt idx="542">
                  <c:v>-22.731412474596201</c:v>
                </c:pt>
                <c:pt idx="543">
                  <c:v>-22.77447917521603</c:v>
                </c:pt>
                <c:pt idx="544">
                  <c:v>-22.817214553931798</c:v>
                </c:pt>
                <c:pt idx="545">
                  <c:v>-22.860600172206411</c:v>
                </c:pt>
                <c:pt idx="546">
                  <c:v>-22.903645451019909</c:v>
                </c:pt>
                <c:pt idx="547">
                  <c:v>-22.946353593715752</c:v>
                </c:pt>
                <c:pt idx="548">
                  <c:v>-22.988727745688578</c:v>
                </c:pt>
                <c:pt idx="549">
                  <c:v>-23.0317392043486</c:v>
                </c:pt>
                <c:pt idx="550">
                  <c:v>-23.074407530090774</c:v>
                </c:pt>
                <c:pt idx="551">
                  <c:v>-23.116735911619557</c:v>
                </c:pt>
                <c:pt idx="552">
                  <c:v>-23.158727479676195</c:v>
                </c:pt>
                <c:pt idx="553">
                  <c:v>-23.201361957997747</c:v>
                </c:pt>
                <c:pt idx="554">
                  <c:v>-23.243650035220121</c:v>
                </c:pt>
                <c:pt idx="555">
                  <c:v>-23.28559488817001</c:v>
                </c:pt>
                <c:pt idx="556">
                  <c:v>-23.327199635599744</c:v>
                </c:pt>
                <c:pt idx="557">
                  <c:v>-23.41131338298398</c:v>
                </c:pt>
                <c:pt idx="558">
                  <c:v>-23.494040442457976</c:v>
                </c:pt>
                <c:pt idx="559">
                  <c:v>-23.577254643079804</c:v>
                </c:pt>
                <c:pt idx="560">
                  <c:v>-23.659068989824284</c:v>
                </c:pt>
                <c:pt idx="561">
                  <c:v>-23.741399906238549</c:v>
                </c:pt>
                <c:pt idx="562">
                  <c:v>-23.822314644918386</c:v>
                </c:pt>
                <c:pt idx="563">
                  <c:v>-23.903528961251364</c:v>
                </c:pt>
                <c:pt idx="564">
                  <c:v>-23.983316030673485</c:v>
                </c:pt>
                <c:pt idx="565">
                  <c:v>-24.06365803626306</c:v>
                </c:pt>
                <c:pt idx="566">
                  <c:v>-24.142550145331718</c:v>
                </c:pt>
                <c:pt idx="567">
                  <c:v>-24.221903513130819</c:v>
                </c:pt>
                <c:pt idx="568">
                  <c:v>-24.299784860337162</c:v>
                </c:pt>
                <c:pt idx="569">
                  <c:v>-24.377732155684551</c:v>
                </c:pt>
                <c:pt idx="570">
                  <c:v>-24.454197255281297</c:v>
                </c:pt>
                <c:pt idx="571">
                  <c:v>-24.53124229226027</c:v>
                </c:pt>
                <c:pt idx="572">
                  <c:v>-24.606771932701655</c:v>
                </c:pt>
                <c:pt idx="573">
                  <c:v>-24.682208311698197</c:v>
                </c:pt>
                <c:pt idx="574">
                  <c:v>-24.756119333460049</c:v>
                </c:pt>
                <c:pt idx="575">
                  <c:v>-24.830406388232873</c:v>
                </c:pt>
                <c:pt idx="576">
                  <c:v>-24.903135248534195</c:v>
                </c:pt>
                <c:pt idx="577">
                  <c:v>-25.19428917868985</c:v>
                </c:pt>
                <c:pt idx="578">
                  <c:v>-25.459484359056948</c:v>
                </c:pt>
                <c:pt idx="579">
                  <c:v>-25.956127895722329</c:v>
                </c:pt>
                <c:pt idx="580">
                  <c:v>-26.377998364583615</c:v>
                </c:pt>
                <c:pt idx="581">
                  <c:v>-26.70461230464614</c:v>
                </c:pt>
                <c:pt idx="582">
                  <c:v>-26.913090888268162</c:v>
                </c:pt>
                <c:pt idx="583">
                  <c:v>-26.982020298131019</c:v>
                </c:pt>
                <c:pt idx="584">
                  <c:v>-26.911992360574519</c:v>
                </c:pt>
                <c:pt idx="585">
                  <c:v>-26.790458420581707</c:v>
                </c:pt>
                <c:pt idx="586">
                  <c:v>-26.949875419418174</c:v>
                </c:pt>
                <c:pt idx="587">
                  <c:v>-28.065101368819899</c:v>
                </c:pt>
                <c:pt idx="588">
                  <c:v>-30.529847511808768</c:v>
                </c:pt>
                <c:pt idx="589">
                  <c:v>-33.842267769975514</c:v>
                </c:pt>
                <c:pt idx="590">
                  <c:v>-37.358507168462069</c:v>
                </c:pt>
                <c:pt idx="591">
                  <c:v>-40.791743969211069</c:v>
                </c:pt>
                <c:pt idx="592">
                  <c:v>-44.071767187896697</c:v>
                </c:pt>
                <c:pt idx="593">
                  <c:v>-47.203057327365215</c:v>
                </c:pt>
                <c:pt idx="594">
                  <c:v>-50.206029185937844</c:v>
                </c:pt>
                <c:pt idx="595">
                  <c:v>-53.103619290681195</c:v>
                </c:pt>
                <c:pt idx="596">
                  <c:v>-55.914508759314046</c:v>
                </c:pt>
                <c:pt idx="597">
                  <c:v>-58.655042270904318</c:v>
                </c:pt>
                <c:pt idx="598">
                  <c:v>-61.337225965378664</c:v>
                </c:pt>
                <c:pt idx="599">
                  <c:v>-63.971967165701685</c:v>
                </c:pt>
                <c:pt idx="600">
                  <c:v>-66.567138262994874</c:v>
                </c:pt>
              </c:numCache>
            </c:numRef>
          </c:yVal>
          <c:smooth val="1"/>
          <c:extLst>
            <c:ext xmlns:c16="http://schemas.microsoft.com/office/drawing/2014/chart" uri="{C3380CC4-5D6E-409C-BE32-E72D297353CC}">
              <c16:uniqueId val="{00000002-10BD-4998-8A98-65686C23F2C0}"/>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Calculations'!$C$635</c:f>
              <c:numCache>
                <c:formatCode>0.00</c:formatCode>
                <c:ptCount val="1"/>
                <c:pt idx="0">
                  <c:v>614.2132728996462</c:v>
                </c:pt>
              </c:numCache>
            </c:numRef>
          </c:xVal>
          <c:yVal>
            <c:numRef>
              <c:f>'Ch2 Stability Calculations'!$D$635</c:f>
              <c:numCache>
                <c:formatCode>0.00</c:formatCode>
                <c:ptCount val="1"/>
                <c:pt idx="0">
                  <c:v>22.502651684849567</c:v>
                </c:pt>
              </c:numCache>
            </c:numRef>
          </c:yVal>
          <c:smooth val="1"/>
          <c:extLst>
            <c:ext xmlns:c16="http://schemas.microsoft.com/office/drawing/2014/chart" uri="{C3380CC4-5D6E-409C-BE32-E72D297353CC}">
              <c16:uniqueId val="{00000004-10BD-4998-8A98-65686C23F2C0}"/>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Calculations'!$C$5</c:f>
              <c:numCache>
                <c:formatCode>0.0</c:formatCode>
                <c:ptCount val="1"/>
                <c:pt idx="0">
                  <c:v>0.30311813891311201</c:v>
                </c:pt>
              </c:numCache>
            </c:numRef>
          </c:xVal>
          <c:yVal>
            <c:numRef>
              <c:f>'Ch2 Stability Calculations'!$Q$624</c:f>
              <c:numCache>
                <c:formatCode>0.00</c:formatCode>
                <c:ptCount val="1"/>
                <c:pt idx="0">
                  <c:v>93.717976371549611</c:v>
                </c:pt>
              </c:numCache>
            </c:numRef>
          </c:yVal>
          <c:smooth val="1"/>
          <c:extLst>
            <c:ext xmlns:c16="http://schemas.microsoft.com/office/drawing/2014/chart" uri="{C3380CC4-5D6E-409C-BE32-E72D297353CC}">
              <c16:uniqueId val="{00000006-10BD-4998-8A98-65686C23F2C0}"/>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Calculations'!$K$4</c:f>
              <c:numCache>
                <c:formatCode>0</c:formatCode>
                <c:ptCount val="1"/>
                <c:pt idx="0">
                  <c:v>178.14226092657441</c:v>
                </c:pt>
              </c:numCache>
            </c:numRef>
          </c:xVal>
          <c:yVal>
            <c:numRef>
              <c:f>'Ch2 Stability Calculations'!$D$632</c:f>
              <c:numCache>
                <c:formatCode>0.00</c:formatCode>
                <c:ptCount val="1"/>
                <c:pt idx="0">
                  <c:v>38.685647462440798</c:v>
                </c:pt>
              </c:numCache>
            </c:numRef>
          </c:yVal>
          <c:smooth val="1"/>
          <c:extLst>
            <c:ext xmlns:c16="http://schemas.microsoft.com/office/drawing/2014/chart" uri="{C3380CC4-5D6E-409C-BE32-E72D297353CC}">
              <c16:uniqueId val="{00000008-10BD-4998-8A98-65686C23F2C0}"/>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BD-4998-8A98-65686C23F2C0}"/>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Calculations'!$A$623</c:f>
              <c:numCache>
                <c:formatCode>0</c:formatCode>
                <c:ptCount val="1"/>
                <c:pt idx="0">
                  <c:v>397887.35818439093</c:v>
                </c:pt>
              </c:numCache>
            </c:numRef>
          </c:xVal>
          <c:yVal>
            <c:numRef>
              <c:f>'Ch2 Stability Calculations'!$Q$623</c:f>
              <c:numCache>
                <c:formatCode>0.00</c:formatCode>
                <c:ptCount val="1"/>
                <c:pt idx="0">
                  <c:v>-37.337261819408837</c:v>
                </c:pt>
              </c:numCache>
            </c:numRef>
          </c:yVal>
          <c:smooth val="1"/>
          <c:extLst>
            <c:ext xmlns:c16="http://schemas.microsoft.com/office/drawing/2014/chart" uri="{C3380CC4-5D6E-409C-BE32-E72D297353CC}">
              <c16:uniqueId val="{0000000A-10BD-4998-8A98-65686C23F2C0}"/>
            </c:ext>
          </c:extLst>
        </c:ser>
        <c:dLbls>
          <c:showLegendKey val="0"/>
          <c:showVal val="0"/>
          <c:showCatName val="0"/>
          <c:showSerName val="0"/>
          <c:showPercent val="0"/>
          <c:showBubbleSize val="0"/>
        </c:dLbls>
        <c:axId val="185161600"/>
        <c:axId val="185188352"/>
      </c:scatterChart>
      <c:scatterChart>
        <c:scatterStyle val="lineMarker"/>
        <c:varyColors val="0"/>
        <c:ser>
          <c:idx val="3"/>
          <c:order val="1"/>
          <c:tx>
            <c:v>Loop Phase</c:v>
          </c:tx>
          <c:spPr>
            <a:ln w="34925">
              <a:solidFill>
                <a:srgbClr val="002060"/>
              </a:solidFill>
              <a:prstDash val="sysDash"/>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-73.365463000788637</c:v>
                </c:pt>
                <c:pt idx="1">
                  <c:v>-74.797508157857521</c:v>
                </c:pt>
                <c:pt idx="2">
                  <c:v>-76.124437735288254</c:v>
                </c:pt>
                <c:pt idx="3">
                  <c:v>-77.352176241955902</c:v>
                </c:pt>
                <c:pt idx="4">
                  <c:v>-78.48623707550648</c:v>
                </c:pt>
                <c:pt idx="5">
                  <c:v>-79.534810487423258</c:v>
                </c:pt>
                <c:pt idx="6">
                  <c:v>-80.502673074343008</c:v>
                </c:pt>
                <c:pt idx="7">
                  <c:v>-81.396719851243674</c:v>
                </c:pt>
                <c:pt idx="8">
                  <c:v>-82.222377780360532</c:v>
                </c:pt>
                <c:pt idx="9">
                  <c:v>-82.986119797194846</c:v>
                </c:pt>
                <c:pt idx="10">
                  <c:v>-83.693077534056584</c:v>
                </c:pt>
                <c:pt idx="11">
                  <c:v>-84.34868716318573</c:v>
                </c:pt>
                <c:pt idx="12">
                  <c:v>-84.958305711649345</c:v>
                </c:pt>
                <c:pt idx="13">
                  <c:v>-85.526118371696697</c:v>
                </c:pt>
                <c:pt idx="14">
                  <c:v>-86.057102548588944</c:v>
                </c:pt>
                <c:pt idx="15">
                  <c:v>-86.55531161823545</c:v>
                </c:pt>
                <c:pt idx="16">
                  <c:v>-87.024836860268522</c:v>
                </c:pt>
                <c:pt idx="17">
                  <c:v>-87.469461714496077</c:v>
                </c:pt>
                <c:pt idx="18">
                  <c:v>-87.892980113027065</c:v>
                </c:pt>
                <c:pt idx="19">
                  <c:v>-88.298785284661406</c:v>
                </c:pt>
                <c:pt idx="20">
                  <c:v>-88.690334196857307</c:v>
                </c:pt>
                <c:pt idx="21">
                  <c:v>-89.070812339608224</c:v>
                </c:pt>
                <c:pt idx="22">
                  <c:v>-89.443479553472628</c:v>
                </c:pt>
                <c:pt idx="23">
                  <c:v>-89.811357935063938</c:v>
                </c:pt>
                <c:pt idx="24">
                  <c:v>-90.177614265347628</c:v>
                </c:pt>
                <c:pt idx="25">
                  <c:v>-90.545245459499668</c:v>
                </c:pt>
                <c:pt idx="26">
                  <c:v>-90.917394979124012</c:v>
                </c:pt>
                <c:pt idx="27">
                  <c:v>-91.297025677224966</c:v>
                </c:pt>
                <c:pt idx="28">
                  <c:v>-91.687273992130301</c:v>
                </c:pt>
                <c:pt idx="29">
                  <c:v>-92.091067205879227</c:v>
                </c:pt>
                <c:pt idx="30">
                  <c:v>-92.512360220379946</c:v>
                </c:pt>
                <c:pt idx="31">
                  <c:v>-92.953940376239586</c:v>
                </c:pt>
                <c:pt idx="32">
                  <c:v>-93.419573987453603</c:v>
                </c:pt>
                <c:pt idx="33">
                  <c:v>-93.912508659472024</c:v>
                </c:pt>
                <c:pt idx="34">
                  <c:v>-94.436827522004833</c:v>
                </c:pt>
                <c:pt idx="35">
                  <c:v>-94.996064519434981</c:v>
                </c:pt>
                <c:pt idx="36">
                  <c:v>-95.594218724529739</c:v>
                </c:pt>
                <c:pt idx="37">
                  <c:v>-96.235650152512832</c:v>
                </c:pt>
                <c:pt idx="38">
                  <c:v>-96.923804251006288</c:v>
                </c:pt>
                <c:pt idx="39">
                  <c:v>-97.66327052999074</c:v>
                </c:pt>
                <c:pt idx="40">
                  <c:v>-98.457743738359682</c:v>
                </c:pt>
                <c:pt idx="41">
                  <c:v>-99.311042996777687</c:v>
                </c:pt>
                <c:pt idx="42">
                  <c:v>-100.22645107477172</c:v>
                </c:pt>
                <c:pt idx="43">
                  <c:v>-101.20712377288619</c:v>
                </c:pt>
                <c:pt idx="44">
                  <c:v>-102.25493306148991</c:v>
                </c:pt>
                <c:pt idx="45">
                  <c:v>-103.37118405017068</c:v>
                </c:pt>
                <c:pt idx="46">
                  <c:v>-104.55538871298475</c:v>
                </c:pt>
                <c:pt idx="47">
                  <c:v>-105.80582031482369</c:v>
                </c:pt>
                <c:pt idx="48">
                  <c:v>-107.11807567069464</c:v>
                </c:pt>
                <c:pt idx="49">
                  <c:v>-108.4858890438056</c:v>
                </c:pt>
                <c:pt idx="50">
                  <c:v>-109.89958740908125</c:v>
                </c:pt>
                <c:pt idx="51">
                  <c:v>-111.34687968665472</c:v>
                </c:pt>
                <c:pt idx="52">
                  <c:v>-112.8113578206285</c:v>
                </c:pt>
                <c:pt idx="53">
                  <c:v>-114.27382647026791</c:v>
                </c:pt>
                <c:pt idx="54">
                  <c:v>-115.71111371992021</c:v>
                </c:pt>
                <c:pt idx="55">
                  <c:v>-117.1008020468057</c:v>
                </c:pt>
                <c:pt idx="56">
                  <c:v>-118.41428906140366</c:v>
                </c:pt>
                <c:pt idx="57">
                  <c:v>-119.62505034035669</c:v>
                </c:pt>
                <c:pt idx="58">
                  <c:v>-120.70518334530372</c:v>
                </c:pt>
                <c:pt idx="59">
                  <c:v>-121.63003282955303</c:v>
                </c:pt>
                <c:pt idx="60">
                  <c:v>-122.37631671312492</c:v>
                </c:pt>
                <c:pt idx="61">
                  <c:v>-122.92535045743745</c:v>
                </c:pt>
                <c:pt idx="62">
                  <c:v>-123.26318396138858</c:v>
                </c:pt>
                <c:pt idx="63">
                  <c:v>-123.38081446014051</c:v>
                </c:pt>
                <c:pt idx="64">
                  <c:v>-123.27555066762433</c:v>
                </c:pt>
                <c:pt idx="65">
                  <c:v>-122.95049012638177</c:v>
                </c:pt>
                <c:pt idx="66">
                  <c:v>-122.41460315564065</c:v>
                </c:pt>
                <c:pt idx="67">
                  <c:v>-121.68239839977458</c:v>
                </c:pt>
                <c:pt idx="68">
                  <c:v>-120.77279442520121</c:v>
                </c:pt>
                <c:pt idx="69">
                  <c:v>-119.70899223453384</c:v>
                </c:pt>
                <c:pt idx="70">
                  <c:v>-118.51650008605297</c:v>
                </c:pt>
                <c:pt idx="71">
                  <c:v>-117.22282251352539</c:v>
                </c:pt>
                <c:pt idx="72">
                  <c:v>-115.85527459280179</c:v>
                </c:pt>
                <c:pt idx="73">
                  <c:v>-114.4409730227366</c:v>
                </c:pt>
                <c:pt idx="74">
                  <c:v>-113.00454901419154</c:v>
                </c:pt>
                <c:pt idx="75">
                  <c:v>-111.56866975734138</c:v>
                </c:pt>
                <c:pt idx="76">
                  <c:v>-110.15241705107604</c:v>
                </c:pt>
                <c:pt idx="77">
                  <c:v>-108.77237791126927</c:v>
                </c:pt>
                <c:pt idx="78">
                  <c:v>-107.44132356474674</c:v>
                </c:pt>
                <c:pt idx="79">
                  <c:v>-106.16971694181785</c:v>
                </c:pt>
                <c:pt idx="80">
                  <c:v>-104.96230242544736</c:v>
                </c:pt>
                <c:pt idx="81">
                  <c:v>-103.8252244223428</c:v>
                </c:pt>
                <c:pt idx="82">
                  <c:v>-102.76002772954985</c:v>
                </c:pt>
                <c:pt idx="83">
                  <c:v>-101.76810466060473</c:v>
                </c:pt>
                <c:pt idx="84">
                  <c:v>-100.84801924697928</c:v>
                </c:pt>
                <c:pt idx="85">
                  <c:v>-99.998656700542796</c:v>
                </c:pt>
                <c:pt idx="86">
                  <c:v>-99.217506248847371</c:v>
                </c:pt>
                <c:pt idx="87">
                  <c:v>-98.501363399488028</c:v>
                </c:pt>
                <c:pt idx="88">
                  <c:v>-97.847800501543489</c:v>
                </c:pt>
                <c:pt idx="89">
                  <c:v>-97.253029986784568</c:v>
                </c:pt>
                <c:pt idx="90">
                  <c:v>-96.714032281797017</c:v>
                </c:pt>
                <c:pt idx="91">
                  <c:v>-96.227554805841066</c:v>
                </c:pt>
                <c:pt idx="92">
                  <c:v>-95.790583172361679</c:v>
                </c:pt>
                <c:pt idx="93">
                  <c:v>-95.400092570671958</c:v>
                </c:pt>
                <c:pt idx="94">
                  <c:v>-95.309460239873488</c:v>
                </c:pt>
                <c:pt idx="95">
                  <c:v>-95.264886129944443</c:v>
                </c:pt>
                <c:pt idx="96">
                  <c:v>-95.221488604674505</c:v>
                </c:pt>
                <c:pt idx="97">
                  <c:v>-95.178262394818006</c:v>
                </c:pt>
                <c:pt idx="98">
                  <c:v>-95.136187554922955</c:v>
                </c:pt>
                <c:pt idx="99">
                  <c:v>-95.094279082573635</c:v>
                </c:pt>
                <c:pt idx="100">
                  <c:v>-95.053497789505542</c:v>
                </c:pt>
                <c:pt idx="101">
                  <c:v>-95.012909928174807</c:v>
                </c:pt>
                <c:pt idx="102">
                  <c:v>-94.973424341812844</c:v>
                </c:pt>
                <c:pt idx="103">
                  <c:v>-94.934099819432831</c:v>
                </c:pt>
                <c:pt idx="104">
                  <c:v>-94.895855207867285</c:v>
                </c:pt>
                <c:pt idx="105">
                  <c:v>-94.857799264292993</c:v>
                </c:pt>
                <c:pt idx="106">
                  <c:v>-94.820800084672257</c:v>
                </c:pt>
                <c:pt idx="107">
                  <c:v>-94.78401427355837</c:v>
                </c:pt>
                <c:pt idx="108">
                  <c:v>-94.74826145798643</c:v>
                </c:pt>
                <c:pt idx="109">
                  <c:v>-94.712720186072474</c:v>
                </c:pt>
                <c:pt idx="110">
                  <c:v>-94.678189019149301</c:v>
                </c:pt>
                <c:pt idx="111">
                  <c:v>-94.643846619825595</c:v>
                </c:pt>
                <c:pt idx="112">
                  <c:v>-94.610493515107578</c:v>
                </c:pt>
                <c:pt idx="113">
                  <c:v>-94.577354055395304</c:v>
                </c:pt>
                <c:pt idx="114">
                  <c:v>-94.545182394354455</c:v>
                </c:pt>
                <c:pt idx="115">
                  <c:v>-94.513226634605786</c:v>
                </c:pt>
                <c:pt idx="116">
                  <c:v>-94.482217820012863</c:v>
                </c:pt>
                <c:pt idx="117">
                  <c:v>-94.451428245252814</c:v>
                </c:pt>
                <c:pt idx="118">
                  <c:v>-94.421565341763127</c:v>
                </c:pt>
                <c:pt idx="119">
                  <c:v>-94.39194365382663</c:v>
                </c:pt>
                <c:pt idx="120">
                  <c:v>-94.363227807352672</c:v>
                </c:pt>
                <c:pt idx="121">
                  <c:v>-94.334756162485988</c:v>
                </c:pt>
                <c:pt idx="122">
                  <c:v>-94.307170136579586</c:v>
                </c:pt>
                <c:pt idx="123">
                  <c:v>-94.27981659055007</c:v>
                </c:pt>
                <c:pt idx="124">
                  <c:v>-94.253329981852133</c:v>
                </c:pt>
                <c:pt idx="125">
                  <c:v>-94.227097041176393</c:v>
                </c:pt>
                <c:pt idx="126">
                  <c:v>-94.201711800446645</c:v>
                </c:pt>
                <c:pt idx="127">
                  <c:v>-94.176585478905011</c:v>
                </c:pt>
                <c:pt idx="128">
                  <c:v>-94.152288091125556</c:v>
                </c:pt>
                <c:pt idx="129">
                  <c:v>-94.128255459644876</c:v>
                </c:pt>
                <c:pt idx="130">
                  <c:v>-94.105033430781901</c:v>
                </c:pt>
                <c:pt idx="131">
                  <c:v>-94.082082500863137</c:v>
                </c:pt>
                <c:pt idx="132">
                  <c:v>-94.070905972064807</c:v>
                </c:pt>
                <c:pt idx="133">
                  <c:v>-94.059924245926226</c:v>
                </c:pt>
                <c:pt idx="134">
                  <c:v>-94.048879852349671</c:v>
                </c:pt>
                <c:pt idx="135">
                  <c:v>-94.038032771922431</c:v>
                </c:pt>
                <c:pt idx="136">
                  <c:v>-94.027379650234792</c:v>
                </c:pt>
                <c:pt idx="137">
                  <c:v>-94.016917208339777</c:v>
                </c:pt>
                <c:pt idx="138">
                  <c:v>-94.006411111488475</c:v>
                </c:pt>
                <c:pt idx="139">
                  <c:v>-93.996097746736183</c:v>
                </c:pt>
                <c:pt idx="140">
                  <c:v>-93.985973838120344</c:v>
                </c:pt>
                <c:pt idx="141">
                  <c:v>-93.976036183375797</c:v>
                </c:pt>
                <c:pt idx="142">
                  <c:v>-93.966052536096484</c:v>
                </c:pt>
                <c:pt idx="143">
                  <c:v>-93.956257517218802</c:v>
                </c:pt>
                <c:pt idx="144">
                  <c:v>-93.946647918012744</c:v>
                </c:pt>
                <c:pt idx="145">
                  <c:v>-93.937220602001773</c:v>
                </c:pt>
                <c:pt idx="146">
                  <c:v>-93.927760378559782</c:v>
                </c:pt>
                <c:pt idx="147">
                  <c:v>-93.918484560990692</c:v>
                </c:pt>
                <c:pt idx="148">
                  <c:v>-93.909390011686327</c:v>
                </c:pt>
                <c:pt idx="149">
                  <c:v>-93.900473663718003</c:v>
                </c:pt>
                <c:pt idx="150">
                  <c:v>-93.891532460257068</c:v>
                </c:pt>
                <c:pt idx="151">
                  <c:v>-93.88277151702431</c:v>
                </c:pt>
                <c:pt idx="152">
                  <c:v>-93.874187766445246</c:v>
                </c:pt>
                <c:pt idx="153">
                  <c:v>-93.865778210069863</c:v>
                </c:pt>
                <c:pt idx="154">
                  <c:v>-93.857348023023476</c:v>
                </c:pt>
                <c:pt idx="155">
                  <c:v>-93.849094184999231</c:v>
                </c:pt>
                <c:pt idx="156">
                  <c:v>-93.841013693337501</c:v>
                </c:pt>
                <c:pt idx="157">
                  <c:v>-93.833103613088682</c:v>
                </c:pt>
                <c:pt idx="158">
                  <c:v>-93.825181430900003</c:v>
                </c:pt>
                <c:pt idx="159">
                  <c:v>-93.817431737776317</c:v>
                </c:pt>
                <c:pt idx="160">
                  <c:v>-93.809851595483295</c:v>
                </c:pt>
                <c:pt idx="161">
                  <c:v>-93.802438132084433</c:v>
                </c:pt>
                <c:pt idx="162">
                  <c:v>-93.795024268969371</c:v>
                </c:pt>
                <c:pt idx="163">
                  <c:v>-93.787778938704989</c:v>
                </c:pt>
                <c:pt idx="164">
                  <c:v>-93.780699270737685</c:v>
                </c:pt>
                <c:pt idx="165">
                  <c:v>-93.773782459289322</c:v>
                </c:pt>
                <c:pt idx="166">
                  <c:v>-93.76686737564161</c:v>
                </c:pt>
                <c:pt idx="167">
                  <c:v>-93.760117217462792</c:v>
                </c:pt>
                <c:pt idx="168">
                  <c:v>-93.753529173793268</c:v>
                </c:pt>
                <c:pt idx="169">
                  <c:v>-93.747100497157163</c:v>
                </c:pt>
                <c:pt idx="170">
                  <c:v>-93.74069560731543</c:v>
                </c:pt>
                <c:pt idx="171">
                  <c:v>-93.734451397817637</c:v>
                </c:pt>
                <c:pt idx="172">
                  <c:v>-93.72836513430525</c:v>
                </c:pt>
                <c:pt idx="173">
                  <c:v>-93.722434144089704</c:v>
                </c:pt>
                <c:pt idx="174">
                  <c:v>-93.71651209264823</c:v>
                </c:pt>
                <c:pt idx="175">
                  <c:v>-93.710747744408607</c:v>
                </c:pt>
                <c:pt idx="176">
                  <c:v>-93.705138410119105</c:v>
                </c:pt>
                <c:pt idx="177">
                  <c:v>-93.69968146131724</c:v>
                </c:pt>
                <c:pt idx="178">
                  <c:v>-93.694245691185984</c:v>
                </c:pt>
                <c:pt idx="179">
                  <c:v>-93.688964494905193</c:v>
                </c:pt>
                <c:pt idx="180">
                  <c:v>-93.683835232870223</c:v>
                </c:pt>
                <c:pt idx="181">
                  <c:v>-93.678855325239084</c:v>
                </c:pt>
                <c:pt idx="182">
                  <c:v>-93.673927069422035</c:v>
                </c:pt>
                <c:pt idx="183">
                  <c:v>-93.669148962876989</c:v>
                </c:pt>
                <c:pt idx="184">
                  <c:v>-93.664518449378221</c:v>
                </c:pt>
                <c:pt idx="185">
                  <c:v>-93.660033030411498</c:v>
                </c:pt>
                <c:pt idx="186">
                  <c:v>-93.655573039185995</c:v>
                </c:pt>
                <c:pt idx="187">
                  <c:v>-93.651261050521882</c:v>
                </c:pt>
                <c:pt idx="188">
                  <c:v>-93.647094534266287</c:v>
                </c:pt>
                <c:pt idx="189">
                  <c:v>-93.643071017637979</c:v>
                </c:pt>
                <c:pt idx="190">
                  <c:v>-93.639115333307032</c:v>
                </c:pt>
                <c:pt idx="191">
                  <c:v>-93.63530314854053</c:v>
                </c:pt>
                <c:pt idx="192">
                  <c:v>-93.631632019968094</c:v>
                </c:pt>
                <c:pt idx="193">
                  <c:v>-93.628099559416228</c:v>
                </c:pt>
                <c:pt idx="194">
                  <c:v>-93.624616208469007</c:v>
                </c:pt>
                <c:pt idx="195">
                  <c:v>-93.621273967630927</c:v>
                </c:pt>
                <c:pt idx="196">
                  <c:v>-93.618070427188314</c:v>
                </c:pt>
                <c:pt idx="197">
                  <c:v>-93.615003232035789</c:v>
                </c:pt>
                <c:pt idx="198">
                  <c:v>-93.612007333238807</c:v>
                </c:pt>
                <c:pt idx="199">
                  <c:v>-93.609149011723559</c:v>
                </c:pt>
                <c:pt idx="200">
                  <c:v>-93.606425921192113</c:v>
                </c:pt>
                <c:pt idx="201">
                  <c:v>-93.603835768462531</c:v>
                </c:pt>
                <c:pt idx="202">
                  <c:v>-93.601325023413224</c:v>
                </c:pt>
                <c:pt idx="203">
                  <c:v>-93.598948301344095</c:v>
                </c:pt>
                <c:pt idx="204">
                  <c:v>-93.596703320595495</c:v>
                </c:pt>
                <c:pt idx="205">
                  <c:v>-93.594587851084668</c:v>
                </c:pt>
                <c:pt idx="206">
                  <c:v>-93.592552630392376</c:v>
                </c:pt>
                <c:pt idx="207">
                  <c:v>-93.590648759527269</c:v>
                </c:pt>
                <c:pt idx="208">
                  <c:v>-93.588873999698492</c:v>
                </c:pt>
                <c:pt idx="209">
                  <c:v>-93.587226162797663</c:v>
                </c:pt>
                <c:pt idx="210">
                  <c:v>-93.585663255039989</c:v>
                </c:pt>
                <c:pt idx="211">
                  <c:v>-93.584229772497025</c:v>
                </c:pt>
                <c:pt idx="212">
                  <c:v>-93.582923500707821</c:v>
                </c:pt>
                <c:pt idx="213">
                  <c:v>-93.581742275551193</c:v>
                </c:pt>
                <c:pt idx="214">
                  <c:v>-93.580664121692863</c:v>
                </c:pt>
                <c:pt idx="215">
                  <c:v>-93.579711655905754</c:v>
                </c:pt>
                <c:pt idx="216">
                  <c:v>-93.578882734887301</c:v>
                </c:pt>
                <c:pt idx="217">
                  <c:v>-93.578175263911604</c:v>
                </c:pt>
                <c:pt idx="218">
                  <c:v>-93.57757516321783</c:v>
                </c:pt>
                <c:pt idx="219">
                  <c:v>-93.577097831234269</c:v>
                </c:pt>
                <c:pt idx="220">
                  <c:v>-93.576741175608689</c:v>
                </c:pt>
                <c:pt idx="221">
                  <c:v>-93.576503151402548</c:v>
                </c:pt>
                <c:pt idx="222">
                  <c:v>-93.576380367508548</c:v>
                </c:pt>
                <c:pt idx="223">
                  <c:v>-93.576377387324897</c:v>
                </c:pt>
                <c:pt idx="224">
                  <c:v>-93.576492171214966</c:v>
                </c:pt>
                <c:pt idx="225">
                  <c:v>-93.576722725731003</c:v>
                </c:pt>
                <c:pt idx="226">
                  <c:v>-93.577077122090529</c:v>
                </c:pt>
                <c:pt idx="227">
                  <c:v>-93.5775490344286</c:v>
                </c:pt>
                <c:pt idx="228">
                  <c:v>-93.578136459172953</c:v>
                </c:pt>
                <c:pt idx="229">
                  <c:v>-93.578837438208694</c:v>
                </c:pt>
                <c:pt idx="230">
                  <c:v>-93.580620071108285</c:v>
                </c:pt>
                <c:pt idx="231">
                  <c:v>-93.58168211157836</c:v>
                </c:pt>
                <c:pt idx="232">
                  <c:v>-93.582855393543539</c:v>
                </c:pt>
                <c:pt idx="233">
                  <c:v>-93.584169803032935</c:v>
                </c:pt>
                <c:pt idx="234">
                  <c:v>-93.585596864422101</c:v>
                </c:pt>
                <c:pt idx="235">
                  <c:v>-93.587134655242963</c:v>
                </c:pt>
                <c:pt idx="236">
                  <c:v>-93.588781296729934</c:v>
                </c:pt>
                <c:pt idx="237">
                  <c:v>-93.590571629110087</c:v>
                </c:pt>
                <c:pt idx="238">
                  <c:v>-93.59247145659738</c:v>
                </c:pt>
                <c:pt idx="239">
                  <c:v>-93.594478916574346</c:v>
                </c:pt>
                <c:pt idx="240">
                  <c:v>-93.596592188655066</c:v>
                </c:pt>
                <c:pt idx="241">
                  <c:v>-93.598867534436764</c:v>
                </c:pt>
                <c:pt idx="242">
                  <c:v>-93.601250425251592</c:v>
                </c:pt>
                <c:pt idx="243">
                  <c:v>-93.603739028200678</c:v>
                </c:pt>
                <c:pt idx="244">
                  <c:v>-93.606331552046569</c:v>
                </c:pt>
                <c:pt idx="245">
                  <c:v>-93.609087106278579</c:v>
                </c:pt>
                <c:pt idx="246">
                  <c:v>-93.611947582039264</c:v>
                </c:pt>
                <c:pt idx="247">
                  <c:v>-93.61491119379987</c:v>
                </c:pt>
                <c:pt idx="248">
                  <c:v>-93.617976196583953</c:v>
                </c:pt>
                <c:pt idx="249">
                  <c:v>-93.621219303537941</c:v>
                </c:pt>
                <c:pt idx="250">
                  <c:v>-93.624565226354704</c:v>
                </c:pt>
                <c:pt idx="251">
                  <c:v>-93.628012214247363</c:v>
                </c:pt>
                <c:pt idx="252">
                  <c:v>-93.631558556246787</c:v>
                </c:pt>
                <c:pt idx="253">
                  <c:v>-93.635280745855994</c:v>
                </c:pt>
                <c:pt idx="254">
                  <c:v>-93.639103055617269</c:v>
                </c:pt>
                <c:pt idx="255">
                  <c:v>-93.643023785008722</c:v>
                </c:pt>
                <c:pt idx="256">
                  <c:v>-93.647041272115857</c:v>
                </c:pt>
                <c:pt idx="257">
                  <c:v>-93.6512616870084</c:v>
                </c:pt>
                <c:pt idx="258">
                  <c:v>-93.655580514360778</c:v>
                </c:pt>
                <c:pt idx="259">
                  <c:v>-93.659996079352368</c:v>
                </c:pt>
                <c:pt idx="260">
                  <c:v>-93.664506745294787</c:v>
                </c:pt>
                <c:pt idx="261">
                  <c:v>-93.669216627063477</c:v>
                </c:pt>
                <c:pt idx="262">
                  <c:v>-93.674022636408651</c:v>
                </c:pt>
                <c:pt idx="263">
                  <c:v>-93.678923139367441</c:v>
                </c:pt>
                <c:pt idx="264">
                  <c:v>-93.683916539170625</c:v>
                </c:pt>
                <c:pt idx="265">
                  <c:v>-93.68911529498186</c:v>
                </c:pt>
                <c:pt idx="266">
                  <c:v>-93.694407862575673</c:v>
                </c:pt>
                <c:pt idx="267">
                  <c:v>-93.699792650151451</c:v>
                </c:pt>
                <c:pt idx="268">
                  <c:v>-93.705268102117699</c:v>
                </c:pt>
                <c:pt idx="269">
                  <c:v>-93.710968198753378</c:v>
                </c:pt>
                <c:pt idx="270">
                  <c:v>-93.716760201918291</c:v>
                </c:pt>
                <c:pt idx="271">
                  <c:v>-93.722642552079932</c:v>
                </c:pt>
                <c:pt idx="272">
                  <c:v>-93.728613725223326</c:v>
                </c:pt>
                <c:pt idx="273">
                  <c:v>-93.734816163402542</c:v>
                </c:pt>
                <c:pt idx="274">
                  <c:v>-93.741108542283783</c:v>
                </c:pt>
                <c:pt idx="275">
                  <c:v>-93.747489336638665</c:v>
                </c:pt>
                <c:pt idx="276">
                  <c:v>-93.753957055998427</c:v>
                </c:pt>
                <c:pt idx="277">
                  <c:v>-93.760647033632139</c:v>
                </c:pt>
                <c:pt idx="278">
                  <c:v>-93.767424547284492</c:v>
                </c:pt>
                <c:pt idx="279">
                  <c:v>-93.774288117641603</c:v>
                </c:pt>
                <c:pt idx="280">
                  <c:v>-93.781236299034205</c:v>
                </c:pt>
                <c:pt idx="281">
                  <c:v>-93.788459289056505</c:v>
                </c:pt>
                <c:pt idx="282">
                  <c:v>-93.795768549640599</c:v>
                </c:pt>
                <c:pt idx="283">
                  <c:v>-93.803162619096625</c:v>
                </c:pt>
                <c:pt idx="284">
                  <c:v>-93.810640069115124</c:v>
                </c:pt>
                <c:pt idx="285">
                  <c:v>-93.818349848663431</c:v>
                </c:pt>
                <c:pt idx="286">
                  <c:v>-93.826143441838482</c:v>
                </c:pt>
                <c:pt idx="287">
                  <c:v>-93.834019435163938</c:v>
                </c:pt>
                <c:pt idx="288">
                  <c:v>-93.84197644734833</c:v>
                </c:pt>
                <c:pt idx="289">
                  <c:v>-93.850222018534893</c:v>
                </c:pt>
                <c:pt idx="290">
                  <c:v>-93.858550008542124</c:v>
                </c:pt>
                <c:pt idx="291">
                  <c:v>-93.866959025826233</c:v>
                </c:pt>
                <c:pt idx="292">
                  <c:v>-93.875447710624016</c:v>
                </c:pt>
                <c:pt idx="293">
                  <c:v>-93.884213627166275</c:v>
                </c:pt>
                <c:pt idx="294">
                  <c:v>-93.893060154344766</c:v>
                </c:pt>
                <c:pt idx="295">
                  <c:v>-93.901985933459898</c:v>
                </c:pt>
                <c:pt idx="296">
                  <c:v>-93.910989636853301</c:v>
                </c:pt>
                <c:pt idx="297">
                  <c:v>-93.920275941904521</c:v>
                </c:pt>
                <c:pt idx="298">
                  <c:v>-93.929641018808937</c:v>
                </c:pt>
                <c:pt idx="299">
                  <c:v>-93.939083542987717</c:v>
                </c:pt>
                <c:pt idx="300">
                  <c:v>-93.948602220120847</c:v>
                </c:pt>
                <c:pt idx="301">
                  <c:v>-93.958408527237637</c:v>
                </c:pt>
                <c:pt idx="302">
                  <c:v>-93.968291747592176</c:v>
                </c:pt>
                <c:pt idx="303">
                  <c:v>-93.978250591727999</c:v>
                </c:pt>
                <c:pt idx="304">
                  <c:v>-93.988283799630111</c:v>
                </c:pt>
                <c:pt idx="305">
                  <c:v>-93.99864920566624</c:v>
                </c:pt>
                <c:pt idx="306">
                  <c:v>-94.00909022971932</c:v>
                </c:pt>
                <c:pt idx="307">
                  <c:v>-94.019605603853861</c:v>
                </c:pt>
                <c:pt idx="308">
                  <c:v>-94.030194089167523</c:v>
                </c:pt>
                <c:pt idx="309">
                  <c:v>-94.041079884028548</c:v>
                </c:pt>
                <c:pt idx="310">
                  <c:v>-94.052039382335778</c:v>
                </c:pt>
                <c:pt idx="311">
                  <c:v>-94.063071353682986</c:v>
                </c:pt>
                <c:pt idx="312">
                  <c:v>-94.07417459579878</c:v>
                </c:pt>
                <c:pt idx="313">
                  <c:v>-94.08562132013374</c:v>
                </c:pt>
                <c:pt idx="314">
                  <c:v>-94.097140367322041</c:v>
                </c:pt>
                <c:pt idx="315">
                  <c:v>-94.108730531684387</c:v>
                </c:pt>
                <c:pt idx="316">
                  <c:v>-94.120390635163275</c:v>
                </c:pt>
                <c:pt idx="317">
                  <c:v>-94.132399614961201</c:v>
                </c:pt>
                <c:pt idx="318">
                  <c:v>-94.144479490283089</c:v>
                </c:pt>
                <c:pt idx="319">
                  <c:v>-94.156629081877256</c:v>
                </c:pt>
                <c:pt idx="320">
                  <c:v>-94.168847237546274</c:v>
                </c:pt>
                <c:pt idx="321">
                  <c:v>-94.18141933639005</c:v>
                </c:pt>
                <c:pt idx="322">
                  <c:v>-94.194060868025062</c:v>
                </c:pt>
                <c:pt idx="323">
                  <c:v>-94.206770681051353</c:v>
                </c:pt>
                <c:pt idx="324">
                  <c:v>-94.21954765050971</c:v>
                </c:pt>
                <c:pt idx="325">
                  <c:v>-94.232683323348382</c:v>
                </c:pt>
                <c:pt idx="326">
                  <c:v>-94.245886941250703</c:v>
                </c:pt>
                <c:pt idx="327">
                  <c:v>-94.259157381836218</c:v>
                </c:pt>
                <c:pt idx="328">
                  <c:v>-94.27249354851287</c:v>
                </c:pt>
                <c:pt idx="329">
                  <c:v>-94.286215856618171</c:v>
                </c:pt>
                <c:pt idx="330">
                  <c:v>-94.300004827127225</c:v>
                </c:pt>
                <c:pt idx="331">
                  <c:v>-94.313859362184132</c:v>
                </c:pt>
                <c:pt idx="332">
                  <c:v>-94.327778389203971</c:v>
                </c:pt>
                <c:pt idx="333">
                  <c:v>-94.342065015165232</c:v>
                </c:pt>
                <c:pt idx="334">
                  <c:v>-94.356416776832091</c:v>
                </c:pt>
                <c:pt idx="335">
                  <c:v>-94.370832607440605</c:v>
                </c:pt>
                <c:pt idx="336">
                  <c:v>-94.385311464777317</c:v>
                </c:pt>
                <c:pt idx="337">
                  <c:v>-94.400209494306964</c:v>
                </c:pt>
                <c:pt idx="338">
                  <c:v>-94.415171539335375</c:v>
                </c:pt>
                <c:pt idx="339">
                  <c:v>-94.430196554829948</c:v>
                </c:pt>
                <c:pt idx="340">
                  <c:v>-94.445283519872433</c:v>
                </c:pt>
                <c:pt idx="341">
                  <c:v>-94.460794565774421</c:v>
                </c:pt>
                <c:pt idx="342">
                  <c:v>-94.476368469020599</c:v>
                </c:pt>
                <c:pt idx="343">
                  <c:v>-94.492004207864412</c:v>
                </c:pt>
                <c:pt idx="344">
                  <c:v>-94.507700784188501</c:v>
                </c:pt>
                <c:pt idx="345">
                  <c:v>-94.523801480931837</c:v>
                </c:pt>
                <c:pt idx="346">
                  <c:v>-94.539963663081068</c:v>
                </c:pt>
                <c:pt idx="347">
                  <c:v>-94.556186337981629</c:v>
                </c:pt>
                <c:pt idx="348">
                  <c:v>-94.572468535943926</c:v>
                </c:pt>
                <c:pt idx="349">
                  <c:v>-94.589208588964098</c:v>
                </c:pt>
                <c:pt idx="350">
                  <c:v>-94.606009115162038</c:v>
                </c:pt>
                <c:pt idx="351">
                  <c:v>-94.622869142940985</c:v>
                </c:pt>
                <c:pt idx="352">
                  <c:v>-94.639787723250862</c:v>
                </c:pt>
                <c:pt idx="353">
                  <c:v>-94.657168819186197</c:v>
                </c:pt>
                <c:pt idx="354">
                  <c:v>-94.674609345500798</c:v>
                </c:pt>
                <c:pt idx="355">
                  <c:v>-94.692108353088827</c:v>
                </c:pt>
                <c:pt idx="356">
                  <c:v>-94.709664914928894</c:v>
                </c:pt>
                <c:pt idx="357">
                  <c:v>-94.727662758732535</c:v>
                </c:pt>
                <c:pt idx="358">
                  <c:v>-94.745718804779273</c:v>
                </c:pt>
                <c:pt idx="359">
                  <c:v>-94.76383213155691</c:v>
                </c:pt>
                <c:pt idx="360">
                  <c:v>-94.782001839017497</c:v>
                </c:pt>
                <c:pt idx="361">
                  <c:v>-94.80066845145663</c:v>
                </c:pt>
                <c:pt idx="362">
                  <c:v>-94.819392359727601</c:v>
                </c:pt>
                <c:pt idx="363">
                  <c:v>-94.838172663015115</c:v>
                </c:pt>
                <c:pt idx="364">
                  <c:v>-94.857008481561508</c:v>
                </c:pt>
                <c:pt idx="365">
                  <c:v>-94.876319358716444</c:v>
                </c:pt>
                <c:pt idx="366">
                  <c:v>-94.895686451672546</c:v>
                </c:pt>
                <c:pt idx="367">
                  <c:v>-94.915108885143084</c:v>
                </c:pt>
                <c:pt idx="368">
                  <c:v>-94.934585804343598</c:v>
                </c:pt>
                <c:pt idx="369">
                  <c:v>-94.954594689395023</c:v>
                </c:pt>
                <c:pt idx="370">
                  <c:v>-94.974659005166274</c:v>
                </c:pt>
                <c:pt idx="371">
                  <c:v>-94.994777895830239</c:v>
                </c:pt>
                <c:pt idx="372">
                  <c:v>-95.01495052569723</c:v>
                </c:pt>
                <c:pt idx="373">
                  <c:v>-95.035632696275528</c:v>
                </c:pt>
                <c:pt idx="374">
                  <c:v>-95.056369351353524</c:v>
                </c:pt>
                <c:pt idx="375">
                  <c:v>-95.077159659121136</c:v>
                </c:pt>
                <c:pt idx="376">
                  <c:v>-95.098002807400775</c:v>
                </c:pt>
                <c:pt idx="377">
                  <c:v>-95.119413580573791</c:v>
                </c:pt>
                <c:pt idx="378">
                  <c:v>-95.14087816509533</c:v>
                </c:pt>
                <c:pt idx="379">
                  <c:v>-95.16239574782891</c:v>
                </c:pt>
                <c:pt idx="380">
                  <c:v>-95.183965534936334</c:v>
                </c:pt>
                <c:pt idx="381">
                  <c:v>-95.206052577639184</c:v>
                </c:pt>
                <c:pt idx="382">
                  <c:v>-95.228192480359922</c:v>
                </c:pt>
                <c:pt idx="383">
                  <c:v>-95.250384455815379</c:v>
                </c:pt>
                <c:pt idx="384">
                  <c:v>-95.272627735463871</c:v>
                </c:pt>
                <c:pt idx="385">
                  <c:v>-95.295474715993478</c:v>
                </c:pt>
                <c:pt idx="386">
                  <c:v>-95.31837399906253</c:v>
                </c:pt>
                <c:pt idx="387">
                  <c:v>-95.341324815420904</c:v>
                </c:pt>
                <c:pt idx="388">
                  <c:v>-95.364326414254222</c:v>
                </c:pt>
                <c:pt idx="389">
                  <c:v>-95.387908247669998</c:v>
                </c:pt>
                <c:pt idx="390">
                  <c:v>-95.411541691164416</c:v>
                </c:pt>
                <c:pt idx="391">
                  <c:v>-95.435225997542304</c:v>
                </c:pt>
                <c:pt idx="392">
                  <c:v>-95.458960437616781</c:v>
                </c:pt>
                <c:pt idx="393">
                  <c:v>-95.483279014665555</c:v>
                </c:pt>
                <c:pt idx="394">
                  <c:v>-95.507648516288896</c:v>
                </c:pt>
                <c:pt idx="395">
                  <c:v>-95.532068218220019</c:v>
                </c:pt>
                <c:pt idx="396">
                  <c:v>-95.556537413750618</c:v>
                </c:pt>
                <c:pt idx="397">
                  <c:v>-95.581651249028482</c:v>
                </c:pt>
                <c:pt idx="398">
                  <c:v>-95.606815563710981</c:v>
                </c:pt>
                <c:pt idx="399">
                  <c:v>-95.632029652481421</c:v>
                </c:pt>
                <c:pt idx="400">
                  <c:v>-95.657292827266915</c:v>
                </c:pt>
                <c:pt idx="401">
                  <c:v>-95.683176338113014</c:v>
                </c:pt>
                <c:pt idx="402">
                  <c:v>-95.709109773968436</c:v>
                </c:pt>
                <c:pt idx="403">
                  <c:v>-95.73509245195099</c:v>
                </c:pt>
                <c:pt idx="404">
                  <c:v>-95.761123706003474</c:v>
                </c:pt>
                <c:pt idx="405">
                  <c:v>-95.787807933950589</c:v>
                </c:pt>
                <c:pt idx="406">
                  <c:v>-95.81454165711763</c:v>
                </c:pt>
                <c:pt idx="407">
                  <c:v>-95.841324213725599</c:v>
                </c:pt>
                <c:pt idx="408">
                  <c:v>-95.868154958453971</c:v>
                </c:pt>
                <c:pt idx="409">
                  <c:v>-95.895671723199399</c:v>
                </c:pt>
                <c:pt idx="410">
                  <c:v>-95.923237672653869</c:v>
                </c:pt>
                <c:pt idx="411">
                  <c:v>-95.950852165103299</c:v>
                </c:pt>
                <c:pt idx="412">
                  <c:v>-95.978514574971825</c:v>
                </c:pt>
                <c:pt idx="413">
                  <c:v>-96.006867223549648</c:v>
                </c:pt>
                <c:pt idx="414">
                  <c:v>-96.035268761768492</c:v>
                </c:pt>
                <c:pt idx="415">
                  <c:v>-96.063718569104708</c:v>
                </c:pt>
                <c:pt idx="416">
                  <c:v>-96.092216040827722</c:v>
                </c:pt>
                <c:pt idx="417">
                  <c:v>-96.121437285985522</c:v>
                </c:pt>
                <c:pt idx="418">
                  <c:v>-96.150707246694324</c:v>
                </c:pt>
                <c:pt idx="419">
                  <c:v>-96.1800253228309</c:v>
                </c:pt>
                <c:pt idx="420">
                  <c:v>-96.209390929761767</c:v>
                </c:pt>
                <c:pt idx="421">
                  <c:v>-96.239455007243208</c:v>
                </c:pt>
                <c:pt idx="422">
                  <c:v>-96.269567555345077</c:v>
                </c:pt>
                <c:pt idx="423">
                  <c:v>-96.299727997176788</c:v>
                </c:pt>
                <c:pt idx="424">
                  <c:v>-96.329935770953441</c:v>
                </c:pt>
                <c:pt idx="425">
                  <c:v>-96.360935367502961</c:v>
                </c:pt>
                <c:pt idx="426">
                  <c:v>-96.391983506758507</c:v>
                </c:pt>
                <c:pt idx="427">
                  <c:v>-96.423079631088797</c:v>
                </c:pt>
                <c:pt idx="428">
                  <c:v>-96.454223197741754</c:v>
                </c:pt>
                <c:pt idx="429">
                  <c:v>-96.486133316473655</c:v>
                </c:pt>
                <c:pt idx="430">
                  <c:v>-96.518091986988608</c:v>
                </c:pt>
                <c:pt idx="431">
                  <c:v>-96.550098673840424</c:v>
                </c:pt>
                <c:pt idx="432">
                  <c:v>-96.582152856155815</c:v>
                </c:pt>
                <c:pt idx="433">
                  <c:v>-96.614977971433689</c:v>
                </c:pt>
                <c:pt idx="434">
                  <c:v>-96.647851690360966</c:v>
                </c:pt>
                <c:pt idx="435">
                  <c:v>-96.680773500757681</c:v>
                </c:pt>
                <c:pt idx="436">
                  <c:v>-96.713742904694612</c:v>
                </c:pt>
                <c:pt idx="437">
                  <c:v>-96.747548263043385</c:v>
                </c:pt>
                <c:pt idx="438">
                  <c:v>-96.78140250233244</c:v>
                </c:pt>
                <c:pt idx="439">
                  <c:v>-96.81530513204261</c:v>
                </c:pt>
                <c:pt idx="440">
                  <c:v>-96.849255675671699</c:v>
                </c:pt>
                <c:pt idx="441">
                  <c:v>-96.88404701120281</c:v>
                </c:pt>
                <c:pt idx="442">
                  <c:v>-96.918887554978014</c:v>
                </c:pt>
                <c:pt idx="443">
                  <c:v>-96.953776839519165</c:v>
                </c:pt>
                <c:pt idx="444">
                  <c:v>-96.988714411113136</c:v>
                </c:pt>
                <c:pt idx="445">
                  <c:v>-97.024497597361673</c:v>
                </c:pt>
                <c:pt idx="446">
                  <c:v>-97.060330378796607</c:v>
                </c:pt>
                <c:pt idx="447">
                  <c:v>-97.096212312279604</c:v>
                </c:pt>
                <c:pt idx="448">
                  <c:v>-97.132142968171678</c:v>
                </c:pt>
                <c:pt idx="449">
                  <c:v>-97.168985768449701</c:v>
                </c:pt>
                <c:pt idx="450">
                  <c:v>-97.205878787202138</c:v>
                </c:pt>
                <c:pt idx="451">
                  <c:v>-97.242821604791501</c:v>
                </c:pt>
                <c:pt idx="452">
                  <c:v>-97.279813814892222</c:v>
                </c:pt>
                <c:pt idx="453">
                  <c:v>-97.317692501551548</c:v>
                </c:pt>
                <c:pt idx="454">
                  <c:v>-97.355622019603786</c:v>
                </c:pt>
                <c:pt idx="455">
                  <c:v>-97.39360197547208</c:v>
                </c:pt>
                <c:pt idx="456">
                  <c:v>-97.431631988647013</c:v>
                </c:pt>
                <c:pt idx="457">
                  <c:v>-97.470615983801935</c:v>
                </c:pt>
                <c:pt idx="458">
                  <c:v>-97.509651673784631</c:v>
                </c:pt>
                <c:pt idx="459">
                  <c:v>-97.548738690691607</c:v>
                </c:pt>
                <c:pt idx="460">
                  <c:v>-97.587876679517493</c:v>
                </c:pt>
                <c:pt idx="461">
                  <c:v>-97.627974344775467</c:v>
                </c:pt>
                <c:pt idx="462">
                  <c:v>-97.668124660535895</c:v>
                </c:pt>
                <c:pt idx="463">
                  <c:v>-97.708327286298029</c:v>
                </c:pt>
                <c:pt idx="464">
                  <c:v>-97.748581894280306</c:v>
                </c:pt>
                <c:pt idx="465">
                  <c:v>-97.789833464592576</c:v>
                </c:pt>
                <c:pt idx="466">
                  <c:v>-97.831138827049799</c:v>
                </c:pt>
                <c:pt idx="467">
                  <c:v>-97.872497669556694</c:v>
                </c:pt>
                <c:pt idx="468">
                  <c:v>-97.913909692590238</c:v>
                </c:pt>
                <c:pt idx="469">
                  <c:v>-97.956324804436122</c:v>
                </c:pt>
                <c:pt idx="470">
                  <c:v>-97.998794965381435</c:v>
                </c:pt>
                <c:pt idx="471">
                  <c:v>-98.041319893632306</c:v>
                </c:pt>
                <c:pt idx="472">
                  <c:v>-98.083899319815018</c:v>
                </c:pt>
                <c:pt idx="473">
                  <c:v>-98.127551765150926</c:v>
                </c:pt>
                <c:pt idx="474">
                  <c:v>-98.171260809420787</c:v>
                </c:pt>
                <c:pt idx="475">
                  <c:v>-98.215026201962544</c:v>
                </c:pt>
                <c:pt idx="476">
                  <c:v>-98.258847704452947</c:v>
                </c:pt>
                <c:pt idx="477">
                  <c:v>-98.303749135028085</c:v>
                </c:pt>
                <c:pt idx="478">
                  <c:v>-98.348708856764191</c:v>
                </c:pt>
                <c:pt idx="479">
                  <c:v>-98.393726652455555</c:v>
                </c:pt>
                <c:pt idx="480">
                  <c:v>-98.438802317151428</c:v>
                </c:pt>
                <c:pt idx="481">
                  <c:v>-98.484965008801524</c:v>
                </c:pt>
                <c:pt idx="482">
                  <c:v>-98.531187841721859</c:v>
                </c:pt>
                <c:pt idx="483">
                  <c:v>-98.577470634524502</c:v>
                </c:pt>
                <c:pt idx="484">
                  <c:v>-98.62381321799559</c:v>
                </c:pt>
                <c:pt idx="485">
                  <c:v>-98.671282480789003</c:v>
                </c:pt>
                <c:pt idx="486">
                  <c:v>-98.71881399342189</c:v>
                </c:pt>
                <c:pt idx="487">
                  <c:v>-98.766407612463112</c:v>
                </c:pt>
                <c:pt idx="488">
                  <c:v>-98.814063206614634</c:v>
                </c:pt>
                <c:pt idx="489">
                  <c:v>-98.862918313120673</c:v>
                </c:pt>
                <c:pt idx="490">
                  <c:v>-98.911838142369959</c:v>
                </c:pt>
                <c:pt idx="491">
                  <c:v>-98.960822591206551</c:v>
                </c:pt>
                <c:pt idx="492">
                  <c:v>-99.009871568641003</c:v>
                </c:pt>
                <c:pt idx="493">
                  <c:v>-99.060128694522717</c:v>
                </c:pt>
                <c:pt idx="494">
                  <c:v>-99.11045323237451</c:v>
                </c:pt>
                <c:pt idx="495">
                  <c:v>-99.16084512254595</c:v>
                </c:pt>
                <c:pt idx="496">
                  <c:v>-99.211304317597154</c:v>
                </c:pt>
                <c:pt idx="497">
                  <c:v>-99.263013492605836</c:v>
                </c:pt>
                <c:pt idx="498">
                  <c:v>-99.31479309561422</c:v>
                </c:pt>
                <c:pt idx="499">
                  <c:v>-99.366643113832396</c:v>
                </c:pt>
                <c:pt idx="500">
                  <c:v>-99.418563546773598</c:v>
                </c:pt>
                <c:pt idx="501">
                  <c:v>-99.471776625398334</c:v>
                </c:pt>
                <c:pt idx="502">
                  <c:v>-99.525063503353095</c:v>
                </c:pt>
                <c:pt idx="503">
                  <c:v>-99.578424218545209</c:v>
                </c:pt>
                <c:pt idx="504">
                  <c:v>-99.631858821329871</c:v>
                </c:pt>
                <c:pt idx="505">
                  <c:v>-99.686596416980578</c:v>
                </c:pt>
                <c:pt idx="506">
                  <c:v>-99.741411476457017</c:v>
                </c:pt>
                <c:pt idx="507">
                  <c:v>-99.796304092549889</c:v>
                </c:pt>
                <c:pt idx="508">
                  <c:v>-99.851274370669501</c:v>
                </c:pt>
                <c:pt idx="509">
                  <c:v>-99.907591888734615</c:v>
                </c:pt>
                <c:pt idx="510">
                  <c:v>-99.9639909520412</c:v>
                </c:pt>
                <c:pt idx="511">
                  <c:v>-100.02047171297991</c:v>
                </c:pt>
                <c:pt idx="512">
                  <c:v>-100.07703433679757</c:v>
                </c:pt>
                <c:pt idx="513">
                  <c:v>-100.13502308489088</c:v>
                </c:pt>
                <c:pt idx="514">
                  <c:v>-100.19309801473194</c:v>
                </c:pt>
                <c:pt idx="515">
                  <c:v>-100.25125934405425</c:v>
                </c:pt>
                <c:pt idx="516">
                  <c:v>-100.30950730378537</c:v>
                </c:pt>
                <c:pt idx="517">
                  <c:v>-100.36919429451864</c:v>
                </c:pt>
                <c:pt idx="518">
                  <c:v>-100.42897250561633</c:v>
                </c:pt>
                <c:pt idx="519">
                  <c:v>-100.48884222596804</c:v>
                </c:pt>
                <c:pt idx="520">
                  <c:v>-100.54880375804497</c:v>
                </c:pt>
                <c:pt idx="521">
                  <c:v>-100.61025194916148</c:v>
                </c:pt>
                <c:pt idx="522">
                  <c:v>-100.67179694546004</c:v>
                </c:pt>
                <c:pt idx="523">
                  <c:v>-100.73343911384077</c:v>
                </c:pt>
                <c:pt idx="524">
                  <c:v>-100.79517883526209</c:v>
                </c:pt>
                <c:pt idx="525">
                  <c:v>-100.85845416642881</c:v>
                </c:pt>
                <c:pt idx="526">
                  <c:v>-100.92183248688148</c:v>
                </c:pt>
                <c:pt idx="527">
                  <c:v>-100.98531424926661</c:v>
                </c:pt>
                <c:pt idx="528">
                  <c:v>-101.04889992086761</c:v>
                </c:pt>
                <c:pt idx="529">
                  <c:v>-101.11407159238856</c:v>
                </c:pt>
                <c:pt idx="530">
                  <c:v>-101.17935309571608</c:v>
                </c:pt>
                <c:pt idx="531">
                  <c:v>-101.24474497796749</c:v>
                </c:pt>
                <c:pt idx="532">
                  <c:v>-101.31024780159002</c:v>
                </c:pt>
                <c:pt idx="533">
                  <c:v>-101.37742327647594</c:v>
                </c:pt>
                <c:pt idx="534">
                  <c:v>-101.44471627155026</c:v>
                </c:pt>
                <c:pt idx="535">
                  <c:v>-101.51212743925697</c:v>
                </c:pt>
                <c:pt idx="536">
                  <c:v>-101.57965744822712</c:v>
                </c:pt>
                <c:pt idx="537">
                  <c:v>-101.64884427899572</c:v>
                </c:pt>
                <c:pt idx="538">
                  <c:v>-101.71815687435183</c:v>
                </c:pt>
                <c:pt idx="539">
                  <c:v>-101.78759600113995</c:v>
                </c:pt>
                <c:pt idx="540">
                  <c:v>-101.85716244333122</c:v>
                </c:pt>
                <c:pt idx="541">
                  <c:v>-101.9285112600152</c:v>
                </c:pt>
                <c:pt idx="542">
                  <c:v>-101.99999521898658</c:v>
                </c:pt>
                <c:pt idx="543">
                  <c:v>-102.07161521630866</c:v>
                </c:pt>
                <c:pt idx="544">
                  <c:v>-102.1433721663508</c:v>
                </c:pt>
                <c:pt idx="545">
                  <c:v>-102.21693402384516</c:v>
                </c:pt>
                <c:pt idx="546">
                  <c:v>-102.29064124717465</c:v>
                </c:pt>
                <c:pt idx="547">
                  <c:v>-102.36449487458034</c:v>
                </c:pt>
                <c:pt idx="548">
                  <c:v>-102.43849596395013</c:v>
                </c:pt>
                <c:pt idx="549">
                  <c:v>-102.51436180065423</c:v>
                </c:pt>
                <c:pt idx="550">
                  <c:v>-102.59038430017786</c:v>
                </c:pt>
                <c:pt idx="551">
                  <c:v>-102.66656465884098</c:v>
                </c:pt>
                <c:pt idx="552">
                  <c:v>-102.74290409417586</c:v>
                </c:pt>
                <c:pt idx="553">
                  <c:v>-102.82120662802434</c:v>
                </c:pt>
                <c:pt idx="554">
                  <c:v>-102.89967846509947</c:v>
                </c:pt>
                <c:pt idx="555">
                  <c:v>-102.97832097965484</c:v>
                </c:pt>
                <c:pt idx="556">
                  <c:v>-103.05713556902346</c:v>
                </c:pt>
                <c:pt idx="557">
                  <c:v>-103.2190051781684</c:v>
                </c:pt>
                <c:pt idx="558">
                  <c:v>-103.38161421844774</c:v>
                </c:pt>
                <c:pt idx="559">
                  <c:v>-103.54872896301698</c:v>
                </c:pt>
                <c:pt idx="560">
                  <c:v>-103.71664514143781</c:v>
                </c:pt>
                <c:pt idx="561">
                  <c:v>-103.88939077681283</c:v>
                </c:pt>
                <c:pt idx="562">
                  <c:v>-104.06300793510934</c:v>
                </c:pt>
                <c:pt idx="563">
                  <c:v>-104.24126794742975</c:v>
                </c:pt>
                <c:pt idx="564">
                  <c:v>-104.42047308524354</c:v>
                </c:pt>
                <c:pt idx="565">
                  <c:v>-104.60519694742668</c:v>
                </c:pt>
                <c:pt idx="566">
                  <c:v>-104.79095500419396</c:v>
                </c:pt>
                <c:pt idx="567">
                  <c:v>-104.98237609000532</c:v>
                </c:pt>
                <c:pt idx="568">
                  <c:v>-105.1749293658555</c:v>
                </c:pt>
                <c:pt idx="569">
                  <c:v>-105.37252555798166</c:v>
                </c:pt>
                <c:pt idx="570">
                  <c:v>-105.57135203480549</c:v>
                </c:pt>
                <c:pt idx="571">
                  <c:v>-105.77694688469826</c:v>
                </c:pt>
                <c:pt idx="572">
                  <c:v>-105.98390035837372</c:v>
                </c:pt>
                <c:pt idx="573">
                  <c:v>-106.1962338505629</c:v>
                </c:pt>
                <c:pt idx="574">
                  <c:v>-106.4100456200637</c:v>
                </c:pt>
                <c:pt idx="575">
                  <c:v>-106.6310370213765</c:v>
                </c:pt>
                <c:pt idx="576">
                  <c:v>-106.85366192524782</c:v>
                </c:pt>
                <c:pt idx="577">
                  <c:v>-107.81521255640591</c:v>
                </c:pt>
                <c:pt idx="578">
                  <c:v>-108.81010924700587</c:v>
                </c:pt>
                <c:pt idx="579">
                  <c:v>-111.12576007732997</c:v>
                </c:pt>
                <c:pt idx="580">
                  <c:v>-113.92965330549163</c:v>
                </c:pt>
                <c:pt idx="581">
                  <c:v>-117.41315368304492</c:v>
                </c:pt>
                <c:pt idx="582">
                  <c:v>-121.89418007416538</c:v>
                </c:pt>
                <c:pt idx="583">
                  <c:v>-127.89774591695796</c:v>
                </c:pt>
                <c:pt idx="584">
                  <c:v>-136.32651851711097</c:v>
                </c:pt>
                <c:pt idx="585">
                  <c:v>-148.61484554565661</c:v>
                </c:pt>
                <c:pt idx="586">
                  <c:v>-166.39002321045672</c:v>
                </c:pt>
                <c:pt idx="587">
                  <c:v>-189.03687902920436</c:v>
                </c:pt>
                <c:pt idx="588">
                  <c:v>-211.14152609907828</c:v>
                </c:pt>
                <c:pt idx="589">
                  <c:v>-227.89452833503788</c:v>
                </c:pt>
                <c:pt idx="590">
                  <c:v>-239.23671332441634</c:v>
                </c:pt>
                <c:pt idx="591">
                  <c:v>-246.86295046116987</c:v>
                </c:pt>
                <c:pt idx="592">
                  <c:v>-252.14356723480159</c:v>
                </c:pt>
                <c:pt idx="593">
                  <c:v>-255.9276840673032</c:v>
                </c:pt>
                <c:pt idx="594">
                  <c:v>-258.71969085229409</c:v>
                </c:pt>
                <c:pt idx="595">
                  <c:v>-260.82945117312386</c:v>
                </c:pt>
                <c:pt idx="596">
                  <c:v>-262.45356901344991</c:v>
                </c:pt>
                <c:pt idx="597">
                  <c:v>-263.72320891744545</c:v>
                </c:pt>
                <c:pt idx="598">
                  <c:v>-264.72813813239321</c:v>
                </c:pt>
                <c:pt idx="599">
                  <c:v>-265.53256647791852</c:v>
                </c:pt>
                <c:pt idx="600">
                  <c:v>-266.1828552522478</c:v>
                </c:pt>
              </c:numCache>
            </c:numRef>
          </c:yVal>
          <c:smooth val="0"/>
          <c:extLst>
            <c:ext xmlns:c16="http://schemas.microsoft.com/office/drawing/2014/chart" uri="{C3380CC4-5D6E-409C-BE32-E72D297353CC}">
              <c16:uniqueId val="{0000000B-10BD-4998-8A98-65686C23F2C0}"/>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10BD-4998-8A98-65686C23F2C0}"/>
              </c:ext>
            </c:extLst>
          </c:dPt>
          <c:xVal>
            <c:numRef>
              <c:f>'Ch2 Stability Calculations'!$A$617:$A$618</c:f>
              <c:numCache>
                <c:formatCode>General</c:formatCode>
                <c:ptCount val="2"/>
                <c:pt idx="0">
                  <c:v>6025.6</c:v>
                </c:pt>
                <c:pt idx="1">
                  <c:v>6025.6</c:v>
                </c:pt>
              </c:numCache>
            </c:numRef>
          </c:xVal>
          <c:yVal>
            <c:numRef>
              <c:f>'Ch2 Stability Calculations'!$R$617:$R$618</c:f>
              <c:numCache>
                <c:formatCode>0.00</c:formatCode>
                <c:ptCount val="2"/>
                <c:pt idx="0">
                  <c:v>-94.895855207867285</c:v>
                </c:pt>
                <c:pt idx="1">
                  <c:v>-135</c:v>
                </c:pt>
              </c:numCache>
            </c:numRef>
          </c:yVal>
          <c:smooth val="0"/>
          <c:extLst>
            <c:ext xmlns:c16="http://schemas.microsoft.com/office/drawing/2014/chart" uri="{C3380CC4-5D6E-409C-BE32-E72D297353CC}">
              <c16:uniqueId val="{0000000D-10BD-4998-8A98-65686C23F2C0}"/>
            </c:ext>
          </c:extLst>
        </c:ser>
        <c:ser>
          <c:idx val="0"/>
          <c:order val="8"/>
          <c:tx>
            <c:v>Fc2</c:v>
          </c:tx>
          <c:spPr>
            <a:ln w="22225">
              <a:solidFill>
                <a:schemeClr val="tx1">
                  <a:lumMod val="50000"/>
                  <a:lumOff val="50000"/>
                </a:schemeClr>
              </a:solidFill>
              <a:prstDash val="sysDash"/>
            </a:ln>
          </c:spPr>
          <c:marker>
            <c:symbol val="none"/>
          </c:marker>
          <c:xVal>
            <c:numRef>
              <c:f>'Ch2 Stability Calculations'!$A$619:$A$620</c:f>
              <c:numCache>
                <c:formatCode>General</c:formatCode>
                <c:ptCount val="2"/>
                <c:pt idx="0">
                  <c:v>6025.6</c:v>
                </c:pt>
                <c:pt idx="1">
                  <c:v>1000000</c:v>
                </c:pt>
              </c:numCache>
            </c:numRef>
          </c:xVal>
          <c:yVal>
            <c:numRef>
              <c:f>'Ch2 Stability Calculations'!$R$619:$R$620</c:f>
              <c:numCache>
                <c:formatCode>0.00</c:formatCode>
                <c:ptCount val="2"/>
                <c:pt idx="1">
                  <c:v>-94.895855207867285</c:v>
                </c:pt>
              </c:numCache>
            </c:numRef>
          </c:yVal>
          <c:smooth val="0"/>
          <c:extLst>
            <c:ext xmlns:c16="http://schemas.microsoft.com/office/drawing/2014/chart" uri="{C3380CC4-5D6E-409C-BE32-E72D297353CC}">
              <c16:uniqueId val="{0000000E-10BD-4998-8A98-65686C23F2C0}"/>
            </c:ext>
          </c:extLst>
        </c:ser>
        <c:dLbls>
          <c:showLegendKey val="0"/>
          <c:showVal val="0"/>
          <c:showCatName val="0"/>
          <c:showSerName val="0"/>
          <c:showPercent val="0"/>
          <c:showBubbleSize val="0"/>
        </c:dLbls>
        <c:axId val="185190272"/>
        <c:axId val="185191808"/>
      </c:scatterChart>
      <c:valAx>
        <c:axId val="185161600"/>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85188352"/>
        <c:crossesAt val="-80"/>
        <c:crossBetween val="midCat"/>
      </c:valAx>
      <c:valAx>
        <c:axId val="18518835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85161600"/>
        <c:crossesAt val="1.0000000000000005E-2"/>
        <c:crossBetween val="midCat"/>
        <c:majorUnit val="20"/>
      </c:valAx>
      <c:valAx>
        <c:axId val="185190272"/>
        <c:scaling>
          <c:logBase val="10"/>
          <c:orientation val="minMax"/>
        </c:scaling>
        <c:delete val="1"/>
        <c:axPos val="b"/>
        <c:numFmt formatCode="General" sourceLinked="1"/>
        <c:majorTickMark val="out"/>
        <c:minorTickMark val="none"/>
        <c:tickLblPos val="none"/>
        <c:crossAx val="185191808"/>
        <c:crosses val="autoZero"/>
        <c:crossBetween val="midCat"/>
      </c:valAx>
      <c:valAx>
        <c:axId val="185191808"/>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8519027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'Efficiency Calculations'!$AW$9:$AW$109</c:f>
              <c:numCache>
                <c:formatCode>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EFF6-4CEF-8042-54EBF9C08737}"/>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'Efficiency Calculations'!$AX$9:$AX$109</c:f>
              <c:numCache>
                <c:formatCode>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1-EFF6-4CEF-8042-54EBF9C08737}"/>
            </c:ext>
          </c:extLst>
        </c:ser>
        <c:dLbls>
          <c:showLegendKey val="0"/>
          <c:showVal val="0"/>
          <c:showCatName val="0"/>
          <c:showSerName val="0"/>
          <c:showPercent val="0"/>
          <c:showBubbleSize val="0"/>
        </c:dLbls>
        <c:axId val="196498944"/>
        <c:axId val="196500864"/>
      </c:scatterChart>
      <c:valAx>
        <c:axId val="1964989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500864"/>
        <c:crosses val="autoZero"/>
        <c:crossBetween val="midCat"/>
      </c:valAx>
      <c:valAx>
        <c:axId val="1965008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4989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High-side MOSFET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Calculations'!$AI$8</c:f>
              <c:strCache>
                <c:ptCount val="1"/>
                <c:pt idx="0">
                  <c:v>RDS(on)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'Efficiency Calculations'!$AC$9:$AC$109</c:f>
              <c:numCache>
                <c:formatCode>0.000</c:formatCode>
                <c:ptCount val="101"/>
                <c:pt idx="0">
                  <c:v>1.6075102880658425E-4</c:v>
                </c:pt>
                <c:pt idx="1">
                  <c:v>1.70834224609454E-4</c:v>
                </c:pt>
                <c:pt idx="2">
                  <c:v>2.0092899266982211E-4</c:v>
                </c:pt>
                <c:pt idx="3">
                  <c:v>2.510468828138878E-4</c:v>
                </c:pt>
                <c:pt idx="4">
                  <c:v>3.2119944475235179E-4</c:v>
                </c:pt>
                <c:pt idx="5">
                  <c:v>4.1139822808041761E-4</c:v>
                </c:pt>
                <c:pt idx="6">
                  <c:v>5.2165478227779232E-4</c:v>
                </c:pt>
                <c:pt idx="7">
                  <c:v>6.519806567086906E-4</c:v>
                </c:pt>
                <c:pt idx="8">
                  <c:v>8.0238740062183193E-4</c:v>
                </c:pt>
                <c:pt idx="9">
                  <c:v>9.7288656315044659E-4</c:v>
                </c:pt>
                <c:pt idx="10">
                  <c:v>1.1634896933122732E-3</c:v>
                </c:pt>
                <c:pt idx="11">
                  <c:v>1.3742083400095633E-3</c:v>
                </c:pt>
                <c:pt idx="12">
                  <c:v>1.6050540520290795E-3</c:v>
                </c:pt>
                <c:pt idx="13">
                  <c:v>1.8560383780421017E-3</c:v>
                </c:pt>
                <c:pt idx="14">
                  <c:v>2.1271728666044229E-3</c:v>
                </c:pt>
                <c:pt idx="15">
                  <c:v>2.4184690661563546E-3</c:v>
                </c:pt>
                <c:pt idx="16">
                  <c:v>2.7299385250227279E-3</c:v>
                </c:pt>
                <c:pt idx="17">
                  <c:v>3.0615927914128906E-3</c:v>
                </c:pt>
                <c:pt idx="18">
                  <c:v>3.413443413420719E-3</c:v>
                </c:pt>
                <c:pt idx="19">
                  <c:v>3.7855019390246039E-3</c:v>
                </c:pt>
                <c:pt idx="20">
                  <c:v>4.177779916087465E-3</c:v>
                </c:pt>
                <c:pt idx="21">
                  <c:v>4.5902888923567507E-3</c:v>
                </c:pt>
                <c:pt idx="22">
                  <c:v>5.023040415464434E-3</c:v>
                </c:pt>
                <c:pt idx="23">
                  <c:v>5.4760460329270092E-3</c:v>
                </c:pt>
                <c:pt idx="24">
                  <c:v>5.9493172921455204E-3</c:v>
                </c:pt>
                <c:pt idx="25">
                  <c:v>6.442865740405525E-3</c:v>
                </c:pt>
                <c:pt idx="26">
                  <c:v>6.9567029248771145E-3</c:v>
                </c:pt>
                <c:pt idx="27">
                  <c:v>7.490840392614934E-3</c:v>
                </c:pt>
                <c:pt idx="28">
                  <c:v>8.0452896905581356E-3</c:v>
                </c:pt>
                <c:pt idx="29">
                  <c:v>8.6200623655304301E-3</c:v>
                </c:pt>
                <c:pt idx="30">
                  <c:v>9.2151699642400667E-3</c:v>
                </c:pt>
                <c:pt idx="31">
                  <c:v>9.8306240332798247E-3</c:v>
                </c:pt>
                <c:pt idx="32">
                  <c:v>1.0466436119127035E-2</c:v>
                </c:pt>
                <c:pt idx="33">
                  <c:v>1.1122617768143559E-2</c:v>
                </c:pt>
                <c:pt idx="34">
                  <c:v>1.1799180526575815E-2</c:v>
                </c:pt>
                <c:pt idx="35">
                  <c:v>1.2496135940554771E-2</c:v>
                </c:pt>
                <c:pt idx="36">
                  <c:v>1.321349555609592E-2</c:v>
                </c:pt>
                <c:pt idx="37">
                  <c:v>1.3951270919099342E-2</c:v>
                </c:pt>
                <c:pt idx="38">
                  <c:v>1.4709473575349612E-2</c:v>
                </c:pt>
                <c:pt idx="39">
                  <c:v>1.5488115070515911E-2</c:v>
                </c:pt>
                <c:pt idx="40">
                  <c:v>1.6287206950151952E-2</c:v>
                </c:pt>
                <c:pt idx="41">
                  <c:v>1.7106760759696003E-2</c:v>
                </c:pt>
                <c:pt idx="42">
                  <c:v>1.794678804447087E-2</c:v>
                </c:pt>
                <c:pt idx="43">
                  <c:v>1.8807300349683958E-2</c:v>
                </c:pt>
                <c:pt idx="44">
                  <c:v>1.9688309220427205E-2</c:v>
                </c:pt>
                <c:pt idx="45">
                  <c:v>2.058982620167709E-2</c:v>
                </c:pt>
                <c:pt idx="46">
                  <c:v>2.151186283829469E-2</c:v>
                </c:pt>
                <c:pt idx="47">
                  <c:v>2.2454430675025644E-2</c:v>
                </c:pt>
                <c:pt idx="48">
                  <c:v>2.341754125650013E-2</c:v>
                </c:pt>
                <c:pt idx="49">
                  <c:v>2.440120612723292E-2</c:v>
                </c:pt>
                <c:pt idx="50">
                  <c:v>2.5405436831623319E-2</c:v>
                </c:pt>
                <c:pt idx="51">
                  <c:v>2.643024491395523E-2</c:v>
                </c:pt>
                <c:pt idx="52">
                  <c:v>2.7475641918397131E-2</c:v>
                </c:pt>
                <c:pt idx="53">
                  <c:v>2.854163938900205E-2</c:v>
                </c:pt>
                <c:pt idx="54">
                  <c:v>2.9628248869707594E-2</c:v>
                </c:pt>
                <c:pt idx="55">
                  <c:v>3.0735481904335959E-2</c:v>
                </c:pt>
                <c:pt idx="56">
                  <c:v>3.1863350036593886E-2</c:v>
                </c:pt>
                <c:pt idx="57">
                  <c:v>3.3011864810072754E-2</c:v>
                </c:pt>
                <c:pt idx="58">
                  <c:v>3.4181037768248462E-2</c:v>
                </c:pt>
                <c:pt idx="59">
                  <c:v>3.5370880454481515E-2</c:v>
                </c:pt>
                <c:pt idx="60">
                  <c:v>3.6581404412017009E-2</c:v>
                </c:pt>
                <c:pt idx="61">
                  <c:v>3.7812621183984554E-2</c:v>
                </c:pt>
                <c:pt idx="62">
                  <c:v>3.9064542313398488E-2</c:v>
                </c:pt>
                <c:pt idx="63">
                  <c:v>4.033717934315758E-2</c:v>
                </c:pt>
                <c:pt idx="64">
                  <c:v>4.1630543816045293E-2</c:v>
                </c:pt>
                <c:pt idx="65">
                  <c:v>4.2944647274729644E-2</c:v>
                </c:pt>
                <c:pt idx="66">
                  <c:v>4.42795012617632E-2</c:v>
                </c:pt>
                <c:pt idx="67">
                  <c:v>4.5635117319583224E-2</c:v>
                </c:pt>
                <c:pt idx="68">
                  <c:v>4.7011506990511459E-2</c:v>
                </c:pt>
                <c:pt idx="69">
                  <c:v>4.8408681816754305E-2</c:v>
                </c:pt>
                <c:pt idx="70">
                  <c:v>4.9826653340402753E-2</c:v>
                </c:pt>
                <c:pt idx="71">
                  <c:v>5.1265433103432387E-2</c:v>
                </c:pt>
                <c:pt idx="72">
                  <c:v>5.2725032647703396E-2</c:v>
                </c:pt>
                <c:pt idx="73">
                  <c:v>5.4205463514960563E-2</c:v>
                </c:pt>
                <c:pt idx="74">
                  <c:v>5.5706737246833254E-2</c:v>
                </c:pt>
                <c:pt idx="75">
                  <c:v>5.7228865384835508E-2</c:v>
                </c:pt>
                <c:pt idx="76">
                  <c:v>5.8771859470365825E-2</c:v>
                </c:pt>
                <c:pt idx="77">
                  <c:v>6.0335731044707519E-2</c:v>
                </c:pt>
                <c:pt idx="78">
                  <c:v>6.1920491649028311E-2</c:v>
                </c:pt>
                <c:pt idx="79">
                  <c:v>6.3526152824380677E-2</c:v>
                </c:pt>
                <c:pt idx="80">
                  <c:v>6.5152726111701628E-2</c:v>
                </c:pt>
                <c:pt idx="81">
                  <c:v>6.680022305181281E-2</c:v>
                </c:pt>
                <c:pt idx="82">
                  <c:v>6.8468655185420474E-2</c:v>
                </c:pt>
                <c:pt idx="83">
                  <c:v>7.0158034053115492E-2</c:v>
                </c:pt>
                <c:pt idx="84">
                  <c:v>7.1868371195373371E-2</c:v>
                </c:pt>
                <c:pt idx="85">
                  <c:v>7.3599678152554221E-2</c:v>
                </c:pt>
                <c:pt idx="86">
                  <c:v>7.5351966464902748E-2</c:v>
                </c:pt>
                <c:pt idx="87">
                  <c:v>7.7125247672548289E-2</c:v>
                </c:pt>
                <c:pt idx="88">
                  <c:v>7.8919533315504872E-2</c:v>
                </c:pt>
                <c:pt idx="89">
                  <c:v>8.0734834933671076E-2</c:v>
                </c:pt>
                <c:pt idx="90">
                  <c:v>8.2571164066830072E-2</c:v>
                </c:pt>
                <c:pt idx="91">
                  <c:v>8.4428532254649719E-2</c:v>
                </c:pt>
                <c:pt idx="92">
                  <c:v>8.6306951036682525E-2</c:v>
                </c:pt>
                <c:pt idx="93">
                  <c:v>8.8206431952365646E-2</c:v>
                </c:pt>
                <c:pt idx="94">
                  <c:v>9.0126986541020707E-2</c:v>
                </c:pt>
                <c:pt idx="95">
                  <c:v>9.2068626341854157E-2</c:v>
                </c:pt>
                <c:pt idx="96">
                  <c:v>9.4031362893956971E-2</c:v>
                </c:pt>
                <c:pt idx="97">
                  <c:v>9.60152077363048E-2</c:v>
                </c:pt>
                <c:pt idx="98">
                  <c:v>9.8020172407757872E-2</c:v>
                </c:pt>
                <c:pt idx="99">
                  <c:v>0.10004626844706117</c:v>
                </c:pt>
                <c:pt idx="100">
                  <c:v>0.10209350739284426</c:v>
                </c:pt>
              </c:numCache>
            </c:numRef>
          </c:yVal>
          <c:smooth val="0"/>
          <c:extLst>
            <c:ext xmlns:c16="http://schemas.microsoft.com/office/drawing/2014/chart" uri="{C3380CC4-5D6E-409C-BE32-E72D297353CC}">
              <c16:uniqueId val="{00000000-707C-431D-A4F2-D6BD8D7D2451}"/>
            </c:ext>
          </c:extLst>
        </c:ser>
        <c:ser>
          <c:idx val="3"/>
          <c:order val="1"/>
          <c:tx>
            <c:strRef>
              <c:f>'Efficiency Calculations'!$AD$8</c:f>
              <c:strCache>
                <c:ptCount val="1"/>
                <c:pt idx="0">
                  <c:v>Transition Loss (not including capacitive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'Efficiency Calculations'!$AD$9:$AD$109</c:f>
              <c:numCache>
                <c:formatCode>0.000</c:formatCode>
                <c:ptCount val="101"/>
                <c:pt idx="0">
                  <c:v>0</c:v>
                </c:pt>
                <c:pt idx="1">
                  <c:v>6.5274811117905819E-3</c:v>
                </c:pt>
                <c:pt idx="2">
                  <c:v>1.3054962223581164E-2</c:v>
                </c:pt>
                <c:pt idx="3">
                  <c:v>1.9582443335371746E-2</c:v>
                </c:pt>
                <c:pt idx="4">
                  <c:v>2.6109924447162328E-2</c:v>
                </c:pt>
                <c:pt idx="5">
                  <c:v>3.2637405558952913E-2</c:v>
                </c:pt>
                <c:pt idx="6">
                  <c:v>3.9164886670743491E-2</c:v>
                </c:pt>
                <c:pt idx="7">
                  <c:v>4.5692367782534077E-2</c:v>
                </c:pt>
                <c:pt idx="8">
                  <c:v>5.2219848894324655E-2</c:v>
                </c:pt>
                <c:pt idx="9">
                  <c:v>5.8747330006115241E-2</c:v>
                </c:pt>
                <c:pt idx="10">
                  <c:v>6.5274811117905826E-2</c:v>
                </c:pt>
                <c:pt idx="11">
                  <c:v>7.1802292229696404E-2</c:v>
                </c:pt>
                <c:pt idx="12">
                  <c:v>7.8329773341486983E-2</c:v>
                </c:pt>
                <c:pt idx="13">
                  <c:v>8.4857254453277561E-2</c:v>
                </c:pt>
                <c:pt idx="14">
                  <c:v>9.1384735565068154E-2</c:v>
                </c:pt>
                <c:pt idx="15">
                  <c:v>9.7912216676858732E-2</c:v>
                </c:pt>
                <c:pt idx="16">
                  <c:v>0.10443969778864931</c:v>
                </c:pt>
                <c:pt idx="17">
                  <c:v>0.11096717890043989</c:v>
                </c:pt>
                <c:pt idx="18">
                  <c:v>0.11749466001223048</c:v>
                </c:pt>
                <c:pt idx="19">
                  <c:v>0.12402214112402106</c:v>
                </c:pt>
                <c:pt idx="20">
                  <c:v>0.13054962223581165</c:v>
                </c:pt>
                <c:pt idx="21">
                  <c:v>0.13707710334760223</c:v>
                </c:pt>
                <c:pt idx="22">
                  <c:v>0.14360458445939281</c:v>
                </c:pt>
                <c:pt idx="23">
                  <c:v>0.15013206557118339</c:v>
                </c:pt>
                <c:pt idx="24">
                  <c:v>0.15665954668297397</c:v>
                </c:pt>
                <c:pt idx="25">
                  <c:v>0.16318702779476454</c:v>
                </c:pt>
                <c:pt idx="26">
                  <c:v>0.16971450890655512</c:v>
                </c:pt>
                <c:pt idx="27">
                  <c:v>0.17624199001834573</c:v>
                </c:pt>
                <c:pt idx="28">
                  <c:v>0.18276947113013631</c:v>
                </c:pt>
                <c:pt idx="29">
                  <c:v>0.18929695224192689</c:v>
                </c:pt>
                <c:pt idx="30">
                  <c:v>0.19582443335371746</c:v>
                </c:pt>
                <c:pt idx="31">
                  <c:v>0.20235191446550804</c:v>
                </c:pt>
                <c:pt idx="32">
                  <c:v>0.20887939557729862</c:v>
                </c:pt>
                <c:pt idx="33">
                  <c:v>0.2154068766890892</c:v>
                </c:pt>
                <c:pt idx="34">
                  <c:v>0.22193435780087978</c:v>
                </c:pt>
                <c:pt idx="35">
                  <c:v>0.22846183891267038</c:v>
                </c:pt>
                <c:pt idx="36">
                  <c:v>0.23498932002446096</c:v>
                </c:pt>
                <c:pt idx="37">
                  <c:v>0.24151680113625154</c:v>
                </c:pt>
                <c:pt idx="38">
                  <c:v>0.24804428224804212</c:v>
                </c:pt>
                <c:pt idx="39">
                  <c:v>0.25457176335983273</c:v>
                </c:pt>
                <c:pt idx="40">
                  <c:v>0.2610992444716233</c:v>
                </c:pt>
                <c:pt idx="41">
                  <c:v>0.26762672558341383</c:v>
                </c:pt>
                <c:pt idx="42">
                  <c:v>0.27415420669520446</c:v>
                </c:pt>
                <c:pt idx="43">
                  <c:v>0.28068168780699504</c:v>
                </c:pt>
                <c:pt idx="44">
                  <c:v>0.28720916891878562</c:v>
                </c:pt>
                <c:pt idx="45">
                  <c:v>0.2937366500305762</c:v>
                </c:pt>
                <c:pt idx="46">
                  <c:v>0.30026413114236677</c:v>
                </c:pt>
                <c:pt idx="47">
                  <c:v>0.30679161225415735</c:v>
                </c:pt>
                <c:pt idx="48">
                  <c:v>0.31331909336594793</c:v>
                </c:pt>
                <c:pt idx="49">
                  <c:v>0.31984657447773851</c:v>
                </c:pt>
                <c:pt idx="50">
                  <c:v>0.32637405558952909</c:v>
                </c:pt>
                <c:pt idx="51">
                  <c:v>0.33290153670131967</c:v>
                </c:pt>
                <c:pt idx="52">
                  <c:v>0.33942901781311025</c:v>
                </c:pt>
                <c:pt idx="53">
                  <c:v>0.34595649892490082</c:v>
                </c:pt>
                <c:pt idx="54">
                  <c:v>0.35248398003669146</c:v>
                </c:pt>
                <c:pt idx="55">
                  <c:v>0.35901146114848204</c:v>
                </c:pt>
                <c:pt idx="56">
                  <c:v>0.36553894226027261</c:v>
                </c:pt>
                <c:pt idx="57">
                  <c:v>0.37206642337206319</c:v>
                </c:pt>
                <c:pt idx="58">
                  <c:v>0.37859390448385377</c:v>
                </c:pt>
                <c:pt idx="59">
                  <c:v>0.38512138559564435</c:v>
                </c:pt>
                <c:pt idx="60">
                  <c:v>0.39164886670743493</c:v>
                </c:pt>
                <c:pt idx="61">
                  <c:v>0.39817634781922551</c:v>
                </c:pt>
                <c:pt idx="62">
                  <c:v>0.40470382893101609</c:v>
                </c:pt>
                <c:pt idx="63">
                  <c:v>0.41123131004280666</c:v>
                </c:pt>
                <c:pt idx="64">
                  <c:v>0.41775879115459724</c:v>
                </c:pt>
                <c:pt idx="65">
                  <c:v>0.42428627226638782</c:v>
                </c:pt>
                <c:pt idx="66">
                  <c:v>0.4308137533781784</c:v>
                </c:pt>
                <c:pt idx="67">
                  <c:v>0.43734123448996898</c:v>
                </c:pt>
                <c:pt idx="68">
                  <c:v>0.44386871560175956</c:v>
                </c:pt>
                <c:pt idx="69">
                  <c:v>0.45039619671355013</c:v>
                </c:pt>
                <c:pt idx="70">
                  <c:v>0.45692367782534077</c:v>
                </c:pt>
                <c:pt idx="71">
                  <c:v>0.46345115893713135</c:v>
                </c:pt>
                <c:pt idx="72">
                  <c:v>0.46997864004892193</c:v>
                </c:pt>
                <c:pt idx="73">
                  <c:v>0.4765061211607125</c:v>
                </c:pt>
                <c:pt idx="74">
                  <c:v>0.48303360227250308</c:v>
                </c:pt>
                <c:pt idx="75">
                  <c:v>0.48956108338429366</c:v>
                </c:pt>
                <c:pt idx="76">
                  <c:v>0.49608856449608424</c:v>
                </c:pt>
                <c:pt idx="77">
                  <c:v>0.50261604560787487</c:v>
                </c:pt>
                <c:pt idx="78">
                  <c:v>0.50914352671966545</c:v>
                </c:pt>
                <c:pt idx="79">
                  <c:v>0.51567100783145603</c:v>
                </c:pt>
                <c:pt idx="80">
                  <c:v>0.52219848894324661</c:v>
                </c:pt>
                <c:pt idx="81">
                  <c:v>0.52872597005503719</c:v>
                </c:pt>
                <c:pt idx="82">
                  <c:v>0.53525345116682765</c:v>
                </c:pt>
                <c:pt idx="83">
                  <c:v>0.54178093227861845</c:v>
                </c:pt>
                <c:pt idx="84">
                  <c:v>0.54830841339040892</c:v>
                </c:pt>
                <c:pt idx="85">
                  <c:v>0.5548358945021995</c:v>
                </c:pt>
                <c:pt idx="86">
                  <c:v>0.56136337561399008</c:v>
                </c:pt>
                <c:pt idx="87">
                  <c:v>0.56789085672578066</c:v>
                </c:pt>
                <c:pt idx="88">
                  <c:v>0.57441833783757124</c:v>
                </c:pt>
                <c:pt idx="89">
                  <c:v>0.58094581894936181</c:v>
                </c:pt>
                <c:pt idx="90">
                  <c:v>0.58747330006115239</c:v>
                </c:pt>
                <c:pt idx="91">
                  <c:v>0.59400078117294297</c:v>
                </c:pt>
                <c:pt idx="92">
                  <c:v>0.60052826228473355</c:v>
                </c:pt>
                <c:pt idx="93">
                  <c:v>0.60705574339652413</c:v>
                </c:pt>
                <c:pt idx="94">
                  <c:v>0.61358322450831471</c:v>
                </c:pt>
                <c:pt idx="95">
                  <c:v>0.62011070562010528</c:v>
                </c:pt>
                <c:pt idx="96">
                  <c:v>0.62663818673189586</c:v>
                </c:pt>
                <c:pt idx="97">
                  <c:v>0.63316566784368644</c:v>
                </c:pt>
                <c:pt idx="98">
                  <c:v>0.63969314895547702</c:v>
                </c:pt>
                <c:pt idx="99">
                  <c:v>0.6462206300672676</c:v>
                </c:pt>
                <c:pt idx="100">
                  <c:v>0.65274811117905818</c:v>
                </c:pt>
              </c:numCache>
            </c:numRef>
          </c:yVal>
          <c:smooth val="0"/>
          <c:extLst>
            <c:ext xmlns:c16="http://schemas.microsoft.com/office/drawing/2014/chart" uri="{C3380CC4-5D6E-409C-BE32-E72D297353CC}">
              <c16:uniqueId val="{00000001-707C-431D-A4F2-D6BD8D7D2451}"/>
            </c:ext>
          </c:extLst>
        </c:ser>
        <c:ser>
          <c:idx val="0"/>
          <c:order val="2"/>
          <c:tx>
            <c:strRef>
              <c:f>'Efficiency Calculations'!$AE$8</c:f>
              <c:strCache>
                <c:ptCount val="1"/>
                <c:pt idx="0">
                  <c:v>MOSFET Output Capacitance Loss</c:v>
                </c:pt>
              </c:strCache>
            </c:strRef>
          </c:tx>
          <c:spPr>
            <a:ln w="31750">
              <a:solidFill>
                <a:srgbClr val="FF6600"/>
              </a:solidFill>
              <a:prstDash val="lgDash"/>
            </a:ln>
          </c:spPr>
          <c:marker>
            <c:symbol val="none"/>
          </c:marker>
          <c:xVal>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'Efficiency Calculations'!$AE$9:$AE$109</c:f>
              <c:numCache>
                <c:formatCode>0.000</c:formatCode>
                <c:ptCount val="101"/>
                <c:pt idx="0">
                  <c:v>-0.29150281139137996</c:v>
                </c:pt>
                <c:pt idx="1">
                  <c:v>-0.3223320747556947</c:v>
                </c:pt>
                <c:pt idx="2">
                  <c:v>-0.35413441980669613</c:v>
                </c:pt>
                <c:pt idx="3">
                  <c:v>-0.38690984684517232</c:v>
                </c:pt>
                <c:pt idx="4">
                  <c:v>-0.4206583561719075</c:v>
                </c:pt>
                <c:pt idx="5">
                  <c:v>-0.45537994808768362</c:v>
                </c:pt>
                <c:pt idx="6">
                  <c:v>-0.49107462289327936</c:v>
                </c:pt>
                <c:pt idx="7">
                  <c:v>-0.52595999999999998</c:v>
                </c:pt>
                <c:pt idx="8">
                  <c:v>-0.52595999999999998</c:v>
                </c:pt>
                <c:pt idx="9">
                  <c:v>-0.52595999999999998</c:v>
                </c:pt>
                <c:pt idx="10">
                  <c:v>-0.52595999999999998</c:v>
                </c:pt>
                <c:pt idx="11">
                  <c:v>-0.52595999999999998</c:v>
                </c:pt>
                <c:pt idx="12">
                  <c:v>-0.52595999999999998</c:v>
                </c:pt>
                <c:pt idx="13">
                  <c:v>-0.52595999999999998</c:v>
                </c:pt>
                <c:pt idx="14">
                  <c:v>-0.52595999999999998</c:v>
                </c:pt>
                <c:pt idx="15">
                  <c:v>-0.52595999999999998</c:v>
                </c:pt>
                <c:pt idx="16">
                  <c:v>-0.52595999999999998</c:v>
                </c:pt>
                <c:pt idx="17">
                  <c:v>-0.52595999999999998</c:v>
                </c:pt>
                <c:pt idx="18">
                  <c:v>-0.52595999999999998</c:v>
                </c:pt>
                <c:pt idx="19">
                  <c:v>-0.52595999999999998</c:v>
                </c:pt>
                <c:pt idx="20">
                  <c:v>-0.52595999999999998</c:v>
                </c:pt>
                <c:pt idx="21">
                  <c:v>-0.52595999999999998</c:v>
                </c:pt>
                <c:pt idx="22">
                  <c:v>-0.52595999999999998</c:v>
                </c:pt>
                <c:pt idx="23">
                  <c:v>-0.52595999999999998</c:v>
                </c:pt>
                <c:pt idx="24">
                  <c:v>-0.52595999999999998</c:v>
                </c:pt>
                <c:pt idx="25">
                  <c:v>-0.52595999999999998</c:v>
                </c:pt>
                <c:pt idx="26">
                  <c:v>-0.52595999999999998</c:v>
                </c:pt>
                <c:pt idx="27">
                  <c:v>-0.52595999999999998</c:v>
                </c:pt>
                <c:pt idx="28">
                  <c:v>-0.52595999999999998</c:v>
                </c:pt>
                <c:pt idx="29">
                  <c:v>-0.52595999999999998</c:v>
                </c:pt>
                <c:pt idx="30">
                  <c:v>-0.52595999999999998</c:v>
                </c:pt>
                <c:pt idx="31">
                  <c:v>-0.52595999999999998</c:v>
                </c:pt>
                <c:pt idx="32">
                  <c:v>-0.52595999999999998</c:v>
                </c:pt>
                <c:pt idx="33">
                  <c:v>-0.52595999999999998</c:v>
                </c:pt>
                <c:pt idx="34">
                  <c:v>-0.52595999999999998</c:v>
                </c:pt>
                <c:pt idx="35">
                  <c:v>-0.52595999999999998</c:v>
                </c:pt>
                <c:pt idx="36">
                  <c:v>-0.52595999999999998</c:v>
                </c:pt>
                <c:pt idx="37">
                  <c:v>-0.52595999999999998</c:v>
                </c:pt>
                <c:pt idx="38">
                  <c:v>-0.52595999999999998</c:v>
                </c:pt>
                <c:pt idx="39">
                  <c:v>-0.52595999999999998</c:v>
                </c:pt>
                <c:pt idx="40">
                  <c:v>-0.52595999999999998</c:v>
                </c:pt>
                <c:pt idx="41">
                  <c:v>-0.52595999999999998</c:v>
                </c:pt>
                <c:pt idx="42">
                  <c:v>-0.52595999999999998</c:v>
                </c:pt>
                <c:pt idx="43">
                  <c:v>-0.52595999999999998</c:v>
                </c:pt>
                <c:pt idx="44">
                  <c:v>-0.52595999999999998</c:v>
                </c:pt>
                <c:pt idx="45">
                  <c:v>-0.52595999999999998</c:v>
                </c:pt>
                <c:pt idx="46">
                  <c:v>-0.52595999999999998</c:v>
                </c:pt>
                <c:pt idx="47">
                  <c:v>-0.52595999999999998</c:v>
                </c:pt>
                <c:pt idx="48">
                  <c:v>-0.52595999999999998</c:v>
                </c:pt>
                <c:pt idx="49">
                  <c:v>-0.52595999999999998</c:v>
                </c:pt>
                <c:pt idx="50">
                  <c:v>-0.52595999999999998</c:v>
                </c:pt>
                <c:pt idx="51">
                  <c:v>-0.52595999999999998</c:v>
                </c:pt>
                <c:pt idx="52">
                  <c:v>-0.52595999999999998</c:v>
                </c:pt>
                <c:pt idx="53">
                  <c:v>-0.52595999999999998</c:v>
                </c:pt>
                <c:pt idx="54">
                  <c:v>-0.52595999999999998</c:v>
                </c:pt>
                <c:pt idx="55">
                  <c:v>-0.52595999999999998</c:v>
                </c:pt>
                <c:pt idx="56">
                  <c:v>-0.52595999999999998</c:v>
                </c:pt>
                <c:pt idx="57">
                  <c:v>-0.52595999999999998</c:v>
                </c:pt>
                <c:pt idx="58">
                  <c:v>-0.52595999999999998</c:v>
                </c:pt>
                <c:pt idx="59">
                  <c:v>-0.52595999999999998</c:v>
                </c:pt>
                <c:pt idx="60">
                  <c:v>-0.52595999999999998</c:v>
                </c:pt>
                <c:pt idx="61">
                  <c:v>-0.52595999999999998</c:v>
                </c:pt>
                <c:pt idx="62">
                  <c:v>-0.52595999999999998</c:v>
                </c:pt>
                <c:pt idx="63">
                  <c:v>-0.52595999999999998</c:v>
                </c:pt>
                <c:pt idx="64">
                  <c:v>-0.52595999999999998</c:v>
                </c:pt>
                <c:pt idx="65">
                  <c:v>-0.52595999999999998</c:v>
                </c:pt>
                <c:pt idx="66">
                  <c:v>-0.52595999999999998</c:v>
                </c:pt>
                <c:pt idx="67">
                  <c:v>-0.52595999999999998</c:v>
                </c:pt>
                <c:pt idx="68">
                  <c:v>-0.52595999999999998</c:v>
                </c:pt>
                <c:pt idx="69">
                  <c:v>-0.52595999999999998</c:v>
                </c:pt>
                <c:pt idx="70">
                  <c:v>-0.52595999999999998</c:v>
                </c:pt>
                <c:pt idx="71">
                  <c:v>-0.52595999999999998</c:v>
                </c:pt>
                <c:pt idx="72">
                  <c:v>-0.52595999999999998</c:v>
                </c:pt>
                <c:pt idx="73">
                  <c:v>-0.52595999999999998</c:v>
                </c:pt>
                <c:pt idx="74">
                  <c:v>-0.52595999999999998</c:v>
                </c:pt>
                <c:pt idx="75">
                  <c:v>-0.52595999999999998</c:v>
                </c:pt>
                <c:pt idx="76">
                  <c:v>-0.52595999999999998</c:v>
                </c:pt>
                <c:pt idx="77">
                  <c:v>-0.52595999999999998</c:v>
                </c:pt>
                <c:pt idx="78">
                  <c:v>-0.52595999999999998</c:v>
                </c:pt>
                <c:pt idx="79">
                  <c:v>-0.52595999999999998</c:v>
                </c:pt>
                <c:pt idx="80">
                  <c:v>-0.52595999999999998</c:v>
                </c:pt>
                <c:pt idx="81">
                  <c:v>-0.52595999999999998</c:v>
                </c:pt>
                <c:pt idx="82">
                  <c:v>-0.52595999999999998</c:v>
                </c:pt>
                <c:pt idx="83">
                  <c:v>-0.52595999999999998</c:v>
                </c:pt>
                <c:pt idx="84">
                  <c:v>-0.52595999999999998</c:v>
                </c:pt>
                <c:pt idx="85">
                  <c:v>-0.52595999999999998</c:v>
                </c:pt>
                <c:pt idx="86">
                  <c:v>-0.52595999999999998</c:v>
                </c:pt>
                <c:pt idx="87">
                  <c:v>-0.52595999999999998</c:v>
                </c:pt>
                <c:pt idx="88">
                  <c:v>-0.52595999999999998</c:v>
                </c:pt>
                <c:pt idx="89">
                  <c:v>-0.52595999999999998</c:v>
                </c:pt>
                <c:pt idx="90">
                  <c:v>-0.52595999999999998</c:v>
                </c:pt>
                <c:pt idx="91">
                  <c:v>-0.52595999999999998</c:v>
                </c:pt>
                <c:pt idx="92">
                  <c:v>-0.52595999999999998</c:v>
                </c:pt>
                <c:pt idx="93">
                  <c:v>-0.52595999999999998</c:v>
                </c:pt>
                <c:pt idx="94">
                  <c:v>-0.52595999999999998</c:v>
                </c:pt>
                <c:pt idx="95">
                  <c:v>-0.52595999999999998</c:v>
                </c:pt>
                <c:pt idx="96">
                  <c:v>-0.52595999999999998</c:v>
                </c:pt>
                <c:pt idx="97">
                  <c:v>-0.52595999999999998</c:v>
                </c:pt>
                <c:pt idx="98">
                  <c:v>-0.52595999999999998</c:v>
                </c:pt>
                <c:pt idx="99">
                  <c:v>-0.52595999999999998</c:v>
                </c:pt>
                <c:pt idx="100">
                  <c:v>-0.52595999999999998</c:v>
                </c:pt>
              </c:numCache>
            </c:numRef>
          </c:yVal>
          <c:smooth val="0"/>
          <c:extLst>
            <c:ext xmlns:c16="http://schemas.microsoft.com/office/drawing/2014/chart" uri="{C3380CC4-5D6E-409C-BE32-E72D297353CC}">
              <c16:uniqueId val="{00000002-707C-431D-A4F2-D6BD8D7D2451}"/>
            </c:ext>
          </c:extLst>
        </c:ser>
        <c:ser>
          <c:idx val="1"/>
          <c:order val="3"/>
          <c:tx>
            <c:strRef>
              <c:f>'Efficiency Calculations'!$AM$8</c:f>
              <c:strCache>
                <c:ptCount val="1"/>
                <c:pt idx="0">
                  <c:v>Reverse Recovery Loss</c:v>
                </c:pt>
              </c:strCache>
            </c:strRef>
          </c:tx>
          <c:spPr>
            <a:ln>
              <a:solidFill>
                <a:srgbClr val="00B050"/>
              </a:solidFill>
              <a:prstDash val="sysDot"/>
            </a:ln>
          </c:spPr>
          <c:marker>
            <c:symbol val="none"/>
          </c:marker>
          <c:xVal>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'Efficiency Calculations'!$AM$9:$AM$109</c:f>
              <c:numCache>
                <c:formatCode>0.000</c:formatCode>
                <c:ptCount val="101"/>
                <c:pt idx="0">
                  <c:v>0</c:v>
                </c:pt>
                <c:pt idx="1">
                  <c:v>2.1600000000000001E-2</c:v>
                </c:pt>
                <c:pt idx="2">
                  <c:v>4.3200000000000002E-2</c:v>
                </c:pt>
                <c:pt idx="3">
                  <c:v>6.4799999999999996E-2</c:v>
                </c:pt>
                <c:pt idx="4">
                  <c:v>8.6400000000000005E-2</c:v>
                </c:pt>
                <c:pt idx="5">
                  <c:v>0.10799999999999998</c:v>
                </c:pt>
                <c:pt idx="6">
                  <c:v>0.12959999999999999</c:v>
                </c:pt>
                <c:pt idx="7">
                  <c:v>0.15119999999999997</c:v>
                </c:pt>
                <c:pt idx="8">
                  <c:v>0.17280000000000001</c:v>
                </c:pt>
                <c:pt idx="9">
                  <c:v>0.19439999999999999</c:v>
                </c:pt>
                <c:pt idx="10">
                  <c:v>0.21599999999999997</c:v>
                </c:pt>
                <c:pt idx="11">
                  <c:v>0.23760000000000001</c:v>
                </c:pt>
                <c:pt idx="12">
                  <c:v>0.25919999999999999</c:v>
                </c:pt>
                <c:pt idx="13">
                  <c:v>0.28079999999999999</c:v>
                </c:pt>
                <c:pt idx="14">
                  <c:v>0.30239999999999995</c:v>
                </c:pt>
                <c:pt idx="15">
                  <c:v>0.3239999999999999</c:v>
                </c:pt>
                <c:pt idx="16">
                  <c:v>0.34560000000000002</c:v>
                </c:pt>
                <c:pt idx="17">
                  <c:v>0.36719999999999997</c:v>
                </c:pt>
                <c:pt idx="18">
                  <c:v>0.38879999999999998</c:v>
                </c:pt>
                <c:pt idx="19">
                  <c:v>0.41039999999999999</c:v>
                </c:pt>
                <c:pt idx="20">
                  <c:v>0.43199999999999994</c:v>
                </c:pt>
                <c:pt idx="21">
                  <c:v>0.45359999999999995</c:v>
                </c:pt>
                <c:pt idx="22">
                  <c:v>0.47520000000000001</c:v>
                </c:pt>
                <c:pt idx="23">
                  <c:v>0.49679999999999985</c:v>
                </c:pt>
                <c:pt idx="24">
                  <c:v>0.51839999999999997</c:v>
                </c:pt>
                <c:pt idx="25">
                  <c:v>0.53999999999999992</c:v>
                </c:pt>
                <c:pt idx="26">
                  <c:v>0.56159999999999999</c:v>
                </c:pt>
                <c:pt idx="27">
                  <c:v>0.58319999999999994</c:v>
                </c:pt>
                <c:pt idx="28">
                  <c:v>0.60479999999999989</c:v>
                </c:pt>
                <c:pt idx="29">
                  <c:v>0.62639999999999985</c:v>
                </c:pt>
                <c:pt idx="30">
                  <c:v>0.6479999999999998</c:v>
                </c:pt>
                <c:pt idx="31">
                  <c:v>0.66960000000000008</c:v>
                </c:pt>
                <c:pt idx="32">
                  <c:v>0.69120000000000004</c:v>
                </c:pt>
                <c:pt idx="33">
                  <c:v>0.71279999999999999</c:v>
                </c:pt>
                <c:pt idx="34">
                  <c:v>0.73439999999999994</c:v>
                </c:pt>
                <c:pt idx="35">
                  <c:v>0.75599999999999989</c:v>
                </c:pt>
                <c:pt idx="36">
                  <c:v>0.77759999999999996</c:v>
                </c:pt>
                <c:pt idx="37">
                  <c:v>0.79920000000000002</c:v>
                </c:pt>
                <c:pt idx="38">
                  <c:v>0.82079999999999997</c:v>
                </c:pt>
                <c:pt idx="39">
                  <c:v>0.84239999999999993</c:v>
                </c:pt>
                <c:pt idx="40">
                  <c:v>0.86399999999999988</c:v>
                </c:pt>
                <c:pt idx="41">
                  <c:v>0.88559999999999983</c:v>
                </c:pt>
                <c:pt idx="42">
                  <c:v>0.9071999999999999</c:v>
                </c:pt>
                <c:pt idx="43">
                  <c:v>0.92879999999999985</c:v>
                </c:pt>
                <c:pt idx="44">
                  <c:v>0.95040000000000002</c:v>
                </c:pt>
                <c:pt idx="45">
                  <c:v>0.97199999999999998</c:v>
                </c:pt>
                <c:pt idx="46">
                  <c:v>0.99359999999999971</c:v>
                </c:pt>
                <c:pt idx="47">
                  <c:v>1.0152000000000001</c:v>
                </c:pt>
                <c:pt idx="48">
                  <c:v>1.0367999999999999</c:v>
                </c:pt>
                <c:pt idx="49">
                  <c:v>1.0584</c:v>
                </c:pt>
                <c:pt idx="50">
                  <c:v>1.0799999999999998</c:v>
                </c:pt>
                <c:pt idx="51">
                  <c:v>1.1015999999999999</c:v>
                </c:pt>
                <c:pt idx="52">
                  <c:v>1.1232</c:v>
                </c:pt>
                <c:pt idx="53">
                  <c:v>1.1447999999999998</c:v>
                </c:pt>
                <c:pt idx="54">
                  <c:v>1.1663999999999999</c:v>
                </c:pt>
                <c:pt idx="55">
                  <c:v>1.1879999999999999</c:v>
                </c:pt>
                <c:pt idx="56">
                  <c:v>1.2095999999999998</c:v>
                </c:pt>
                <c:pt idx="57">
                  <c:v>1.2311999999999999</c:v>
                </c:pt>
                <c:pt idx="58">
                  <c:v>1.2527999999999997</c:v>
                </c:pt>
                <c:pt idx="59">
                  <c:v>1.2744</c:v>
                </c:pt>
                <c:pt idx="60">
                  <c:v>1.2959999999999996</c:v>
                </c:pt>
                <c:pt idx="61">
                  <c:v>1.3175999999999999</c:v>
                </c:pt>
                <c:pt idx="62">
                  <c:v>1.3392000000000002</c:v>
                </c:pt>
                <c:pt idx="63">
                  <c:v>1.3607999999999998</c:v>
                </c:pt>
                <c:pt idx="64">
                  <c:v>1.3824000000000001</c:v>
                </c:pt>
                <c:pt idx="65">
                  <c:v>1.4040000000000001</c:v>
                </c:pt>
                <c:pt idx="66">
                  <c:v>1.4256</c:v>
                </c:pt>
                <c:pt idx="67">
                  <c:v>1.4472</c:v>
                </c:pt>
                <c:pt idx="68">
                  <c:v>1.4687999999999999</c:v>
                </c:pt>
                <c:pt idx="69">
                  <c:v>1.4904000000000002</c:v>
                </c:pt>
                <c:pt idx="70">
                  <c:v>1.5119999999999998</c:v>
                </c:pt>
                <c:pt idx="71">
                  <c:v>1.5335999999999999</c:v>
                </c:pt>
                <c:pt idx="72">
                  <c:v>1.5551999999999999</c:v>
                </c:pt>
                <c:pt idx="73">
                  <c:v>1.5768</c:v>
                </c:pt>
                <c:pt idx="74">
                  <c:v>1.5984</c:v>
                </c:pt>
                <c:pt idx="75">
                  <c:v>1.6199999999999999</c:v>
                </c:pt>
                <c:pt idx="76">
                  <c:v>1.6415999999999999</c:v>
                </c:pt>
                <c:pt idx="77">
                  <c:v>1.6631999999999998</c:v>
                </c:pt>
                <c:pt idx="78">
                  <c:v>1.6847999999999999</c:v>
                </c:pt>
                <c:pt idx="79">
                  <c:v>1.7063999999999999</c:v>
                </c:pt>
                <c:pt idx="80">
                  <c:v>1.7279999999999998</c:v>
                </c:pt>
                <c:pt idx="81">
                  <c:v>1.7495999999999998</c:v>
                </c:pt>
                <c:pt idx="82">
                  <c:v>1.7711999999999997</c:v>
                </c:pt>
                <c:pt idx="83">
                  <c:v>1.7927999999999999</c:v>
                </c:pt>
                <c:pt idx="84">
                  <c:v>1.8143999999999998</c:v>
                </c:pt>
                <c:pt idx="85">
                  <c:v>1.8359999999999999</c:v>
                </c:pt>
                <c:pt idx="86">
                  <c:v>1.8575999999999997</c:v>
                </c:pt>
                <c:pt idx="87">
                  <c:v>1.8791999999999995</c:v>
                </c:pt>
                <c:pt idx="88">
                  <c:v>1.9008</c:v>
                </c:pt>
                <c:pt idx="89">
                  <c:v>1.9223999999999999</c:v>
                </c:pt>
                <c:pt idx="90">
                  <c:v>1.944</c:v>
                </c:pt>
                <c:pt idx="91">
                  <c:v>1.9655999999999998</c:v>
                </c:pt>
                <c:pt idx="92">
                  <c:v>1.9871999999999994</c:v>
                </c:pt>
                <c:pt idx="93">
                  <c:v>2.0087999999999999</c:v>
                </c:pt>
                <c:pt idx="94">
                  <c:v>2.0304000000000002</c:v>
                </c:pt>
                <c:pt idx="95">
                  <c:v>2.0519999999999996</c:v>
                </c:pt>
                <c:pt idx="96">
                  <c:v>2.0735999999999999</c:v>
                </c:pt>
                <c:pt idx="97">
                  <c:v>2.0951999999999997</c:v>
                </c:pt>
                <c:pt idx="98">
                  <c:v>2.1168</c:v>
                </c:pt>
                <c:pt idx="99">
                  <c:v>2.1383999999999999</c:v>
                </c:pt>
                <c:pt idx="100">
                  <c:v>2.1599999999999997</c:v>
                </c:pt>
              </c:numCache>
            </c:numRef>
          </c:yVal>
          <c:smooth val="0"/>
          <c:extLst>
            <c:ext xmlns:c16="http://schemas.microsoft.com/office/drawing/2014/chart" uri="{C3380CC4-5D6E-409C-BE32-E72D297353CC}">
              <c16:uniqueId val="{00000000-DE97-44C0-9E09-4F57490C830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56046611093765375"/>
          <c:y val="1.0080645161290322E-2"/>
          <c:w val="0.41405632280755778"/>
          <c:h val="0.13942069083982347"/>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'Efficiency Calculations'!$AV$9:$AV$109</c:f>
              <c:numCache>
                <c:formatCode>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D0AF-458B-AAD9-F9E223A07CD7}"/>
            </c:ext>
          </c:extLst>
        </c:ser>
        <c:dLbls>
          <c:showLegendKey val="0"/>
          <c:showVal val="0"/>
          <c:showCatName val="0"/>
          <c:showSerName val="0"/>
          <c:showPercent val="0"/>
          <c:showBubbleSize val="0"/>
        </c:dLbls>
        <c:axId val="196665344"/>
        <c:axId val="196667264"/>
      </c:scatterChart>
      <c:valAx>
        <c:axId val="196665344"/>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7264"/>
        <c:crosses val="autoZero"/>
        <c:crossBetween val="midCat"/>
      </c:valAx>
      <c:valAx>
        <c:axId val="196667264"/>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53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'Efficiency Calculations'!$BC$9:$BC$109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CD56-4A2A-9FDC-2F5EB8C6A064}"/>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'Efficiency Calculations'!$BD$9:$BD$109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1-CD56-4A2A-9FDC-2F5EB8C6A064}"/>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'Efficiency Calculations'!$U$9:$U$109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2-CD56-4A2A-9FDC-2F5EB8C6A06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'Ch2 Efficiency Calculations'!$AW$8</c:f>
              <c:strCache>
                <c:ptCount val="1"/>
                <c:pt idx="0">
                  <c:v>Buck ''CONTROL'' MOSFET Temp Rise</c:v>
                </c:pt>
              </c:strCache>
            </c:strRef>
          </c:tx>
          <c:spPr>
            <a:ln w="31750">
              <a:solidFill>
                <a:srgbClr val="000080"/>
              </a:solidFill>
              <a:prstDash val="dash"/>
            </a:ln>
          </c:spPr>
          <c:marker>
            <c:symbol val="none"/>
          </c:marker>
          <c:xVal>
            <c:numRef>
              <c:f>'Ch2 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'Ch2 Efficiency Calculations'!$AW$9:$AW$109</c:f>
              <c:numCache>
                <c:formatCode>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F506-44FF-8C40-0061493B9501}"/>
            </c:ext>
          </c:extLst>
        </c:ser>
        <c:ser>
          <c:idx val="1"/>
          <c:order val="1"/>
          <c:tx>
            <c:strRef>
              <c:f>'Ch2 Efficiency Calculations'!$AX$8</c:f>
              <c:strCache>
                <c:ptCount val="1"/>
                <c:pt idx="0">
                  <c:v>Buck ''SYNC'' MOSFET Temp Rise</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'Ch2 Efficiency Calculations'!$AX$9:$AX$109</c:f>
              <c:numCache>
                <c:formatCode>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1-F506-44FF-8C40-0061493B9501}"/>
            </c:ext>
          </c:extLst>
        </c:ser>
        <c:dLbls>
          <c:showLegendKey val="0"/>
          <c:showVal val="0"/>
          <c:showCatName val="0"/>
          <c:showSerName val="0"/>
          <c:showPercent val="0"/>
          <c:showBubbleSize val="0"/>
        </c:dLbls>
        <c:axId val="152240896"/>
        <c:axId val="152242816"/>
      </c:scatterChart>
      <c:valAx>
        <c:axId val="15224089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2816"/>
        <c:crosses val="autoZero"/>
        <c:crossBetween val="midCat"/>
      </c:valAx>
      <c:valAx>
        <c:axId val="15224281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089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'Ch2 Efficiency Calculations'!$BC$8</c:f>
              <c:strCache>
                <c:ptCount val="1"/>
                <c:pt idx="0">
                  <c:v>Control MOSFET Loss</c:v>
                </c:pt>
              </c:strCache>
            </c:strRef>
          </c:tx>
          <c:spPr>
            <a:ln w="25400">
              <a:solidFill>
                <a:srgbClr val="000080"/>
              </a:solidFill>
              <a:prstDash val="dash"/>
            </a:ln>
          </c:spPr>
          <c:marker>
            <c:symbol val="none"/>
          </c:marker>
          <c:xVal>
            <c:numRef>
              <c:f>'Ch2 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'Ch2 Efficiency Calculations'!$BC$9:$BC$109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43BE-4445-8235-AC1A889A3262}"/>
            </c:ext>
          </c:extLst>
        </c:ser>
        <c:ser>
          <c:idx val="3"/>
          <c:order val="1"/>
          <c:tx>
            <c:strRef>
              <c:f>'Ch2 Efficiency Calculations'!$BD$8</c:f>
              <c:strCache>
                <c:ptCount val="1"/>
                <c:pt idx="0">
                  <c:v>SYNC MOSFET Loss</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'Ch2 Efficiency Calculations'!$BD$9:$BD$109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1-43BE-4445-8235-AC1A889A3262}"/>
            </c:ext>
          </c:extLst>
        </c:ser>
        <c:ser>
          <c:idx val="0"/>
          <c:order val="2"/>
          <c:tx>
            <c:v>Inductor Loss</c:v>
          </c:tx>
          <c:spPr>
            <a:ln w="31750">
              <a:solidFill>
                <a:srgbClr val="FF6600"/>
              </a:solidFill>
              <a:prstDash val="lgDash"/>
            </a:ln>
          </c:spPr>
          <c:marker>
            <c:symbol val="none"/>
          </c:marker>
          <c:xVal>
            <c:numRef>
              <c:f>'Ch2 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'Ch2 Efficiency Calculations'!$U$9:$U$109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2-43BE-4445-8235-AC1A889A3262}"/>
            </c:ext>
          </c:extLst>
        </c:ser>
        <c:dLbls>
          <c:showLegendKey val="0"/>
          <c:showVal val="0"/>
          <c:showCatName val="0"/>
          <c:showSerName val="0"/>
          <c:showPercent val="0"/>
          <c:showBubbleSize val="0"/>
        </c:dLbls>
        <c:axId val="152298240"/>
        <c:axId val="152300160"/>
      </c:scatterChart>
      <c:valAx>
        <c:axId val="15229824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300160"/>
        <c:crosses val="autoZero"/>
        <c:crossBetween val="midCat"/>
      </c:valAx>
      <c:valAx>
        <c:axId val="15230016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29824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'Ch2 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xVal>
          <c:yVal>
            <c:numRef>
              <c:f>'Ch2 Efficiency Calculations'!$AV$9:$AV$109</c:f>
              <c:numCache>
                <c:formatCode>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D9E8-45F2-A795-7D30E126B9E6}"/>
            </c:ext>
          </c:extLst>
        </c:ser>
        <c:dLbls>
          <c:showLegendKey val="0"/>
          <c:showVal val="0"/>
          <c:showCatName val="0"/>
          <c:showSerName val="0"/>
          <c:showPercent val="0"/>
          <c:showBubbleSize val="0"/>
        </c:dLbls>
        <c:axId val="196013056"/>
        <c:axId val="196195456"/>
      </c:scatterChart>
      <c:valAx>
        <c:axId val="1960130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195456"/>
        <c:crosses val="autoZero"/>
        <c:crossBetween val="midCat"/>
      </c:valAx>
      <c:valAx>
        <c:axId val="1961954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0130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cat>
          <c:val>
            <c:numRef>
              <c:f>'Efficiency Calculations'!$AZ$9:$AZ$109</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C1B6-475C-810B-3C43E5BC6454}"/>
            </c:ext>
          </c:extLst>
        </c:ser>
        <c:dLbls>
          <c:showLegendKey val="0"/>
          <c:showVal val="0"/>
          <c:showCatName val="0"/>
          <c:showSerName val="0"/>
          <c:showPercent val="0"/>
          <c:showBubbleSize val="0"/>
        </c:dLbls>
        <c:marker val="1"/>
        <c:smooth val="0"/>
        <c:axId val="201996160"/>
        <c:axId val="202006528"/>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cat>
          <c:val>
            <c:numRef>
              <c:f>'Efficiency Calculations'!$BC$9:$BC$109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1-C1B6-475C-810B-3C43E5BC6454}"/>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cat>
          <c:val>
            <c:numRef>
              <c:f>'Efficiency Calculations'!$BA$9:$BA$109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2-C1B6-475C-810B-3C43E5BC6454}"/>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cat>
          <c:val>
            <c:numRef>
              <c:f>'Efficiency Calculations'!$BD$9:$BD$109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C1B6-475C-810B-3C43E5BC6454}"/>
            </c:ext>
          </c:extLst>
        </c:ser>
        <c:dLbls>
          <c:showLegendKey val="0"/>
          <c:showVal val="0"/>
          <c:showCatName val="0"/>
          <c:showSerName val="0"/>
          <c:showPercent val="0"/>
          <c:showBubbleSize val="0"/>
        </c:dLbls>
        <c:marker val="1"/>
        <c:smooth val="0"/>
        <c:axId val="202010624"/>
        <c:axId val="202008448"/>
      </c:lineChart>
      <c:catAx>
        <c:axId val="20199616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02006528"/>
        <c:crosses val="autoZero"/>
        <c:auto val="1"/>
        <c:lblAlgn val="ctr"/>
        <c:lblOffset val="100"/>
        <c:tickLblSkip val="20"/>
        <c:tickMarkSkip val="20"/>
        <c:noMultiLvlLbl val="1"/>
      </c:catAx>
      <c:valAx>
        <c:axId val="2020065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01996160"/>
        <c:crosses val="autoZero"/>
        <c:crossBetween val="between"/>
        <c:majorUnit val="5"/>
        <c:minorUnit val="2.5"/>
      </c:valAx>
      <c:valAx>
        <c:axId val="20200844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02010624"/>
        <c:crosses val="max"/>
        <c:crossBetween val="between"/>
      </c:valAx>
      <c:catAx>
        <c:axId val="202010624"/>
        <c:scaling>
          <c:orientation val="minMax"/>
        </c:scaling>
        <c:delete val="1"/>
        <c:axPos val="b"/>
        <c:numFmt formatCode="0.000" sourceLinked="1"/>
        <c:majorTickMark val="out"/>
        <c:minorTickMark val="none"/>
        <c:tickLblPos val="nextTo"/>
        <c:crossAx val="202008448"/>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'Ch2 Efficiency Calculations'!$J$9:$J$109</c:f>
              <c:numCache>
                <c:formatCode>0.000</c:formatCode>
                <c:ptCount val="101"/>
                <c:pt idx="0" formatCode="General">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cat>
          <c:val>
            <c:numRef>
              <c:f>'Ch2 Efficiency Calculations'!$AZ$9:$AZ$109</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BBE1-43E5-BAF3-C6A1FB34B6E7}"/>
            </c:ext>
          </c:extLst>
        </c:ser>
        <c:dLbls>
          <c:showLegendKey val="0"/>
          <c:showVal val="0"/>
          <c:showCatName val="0"/>
          <c:showSerName val="0"/>
          <c:showPercent val="0"/>
          <c:showBubbleSize val="0"/>
        </c:dLbls>
        <c:marker val="1"/>
        <c:smooth val="0"/>
        <c:axId val="220216704"/>
        <c:axId val="220227072"/>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cat>
          <c:val>
            <c:numRef>
              <c:f>'Ch2 Efficiency Calculations'!$BC$9:$BC$109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1-BBE1-43E5-BAF3-C6A1FB34B6E7}"/>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cat>
          <c:val>
            <c:numRef>
              <c:f>'Ch2 Efficiency Calculations'!$BA$9:$BA$109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2-BBE1-43E5-BAF3-C6A1FB34B6E7}"/>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numCache>
            </c:numRef>
          </c:cat>
          <c:val>
            <c:numRef>
              <c:f>'Ch2 Efficiency Calculations'!$BD$9:$BD$109</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BE1-43E5-BAF3-C6A1FB34B6E7}"/>
            </c:ext>
          </c:extLst>
        </c:ser>
        <c:dLbls>
          <c:showLegendKey val="0"/>
          <c:showVal val="0"/>
          <c:showCatName val="0"/>
          <c:showSerName val="0"/>
          <c:showPercent val="0"/>
          <c:showBubbleSize val="0"/>
        </c:dLbls>
        <c:marker val="1"/>
        <c:smooth val="0"/>
        <c:axId val="220239360"/>
        <c:axId val="220228992"/>
      </c:lineChart>
      <c:catAx>
        <c:axId val="2202167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20227072"/>
        <c:crosses val="autoZero"/>
        <c:auto val="1"/>
        <c:lblAlgn val="ctr"/>
        <c:lblOffset val="100"/>
        <c:tickLblSkip val="20"/>
        <c:tickMarkSkip val="20"/>
        <c:noMultiLvlLbl val="1"/>
      </c:catAx>
      <c:valAx>
        <c:axId val="2202270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20216704"/>
        <c:crosses val="autoZero"/>
        <c:crossBetween val="between"/>
        <c:majorUnit val="5"/>
        <c:minorUnit val="2.5"/>
      </c:valAx>
      <c:valAx>
        <c:axId val="220228992"/>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20239360"/>
        <c:crosses val="max"/>
        <c:crossBetween val="between"/>
      </c:valAx>
      <c:catAx>
        <c:axId val="220239360"/>
        <c:scaling>
          <c:orientation val="minMax"/>
        </c:scaling>
        <c:delete val="1"/>
        <c:axPos val="b"/>
        <c:numFmt formatCode="0.000" sourceLinked="1"/>
        <c:majorTickMark val="out"/>
        <c:minorTickMark val="none"/>
        <c:tickLblPos val="nextTo"/>
        <c:crossAx val="220228992"/>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max="100" min="5" page="10" val="6"/>
</file>

<file path=xl/ctrlProps/ctrlProp5.xml><?xml version="1.0" encoding="utf-8"?>
<formControlPr xmlns="http://schemas.microsoft.com/office/spreadsheetml/2009/9/main" objectType="Spin" dx="16" fmlaLink="$E$8" max="58" page="10" val="58"/>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Drop" dropLines="2" dropStyle="combo" dx="16" fmlaLink="'Variable Management'!$O$10" fmlaRange="'Variable Management'!$N$8:$N$9" noThreeD="1" sel="2" val="0"/>
</file>

<file path=xl/ctrlProps/ctrlProp8.xml><?xml version="1.0" encoding="utf-8"?>
<formControlPr xmlns="http://schemas.microsoft.com/office/spreadsheetml/2009/9/main" objectType="Drop" dropLines="5" dropStyle="combo" dx="16" fmlaLink="'Variable Management'!$U$12" fmlaRange="'Variable Management'!$T$8:$T$11" noThreeD="1" sel="1" val="0"/>
</file>

<file path=xl/ctrlProps/ctrlProp9.xml><?xml version="1.0" encoding="utf-8"?>
<formControlPr xmlns="http://schemas.microsoft.com/office/spreadsheetml/2009/9/main" objectType="Drop" dropLines="2" dropStyle="combo" dx="16" fmlaLink="'Variable Management'!$X$10" fmlaRange="'Variable Management'!$W$8:$W$9" noThreeD="1" sel="1" val="0"/>
</file>

<file path=xl/ctrlProps/ctrlProp10.xml><?xml version="1.0" encoding="utf-8"?>
<formControlPr xmlns="http://schemas.microsoft.com/office/spreadsheetml/2009/9/main" objectType="Spin" dx="16" fmlaLink="$J$63" max="100" min="5" page="10" val="6"/>
</file>

<file path=xl/ctrlProps/ctrlProp11.xml><?xml version="1.0" encoding="utf-8"?>
<formControlPr xmlns="http://schemas.microsoft.com/office/spreadsheetml/2009/9/main" objectType="Drop" dropLines="2" dropStyle="combo" dx="16" fmlaLink="'Variable Management'!$AA$10" fmlaRange="'Variable Management'!$Z$8:$Z$9" noThreeD="1" sel="1" val="0"/>
</file>

<file path=xl/ctrlProps/ctrlProp12.xml><?xml version="1.0" encoding="utf-8"?>
<formControlPr xmlns="http://schemas.microsoft.com/office/spreadsheetml/2009/9/main" objectType="Drop" dropLines="2" dropStyle="combo" dx="16" fmlaLink="'Variable Management'!$X$15" fmlaRange="'Variable Management'!$W$13:$W$14" noThreeD="1" sel="1" val="0"/>
</file>

<file path=xl/ctrlProps/ctrlProp13.xml><?xml version="1.0" encoding="utf-8"?>
<formControlPr xmlns="http://schemas.microsoft.com/office/spreadsheetml/2009/9/main" objectType="Drop" dropLines="5" dropStyle="combo" dx="16" fmlaLink="'Variable Management'!$Y$25" fmlaRange="'Variable Management'!$X$20:$X$24" noThreeD="1" sel="1" val="0"/>
</file>

<file path=xl/ctrlProps/ctrlProp14.xml><?xml version="1.0" encoding="utf-8"?>
<formControlPr xmlns="http://schemas.microsoft.com/office/spreadsheetml/2009/9/main" objectType="Drop" dropLines="2" dropStyle="combo" dx="16" fmlaLink="'Variable Management'!$AA$17" fmlaRange="'Variable Management'!$Z$15:$Z$1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automotive" TargetMode="External"/><Relationship Id="rId5" Type="http://schemas.openxmlformats.org/officeDocument/2006/relationships/image" Target="../media/image4.png"/><Relationship Id="rId4" Type="http://schemas.openxmlformats.org/officeDocument/2006/relationships/hyperlink" Target="http://www.ti.com/widevin"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11.emf"/></Relationships>
</file>

<file path=xl/drawings/_rels/drawing3.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jpg"/></Relationships>
</file>

<file path=xl/drawings/_rels/drawing4.xml.rels><?xml version="1.0" encoding="UTF-8" standalone="yes"?>
<Relationships xmlns="http://schemas.openxmlformats.org/package/2006/relationships"><Relationship Id="rId2" Type="http://schemas.openxmlformats.org/officeDocument/2006/relationships/image" Target="../media/image16.jpg"/><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69</xdr:row>
          <xdr:rowOff>76200</xdr:rowOff>
        </xdr:from>
        <xdr:to>
          <xdr:col>2</xdr:col>
          <xdr:colOff>895350</xdr:colOff>
          <xdr:row>71</xdr:row>
          <xdr:rowOff>133350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cs-CZ"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314325</xdr:colOff>
          <xdr:row>69</xdr:row>
          <xdr:rowOff>76200</xdr:rowOff>
        </xdr:from>
        <xdr:to>
          <xdr:col>2</xdr:col>
          <xdr:colOff>895350</xdr:colOff>
          <xdr:row>71</xdr:row>
          <xdr:rowOff>133350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cs-CZ" sz="900" b="1" i="0" u="none" strike="noStrike" baseline="0">
                  <a:solidFill>
                    <a:srgbClr val="000000"/>
                  </a:solidFill>
                  <a:latin typeface="Arial"/>
                  <a:cs typeface="Arial"/>
                </a:rPr>
                <a:t>FIX</a:t>
              </a:r>
            </a:p>
            <a:p>
              <a:pPr algn="ctr" rtl="0">
                <a:defRPr sz="1000"/>
              </a:pPr>
              <a:r>
                <a:rPr lang="cs-CZ"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4819650</xdr:colOff>
          <xdr:row>0</xdr:row>
          <xdr:rowOff>476250</xdr:rowOff>
        </xdr:from>
        <xdr:to>
          <xdr:col>16</xdr:col>
          <xdr:colOff>5200650</xdr:colOff>
          <xdr:row>1</xdr:row>
          <xdr:rowOff>133350</xdr:rowOff>
        </xdr:to>
        <xdr:sp macro="" textlink="">
          <xdr:nvSpPr>
            <xdr:cNvPr id="700372" name="Drop Down 3028" hidden="1">
              <a:extLst>
                <a:ext uri="{63B3BB69-23CF-44E3-9099-C40C66FF867C}">
                  <a14:compatExt spid="_x0000_s700372"/>
                </a:ext>
                <a:ext uri="{FF2B5EF4-FFF2-40B4-BE49-F238E27FC236}">
                  <a16:creationId xmlns:a16="http://schemas.microsoft.com/office/drawing/2014/main" id="{00000000-0008-0000-0000-0000D4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xdr:colOff>
          <xdr:row>42</xdr:row>
          <xdr:rowOff>118899</xdr:rowOff>
        </xdr:from>
        <xdr:to>
          <xdr:col>16</xdr:col>
          <xdr:colOff>5490210</xdr:colOff>
          <xdr:row>71</xdr:row>
          <xdr:rowOff>148987</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714652"/>
                </a:ext>
              </a:extLst>
            </xdr:cNvPicPr>
          </xdr:nvPicPr>
          <xdr:blipFill>
            <a:blip xmlns:r="http://schemas.openxmlformats.org/officeDocument/2006/relationships" r:embed="rId1"/>
            <a:srcRect/>
            <a:stretch>
              <a:fillRect/>
            </a:stretch>
          </xdr:blipFill>
          <xdr:spPr bwMode="auto">
            <a:xfrm>
              <a:off x="6781800" y="8472324"/>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232410</xdr:colOff>
          <xdr:row>78</xdr:row>
          <xdr:rowOff>111279</xdr:rowOff>
        </xdr:from>
        <xdr:to>
          <xdr:col>16</xdr:col>
          <xdr:colOff>5177790</xdr:colOff>
          <xdr:row>107</xdr:row>
          <xdr:rowOff>40988</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714653"/>
                </a:ext>
              </a:extLst>
            </xdr:cNvPicPr>
          </xdr:nvPicPr>
          <xdr:blipFill>
            <a:blip xmlns:r="http://schemas.openxmlformats.org/officeDocument/2006/relationships" r:embed="rId2"/>
            <a:srcRect/>
            <a:stretch>
              <a:fillRect/>
            </a:stretch>
          </xdr:blipFill>
          <xdr:spPr bwMode="auto">
            <a:xfrm>
              <a:off x="6457950" y="15301749"/>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12</xdr:col>
      <xdr:colOff>108883</xdr:colOff>
      <xdr:row>63</xdr:row>
      <xdr:rowOff>2861</xdr:rowOff>
    </xdr:from>
    <xdr:to>
      <xdr:col>15</xdr:col>
      <xdr:colOff>590549</xdr:colOff>
      <xdr:row>64</xdr:row>
      <xdr:rowOff>7620</xdr:rowOff>
    </xdr:to>
    <xdr:sp macro="" textlink="'Variable Management'!A365">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7888903" y="12141521"/>
          <a:ext cx="2356186" cy="195259"/>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6 kHz</a:t>
          </a:fld>
          <a:endParaRPr lang="en-US" sz="1100" b="1" i="0" u="none" strike="noStrike" baseline="0">
            <a:solidFill>
              <a:srgbClr val="FF0000"/>
            </a:solidFill>
            <a:latin typeface="Arial"/>
            <a:cs typeface="Arial"/>
          </a:endParaRPr>
        </a:p>
      </xdr:txBody>
    </xdr:sp>
    <xdr:clientData/>
  </xdr:twoCellAnchor>
  <xdr:twoCellAnchor>
    <xdr:from>
      <xdr:col>12</xdr:col>
      <xdr:colOff>138934</xdr:colOff>
      <xdr:row>64</xdr:row>
      <xdr:rowOff>150685</xdr:rowOff>
    </xdr:from>
    <xdr:to>
      <xdr:col>14</xdr:col>
      <xdr:colOff>354329</xdr:colOff>
      <xdr:row>65</xdr:row>
      <xdr:rowOff>165123</xdr:rowOff>
    </xdr:to>
    <xdr:sp macro="" textlink="'Variable Management'!A366">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7918954" y="12479845"/>
          <a:ext cx="1465075" cy="204938"/>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89°</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9525</xdr:colOff>
          <xdr:row>62</xdr:row>
          <xdr:rowOff>0</xdr:rowOff>
        </xdr:from>
        <xdr:to>
          <xdr:col>5</xdr:col>
          <xdr:colOff>180975</xdr:colOff>
          <xdr:row>62</xdr:row>
          <xdr:rowOff>180975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123825</xdr:colOff>
          <xdr:row>7</xdr:row>
          <xdr:rowOff>9525</xdr:rowOff>
        </xdr:from>
        <xdr:to>
          <xdr:col>5</xdr:col>
          <xdr:colOff>304800</xdr:colOff>
          <xdr:row>8</xdr:row>
          <xdr:rowOff>19050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371475</xdr:colOff>
          <xdr:row>77</xdr:row>
          <xdr:rowOff>28575</xdr:rowOff>
        </xdr:from>
        <xdr:to>
          <xdr:col>13</xdr:col>
          <xdr:colOff>428625</xdr:colOff>
          <xdr:row>78</xdr:row>
          <xdr:rowOff>104775</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1</xdr:col>
          <xdr:colOff>476250</xdr:colOff>
          <xdr:row>55</xdr:row>
          <xdr:rowOff>2702</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72391</xdr:colOff>
          <xdr:row>4</xdr:row>
          <xdr:rowOff>114300</xdr:rowOff>
        </xdr:from>
        <xdr:to>
          <xdr:col>16</xdr:col>
          <xdr:colOff>5907543</xdr:colOff>
          <xdr:row>32</xdr:row>
          <xdr:rowOff>148590</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714654"/>
                </a:ext>
              </a:extLst>
            </xdr:cNvPicPr>
          </xdr:nvPicPr>
          <xdr:blipFill>
            <a:blip xmlns:r="http://schemas.openxmlformats.org/officeDocument/2006/relationships" r:embed="rId3"/>
            <a:srcRect/>
            <a:stretch>
              <a:fillRect/>
            </a:stretch>
          </xdr:blipFill>
          <xdr:spPr bwMode="auto">
            <a:xfrm>
              <a:off x="6781801" y="1257300"/>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oneCell">
    <xdr:from>
      <xdr:col>16</xdr:col>
      <xdr:colOff>3638551</xdr:colOff>
      <xdr:row>35</xdr:row>
      <xdr:rowOff>114300</xdr:rowOff>
    </xdr:from>
    <xdr:to>
      <xdr:col>16</xdr:col>
      <xdr:colOff>5900871</xdr:colOff>
      <xdr:row>43</xdr:row>
      <xdr:rowOff>111023</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696951" y="7086600"/>
          <a:ext cx="2258510" cy="1427378"/>
        </a:xfrm>
        <a:prstGeom prst="rect">
          <a:avLst/>
        </a:prstGeom>
      </xdr:spPr>
    </xdr:pic>
    <xdr:clientData/>
  </xdr:twoCellAnchor>
  <xdr:twoCellAnchor editAs="oneCell">
    <xdr:from>
      <xdr:col>16</xdr:col>
      <xdr:colOff>4082415</xdr:colOff>
      <xdr:row>0</xdr:row>
      <xdr:rowOff>0</xdr:rowOff>
    </xdr:from>
    <xdr:to>
      <xdr:col>17</xdr:col>
      <xdr:colOff>3810</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140815" y="0"/>
          <a:ext cx="1859280" cy="1162050"/>
        </a:xfrm>
        <a:prstGeom prst="rect">
          <a:avLst/>
        </a:prstGeom>
      </xdr:spPr>
    </xdr:pic>
    <xdr:clientData/>
  </xdr:twoCellAnchor>
  <xdr:twoCellAnchor editAs="oneCell">
    <xdr:from>
      <xdr:col>0</xdr:col>
      <xdr:colOff>9525</xdr:colOff>
      <xdr:row>0</xdr:row>
      <xdr:rowOff>9525</xdr:rowOff>
    </xdr:from>
    <xdr:to>
      <xdr:col>3</xdr:col>
      <xdr:colOff>148590</xdr:colOff>
      <xdr:row>1</xdr:row>
      <xdr:rowOff>1558</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514350</xdr:colOff>
          <xdr:row>5</xdr:row>
          <xdr:rowOff>9525</xdr:rowOff>
        </xdr:from>
        <xdr:to>
          <xdr:col>5</xdr:col>
          <xdr:colOff>95250</xdr:colOff>
          <xdr:row>6</xdr:row>
          <xdr:rowOff>9525</xdr:rowOff>
        </xdr:to>
        <xdr:sp macro="" textlink="">
          <xdr:nvSpPr>
            <xdr:cNvPr id="685346" name="Drop Down 1314" hidden="1">
              <a:extLst>
                <a:ext uri="{63B3BB69-23CF-44E3-9099-C40C66FF867C}">
                  <a14:compatExt spid="_x0000_s685346"/>
                </a:ext>
                <a:ext uri="{FF2B5EF4-FFF2-40B4-BE49-F238E27FC236}">
                  <a16:creationId xmlns:a16="http://schemas.microsoft.com/office/drawing/2014/main" id="{00000000-0008-0000-0000-00002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56</xdr:row>
          <xdr:rowOff>0</xdr:rowOff>
        </xdr:from>
        <xdr:to>
          <xdr:col>1</xdr:col>
          <xdr:colOff>76200</xdr:colOff>
          <xdr:row>56</xdr:row>
          <xdr:rowOff>180975</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62</xdr:row>
          <xdr:rowOff>0</xdr:rowOff>
        </xdr:from>
        <xdr:to>
          <xdr:col>10</xdr:col>
          <xdr:colOff>180975</xdr:colOff>
          <xdr:row>62</xdr:row>
          <xdr:rowOff>180975</xdr:rowOff>
        </xdr:to>
        <xdr:sp macro="" textlink="">
          <xdr:nvSpPr>
            <xdr:cNvPr id="685525" name="Spinner 1493" hidden="1">
              <a:extLst>
                <a:ext uri="{63B3BB69-23CF-44E3-9099-C40C66FF867C}">
                  <a14:compatExt spid="_x0000_s685525"/>
                </a:ext>
                <a:ext uri="{FF2B5EF4-FFF2-40B4-BE49-F238E27FC236}">
                  <a16:creationId xmlns:a16="http://schemas.microsoft.com/office/drawing/2014/main" id="{00000000-0008-0000-0000-0000D57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xdr:colOff>
          <xdr:row>41</xdr:row>
          <xdr:rowOff>76200</xdr:rowOff>
        </xdr:from>
        <xdr:to>
          <xdr:col>12</xdr:col>
          <xdr:colOff>333375</xdr:colOff>
          <xdr:row>43</xdr:row>
          <xdr:rowOff>7098</xdr:rowOff>
        </xdr:to>
        <xdr:sp macro="" textlink="">
          <xdr:nvSpPr>
            <xdr:cNvPr id="685729" name="Drop Down 1697" hidden="1">
              <a:extLst>
                <a:ext uri="{63B3BB69-23CF-44E3-9099-C40C66FF867C}">
                  <a14:compatExt spid="_x0000_s685729"/>
                </a:ext>
                <a:ext uri="{FF2B5EF4-FFF2-40B4-BE49-F238E27FC236}">
                  <a16:creationId xmlns:a16="http://schemas.microsoft.com/office/drawing/2014/main" id="{00000000-0008-0000-0000-0000A1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3310890</xdr:colOff>
      <xdr:row>82</xdr:row>
      <xdr:rowOff>31269</xdr:rowOff>
    </xdr:from>
    <xdr:to>
      <xdr:col>16</xdr:col>
      <xdr:colOff>3732833</xdr:colOff>
      <xdr:row>83</xdr:row>
      <xdr:rowOff>78894</xdr:rowOff>
    </xdr:to>
    <xdr:sp macro="" textlink="'Variable Management'!$B$36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658850" y="1590372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#HODNOTA!</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16</xdr:col>
      <xdr:colOff>428625</xdr:colOff>
      <xdr:row>82</xdr:row>
      <xdr:rowOff>14124</xdr:rowOff>
    </xdr:from>
    <xdr:to>
      <xdr:col>16</xdr:col>
      <xdr:colOff>850568</xdr:colOff>
      <xdr:row>83</xdr:row>
      <xdr:rowOff>61749</xdr:rowOff>
    </xdr:to>
    <xdr:sp macro="" textlink="'Variable Management'!$B$36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10487025" y="15997074"/>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#HODNOTA!</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102</xdr:row>
          <xdr:rowOff>0</xdr:rowOff>
        </xdr:from>
        <xdr:to>
          <xdr:col>2</xdr:col>
          <xdr:colOff>9525</xdr:colOff>
          <xdr:row>103</xdr:row>
          <xdr:rowOff>4155</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42832</xdr:colOff>
      <xdr:row>13</xdr:row>
      <xdr:rowOff>187081</xdr:rowOff>
    </xdr:from>
    <xdr:to>
      <xdr:col>12</xdr:col>
      <xdr:colOff>422364</xdr:colOff>
      <xdr:row>14</xdr:row>
      <xdr:rowOff>185951</xdr:rowOff>
    </xdr:to>
    <xdr:sp macro="" textlink="">
      <xdr:nvSpPr>
        <xdr:cNvPr id="25" name="Text Box 228">
          <a:extLst>
            <a:ext uri="{FF2B5EF4-FFF2-40B4-BE49-F238E27FC236}">
              <a16:creationId xmlns:a16="http://schemas.microsoft.com/office/drawing/2014/main" id="{00000000-0008-0000-0000-000019000000}"/>
            </a:ext>
          </a:extLst>
        </xdr:cNvPr>
        <xdr:cNvSpPr txBox="1">
          <a:spLocks noChangeArrowheads="1"/>
        </xdr:cNvSpPr>
      </xdr:nvSpPr>
      <xdr:spPr bwMode="auto">
        <a:xfrm>
          <a:off x="7603301" y="3009577"/>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16</xdr:col>
      <xdr:colOff>1752817</xdr:colOff>
      <xdr:row>30</xdr:row>
      <xdr:rowOff>73084</xdr:rowOff>
    </xdr:from>
    <xdr:to>
      <xdr:col>16</xdr:col>
      <xdr:colOff>2134593</xdr:colOff>
      <xdr:row>31</xdr:row>
      <xdr:rowOff>149137</xdr:rowOff>
    </xdr:to>
    <xdr:sp macro="" textlink="">
      <xdr:nvSpPr>
        <xdr:cNvPr id="26" name="Text Box 233">
          <a:extLst>
            <a:ext uri="{FF2B5EF4-FFF2-40B4-BE49-F238E27FC236}">
              <a16:creationId xmlns:a16="http://schemas.microsoft.com/office/drawing/2014/main" id="{00000000-0008-0000-0000-00001A000000}"/>
            </a:ext>
          </a:extLst>
        </xdr:cNvPr>
        <xdr:cNvSpPr txBox="1">
          <a:spLocks noChangeArrowheads="1"/>
        </xdr:cNvSpPr>
      </xdr:nvSpPr>
      <xdr:spPr bwMode="auto">
        <a:xfrm>
          <a:off x="11806022" y="6193329"/>
          <a:ext cx="381776" cy="25304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12</xdr:col>
      <xdr:colOff>262686</xdr:colOff>
      <xdr:row>10</xdr:row>
      <xdr:rowOff>72746</xdr:rowOff>
    </xdr:from>
    <xdr:to>
      <xdr:col>12</xdr:col>
      <xdr:colOff>497022</xdr:colOff>
      <xdr:row>11</xdr:row>
      <xdr:rowOff>80682</xdr:rowOff>
    </xdr:to>
    <xdr:sp macro="" textlink="">
      <xdr:nvSpPr>
        <xdr:cNvPr id="27" name="Text Box 234">
          <a:extLst>
            <a:ext uri="{FF2B5EF4-FFF2-40B4-BE49-F238E27FC236}">
              <a16:creationId xmlns:a16="http://schemas.microsoft.com/office/drawing/2014/main" id="{00000000-0008-0000-0000-00001B000000}"/>
            </a:ext>
          </a:extLst>
        </xdr:cNvPr>
        <xdr:cNvSpPr txBox="1">
          <a:spLocks noChangeArrowheads="1"/>
        </xdr:cNvSpPr>
      </xdr:nvSpPr>
      <xdr:spPr bwMode="auto">
        <a:xfrm>
          <a:off x="7792565" y="2319913"/>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13</xdr:col>
      <xdr:colOff>117883</xdr:colOff>
      <xdr:row>11</xdr:row>
      <xdr:rowOff>34093</xdr:rowOff>
    </xdr:from>
    <xdr:to>
      <xdr:col>13</xdr:col>
      <xdr:colOff>458914</xdr:colOff>
      <xdr:row>12</xdr:row>
      <xdr:rowOff>117195</xdr:rowOff>
    </xdr:to>
    <xdr:sp macro="" textlink="">
      <xdr:nvSpPr>
        <xdr:cNvPr id="28" name="Text Box 235">
          <a:extLst>
            <a:ext uri="{FF2B5EF4-FFF2-40B4-BE49-F238E27FC236}">
              <a16:creationId xmlns:a16="http://schemas.microsoft.com/office/drawing/2014/main" id="{00000000-0008-0000-0000-00001C000000}"/>
            </a:ext>
          </a:extLst>
        </xdr:cNvPr>
        <xdr:cNvSpPr txBox="1">
          <a:spLocks noChangeArrowheads="1"/>
        </xdr:cNvSpPr>
      </xdr:nvSpPr>
      <xdr:spPr bwMode="auto">
        <a:xfrm>
          <a:off x="8269231" y="2471467"/>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13</xdr:col>
      <xdr:colOff>35233</xdr:colOff>
      <xdr:row>6</xdr:row>
      <xdr:rowOff>72153</xdr:rowOff>
    </xdr:from>
    <xdr:to>
      <xdr:col>13</xdr:col>
      <xdr:colOff>346839</xdr:colOff>
      <xdr:row>7</xdr:row>
      <xdr:rowOff>109804</xdr:rowOff>
    </xdr:to>
    <xdr:sp macro="" textlink="">
      <xdr:nvSpPr>
        <xdr:cNvPr id="29" name="Text Box 244">
          <a:extLst>
            <a:ext uri="{FF2B5EF4-FFF2-40B4-BE49-F238E27FC236}">
              <a16:creationId xmlns:a16="http://schemas.microsoft.com/office/drawing/2014/main" id="{00000000-0008-0000-0000-00001D000000}"/>
            </a:ext>
          </a:extLst>
        </xdr:cNvPr>
        <xdr:cNvSpPr txBox="1">
          <a:spLocks noChangeArrowheads="1"/>
        </xdr:cNvSpPr>
      </xdr:nvSpPr>
      <xdr:spPr bwMode="auto">
        <a:xfrm>
          <a:off x="8186728" y="1645683"/>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16</xdr:col>
      <xdr:colOff>2442684</xdr:colOff>
      <xdr:row>6</xdr:row>
      <xdr:rowOff>80340</xdr:rowOff>
    </xdr:from>
    <xdr:to>
      <xdr:col>16</xdr:col>
      <xdr:colOff>2856651</xdr:colOff>
      <xdr:row>7</xdr:row>
      <xdr:rowOff>156249</xdr:rowOff>
    </xdr:to>
    <xdr:sp macro="" textlink="">
      <xdr:nvSpPr>
        <xdr:cNvPr id="30" name="Text Box 248">
          <a:extLst>
            <a:ext uri="{FF2B5EF4-FFF2-40B4-BE49-F238E27FC236}">
              <a16:creationId xmlns:a16="http://schemas.microsoft.com/office/drawing/2014/main" id="{00000000-0008-0000-0000-00001E000000}"/>
            </a:ext>
          </a:extLst>
        </xdr:cNvPr>
        <xdr:cNvSpPr txBox="1">
          <a:spLocks noChangeArrowheads="1"/>
        </xdr:cNvSpPr>
      </xdr:nvSpPr>
      <xdr:spPr bwMode="auto">
        <a:xfrm>
          <a:off x="12484379" y="1668670"/>
          <a:ext cx="410157"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16</xdr:col>
      <xdr:colOff>3350540</xdr:colOff>
      <xdr:row>6</xdr:row>
      <xdr:rowOff>111235</xdr:rowOff>
    </xdr:from>
    <xdr:to>
      <xdr:col>16</xdr:col>
      <xdr:colOff>3730359</xdr:colOff>
      <xdr:row>8</xdr:row>
      <xdr:rowOff>2487</xdr:rowOff>
    </xdr:to>
    <xdr:sp macro="" textlink="">
      <xdr:nvSpPr>
        <xdr:cNvPr id="31" name="Text Box 249">
          <a:extLst>
            <a:ext uri="{FF2B5EF4-FFF2-40B4-BE49-F238E27FC236}">
              <a16:creationId xmlns:a16="http://schemas.microsoft.com/office/drawing/2014/main" id="{00000000-0008-0000-0000-00001F000000}"/>
            </a:ext>
          </a:extLst>
        </xdr:cNvPr>
        <xdr:cNvSpPr txBox="1">
          <a:spLocks noChangeArrowheads="1"/>
        </xdr:cNvSpPr>
      </xdr:nvSpPr>
      <xdr:spPr bwMode="auto">
        <a:xfrm>
          <a:off x="13388425" y="1674800"/>
          <a:ext cx="376009" cy="24734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14</xdr:col>
      <xdr:colOff>453474</xdr:colOff>
      <xdr:row>28</xdr:row>
      <xdr:rowOff>42228</xdr:rowOff>
    </xdr:from>
    <xdr:to>
      <xdr:col>15</xdr:col>
      <xdr:colOff>73984</xdr:colOff>
      <xdr:row>29</xdr:row>
      <xdr:rowOff>110260</xdr:rowOff>
    </xdr:to>
    <xdr:sp macro="" textlink="">
      <xdr:nvSpPr>
        <xdr:cNvPr id="33" name="Text Box 256">
          <a:extLst>
            <a:ext uri="{FF2B5EF4-FFF2-40B4-BE49-F238E27FC236}">
              <a16:creationId xmlns:a16="http://schemas.microsoft.com/office/drawing/2014/main" id="{00000000-0008-0000-0000-000021000000}"/>
            </a:ext>
          </a:extLst>
        </xdr:cNvPr>
        <xdr:cNvSpPr txBox="1">
          <a:spLocks noChangeArrowheads="1"/>
        </xdr:cNvSpPr>
      </xdr:nvSpPr>
      <xdr:spPr bwMode="auto">
        <a:xfrm>
          <a:off x="9213140" y="5806282"/>
          <a:ext cx="242969" cy="2197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14</xdr:col>
      <xdr:colOff>148265</xdr:colOff>
      <xdr:row>24</xdr:row>
      <xdr:rowOff>36809</xdr:rowOff>
    </xdr:from>
    <xdr:to>
      <xdr:col>14</xdr:col>
      <xdr:colOff>453242</xdr:colOff>
      <xdr:row>25</xdr:row>
      <xdr:rowOff>73202</xdr:rowOff>
    </xdr:to>
    <xdr:sp macro="" textlink="">
      <xdr:nvSpPr>
        <xdr:cNvPr id="34" name="Text Box 257">
          <a:extLst>
            <a:ext uri="{FF2B5EF4-FFF2-40B4-BE49-F238E27FC236}">
              <a16:creationId xmlns:a16="http://schemas.microsoft.com/office/drawing/2014/main" id="{00000000-0008-0000-0000-000022000000}"/>
            </a:ext>
          </a:extLst>
        </xdr:cNvPr>
        <xdr:cNvSpPr txBox="1">
          <a:spLocks noChangeArrowheads="1"/>
        </xdr:cNvSpPr>
      </xdr:nvSpPr>
      <xdr:spPr bwMode="auto">
        <a:xfrm>
          <a:off x="8913646" y="4982665"/>
          <a:ext cx="314502" cy="245229"/>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568221</xdr:colOff>
      <xdr:row>24</xdr:row>
      <xdr:rowOff>79452</xdr:rowOff>
    </xdr:from>
    <xdr:to>
      <xdr:col>15</xdr:col>
      <xdr:colOff>263075</xdr:colOff>
      <xdr:row>25</xdr:row>
      <xdr:rowOff>79559</xdr:rowOff>
    </xdr:to>
    <xdr:sp macro="" textlink="">
      <xdr:nvSpPr>
        <xdr:cNvPr id="35" name="Text Box 258">
          <a:extLst>
            <a:ext uri="{FF2B5EF4-FFF2-40B4-BE49-F238E27FC236}">
              <a16:creationId xmlns:a16="http://schemas.microsoft.com/office/drawing/2014/main" id="{00000000-0008-0000-0000-000023000000}"/>
            </a:ext>
          </a:extLst>
        </xdr:cNvPr>
        <xdr:cNvSpPr txBox="1">
          <a:spLocks noChangeArrowheads="1"/>
        </xdr:cNvSpPr>
      </xdr:nvSpPr>
      <xdr:spPr bwMode="auto">
        <a:xfrm>
          <a:off x="9329792" y="5032928"/>
          <a:ext cx="307788" cy="22037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231806</xdr:colOff>
      <xdr:row>29</xdr:row>
      <xdr:rowOff>34272</xdr:rowOff>
    </xdr:from>
    <xdr:to>
      <xdr:col>15</xdr:col>
      <xdr:colOff>71463</xdr:colOff>
      <xdr:row>30</xdr:row>
      <xdr:rowOff>41627</xdr:rowOff>
    </xdr:to>
    <xdr:sp macro="" textlink="'Variable Management'!B355">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9016237" y="5967156"/>
          <a:ext cx="420206" cy="223811"/>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82pF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530283</xdr:colOff>
      <xdr:row>25</xdr:row>
      <xdr:rowOff>72930</xdr:rowOff>
    </xdr:from>
    <xdr:to>
      <xdr:col>15</xdr:col>
      <xdr:colOff>377634</xdr:colOff>
      <xdr:row>26</xdr:row>
      <xdr:rowOff>37183</xdr:rowOff>
    </xdr:to>
    <xdr:sp macro="" textlink="'Variable Management'!B353">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9293759" y="5227622"/>
          <a:ext cx="458380" cy="224524"/>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6,34kΩ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228660</xdr:colOff>
      <xdr:row>20</xdr:row>
      <xdr:rowOff>34262</xdr:rowOff>
    </xdr:from>
    <xdr:to>
      <xdr:col>15</xdr:col>
      <xdr:colOff>301040</xdr:colOff>
      <xdr:row>21</xdr:row>
      <xdr:rowOff>118094</xdr:rowOff>
    </xdr:to>
    <xdr:sp macro="" textlink="'Variable Management'!B380">
      <xdr:nvSpPr>
        <xdr:cNvPr id="38" name="Text Box 265">
          <a:extLst>
            <a:ext uri="{FF2B5EF4-FFF2-40B4-BE49-F238E27FC236}">
              <a16:creationId xmlns:a16="http://schemas.microsoft.com/office/drawing/2014/main" id="{00000000-0008-0000-0000-000026000000}"/>
            </a:ext>
          </a:extLst>
        </xdr:cNvPr>
        <xdr:cNvSpPr txBox="1">
          <a:spLocks noChangeArrowheads="1" noTextEdit="1"/>
        </xdr:cNvSpPr>
      </xdr:nvSpPr>
      <xdr:spPr bwMode="auto">
        <a:xfrm>
          <a:off x="9003566" y="4290746"/>
          <a:ext cx="679599" cy="264093"/>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36,5kΩ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11</xdr:col>
      <xdr:colOff>644401</xdr:colOff>
      <xdr:row>14</xdr:row>
      <xdr:rowOff>185995</xdr:rowOff>
    </xdr:from>
    <xdr:to>
      <xdr:col>12</xdr:col>
      <xdr:colOff>308730</xdr:colOff>
      <xdr:row>15</xdr:row>
      <xdr:rowOff>156899</xdr:rowOff>
    </xdr:to>
    <xdr:sp macro="" textlink="'Variable Management'!B345">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7365241" y="3213040"/>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42238</xdr:colOff>
      <xdr:row>13</xdr:row>
      <xdr:rowOff>72038</xdr:rowOff>
    </xdr:from>
    <xdr:to>
      <xdr:col>13</xdr:col>
      <xdr:colOff>496636</xdr:colOff>
      <xdr:row>14</xdr:row>
      <xdr:rowOff>71581</xdr:rowOff>
    </xdr:to>
    <xdr:sp macro="" textlink="'Variable Management'!B33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8197396" y="2854071"/>
          <a:ext cx="446778" cy="209825"/>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934</xdr:colOff>
      <xdr:row>7</xdr:row>
      <xdr:rowOff>76080</xdr:rowOff>
    </xdr:from>
    <xdr:to>
      <xdr:col>13</xdr:col>
      <xdr:colOff>458625</xdr:colOff>
      <xdr:row>8</xdr:row>
      <xdr:rowOff>118821</xdr:rowOff>
    </xdr:to>
    <xdr:sp macro="" textlink="'Variable Management'!B349">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8145890" y="1838205"/>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500001</xdr:colOff>
      <xdr:row>31</xdr:row>
      <xdr:rowOff>80936</xdr:rowOff>
    </xdr:from>
    <xdr:to>
      <xdr:col>16</xdr:col>
      <xdr:colOff>949074</xdr:colOff>
      <xdr:row>32</xdr:row>
      <xdr:rowOff>73213</xdr:rowOff>
    </xdr:to>
    <xdr:sp macro="" textlink="'Variable Management'!B381">
      <xdr:nvSpPr>
        <xdr:cNvPr id="42" name="Text Box 281">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10562731" y="6399128"/>
          <a:ext cx="437643" cy="237676"/>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414850</xdr:colOff>
      <xdr:row>12</xdr:row>
      <xdr:rowOff>79996</xdr:rowOff>
    </xdr:from>
    <xdr:to>
      <xdr:col>11</xdr:col>
      <xdr:colOff>385209</xdr:colOff>
      <xdr:row>13</xdr:row>
      <xdr:rowOff>156968</xdr:rowOff>
    </xdr:to>
    <xdr:sp macro="" textlink="'Variable Management'!B343">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6616944" y="2708749"/>
          <a:ext cx="483537" cy="24168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10V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10</xdr:col>
      <xdr:colOff>421835</xdr:colOff>
      <xdr:row>13</xdr:row>
      <xdr:rowOff>117471</xdr:rowOff>
    </xdr:from>
    <xdr:to>
      <xdr:col>11</xdr:col>
      <xdr:colOff>377998</xdr:colOff>
      <xdr:row>14</xdr:row>
      <xdr:rowOff>148570</xdr:rowOff>
    </xdr:to>
    <xdr:sp macro="" textlink="'Variable Management'!B386">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6627739" y="2912839"/>
          <a:ext cx="457911" cy="243286"/>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10A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14</xdr:col>
      <xdr:colOff>499564</xdr:colOff>
      <xdr:row>18</xdr:row>
      <xdr:rowOff>71593</xdr:rowOff>
    </xdr:from>
    <xdr:to>
      <xdr:col>15</xdr:col>
      <xdr:colOff>155886</xdr:colOff>
      <xdr:row>19</xdr:row>
      <xdr:rowOff>74813</xdr:rowOff>
    </xdr:to>
    <xdr:sp macro="" textlink="">
      <xdr:nvSpPr>
        <xdr:cNvPr id="45" name="Text Box 251">
          <a:extLst>
            <a:ext uri="{FF2B5EF4-FFF2-40B4-BE49-F238E27FC236}">
              <a16:creationId xmlns:a16="http://schemas.microsoft.com/office/drawing/2014/main" id="{00000000-0008-0000-0000-00002D000000}"/>
            </a:ext>
          </a:extLst>
        </xdr:cNvPr>
        <xdr:cNvSpPr txBox="1">
          <a:spLocks noChangeArrowheads="1"/>
        </xdr:cNvSpPr>
      </xdr:nvSpPr>
      <xdr:spPr bwMode="auto">
        <a:xfrm>
          <a:off x="9282090" y="3968032"/>
          <a:ext cx="263541" cy="1930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16</xdr:col>
      <xdr:colOff>3043321</xdr:colOff>
      <xdr:row>10</xdr:row>
      <xdr:rowOff>3704</xdr:rowOff>
    </xdr:from>
    <xdr:to>
      <xdr:col>16</xdr:col>
      <xdr:colOff>3502303</xdr:colOff>
      <xdr:row>11</xdr:row>
      <xdr:rowOff>34574</xdr:rowOff>
    </xdr:to>
    <xdr:sp macro="" textlink="">
      <xdr:nvSpPr>
        <xdr:cNvPr id="46" name="Text Box 247">
          <a:extLst>
            <a:ext uri="{FF2B5EF4-FFF2-40B4-BE49-F238E27FC236}">
              <a16:creationId xmlns:a16="http://schemas.microsoft.com/office/drawing/2014/main" id="{00000000-0008-0000-0000-00002E000000}"/>
            </a:ext>
          </a:extLst>
        </xdr:cNvPr>
        <xdr:cNvSpPr txBox="1">
          <a:spLocks noChangeArrowheads="1"/>
        </xdr:cNvSpPr>
      </xdr:nvSpPr>
      <xdr:spPr bwMode="auto">
        <a:xfrm>
          <a:off x="13086957" y="2295657"/>
          <a:ext cx="462792"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13</xdr:col>
      <xdr:colOff>305354</xdr:colOff>
      <xdr:row>14</xdr:row>
      <xdr:rowOff>117699</xdr:rowOff>
    </xdr:from>
    <xdr:to>
      <xdr:col>14</xdr:col>
      <xdr:colOff>33379</xdr:colOff>
      <xdr:row>15</xdr:row>
      <xdr:rowOff>147684</xdr:rowOff>
    </xdr:to>
    <xdr:sp macro="" textlink="">
      <xdr:nvSpPr>
        <xdr:cNvPr id="47" name="Text Box 244">
          <a:extLst>
            <a:ext uri="{FF2B5EF4-FFF2-40B4-BE49-F238E27FC236}">
              <a16:creationId xmlns:a16="http://schemas.microsoft.com/office/drawing/2014/main" id="{00000000-0008-0000-0000-00002F000000}"/>
            </a:ext>
          </a:extLst>
        </xdr:cNvPr>
        <xdr:cNvSpPr txBox="1">
          <a:spLocks noChangeArrowheads="1"/>
        </xdr:cNvSpPr>
      </xdr:nvSpPr>
      <xdr:spPr bwMode="auto">
        <a:xfrm>
          <a:off x="8452892" y="3129064"/>
          <a:ext cx="320920" cy="24232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13</xdr:col>
      <xdr:colOff>461218</xdr:colOff>
      <xdr:row>10</xdr:row>
      <xdr:rowOff>187181</xdr:rowOff>
    </xdr:from>
    <xdr:to>
      <xdr:col>14</xdr:col>
      <xdr:colOff>186464</xdr:colOff>
      <xdr:row>12</xdr:row>
      <xdr:rowOff>77208</xdr:rowOff>
    </xdr:to>
    <xdr:sp macro="" textlink="">
      <xdr:nvSpPr>
        <xdr:cNvPr id="48" name="Text Box 244">
          <a:extLst>
            <a:ext uri="{FF2B5EF4-FFF2-40B4-BE49-F238E27FC236}">
              <a16:creationId xmlns:a16="http://schemas.microsoft.com/office/drawing/2014/main" id="{00000000-0008-0000-0000-000030000000}"/>
            </a:ext>
          </a:extLst>
        </xdr:cNvPr>
        <xdr:cNvSpPr txBox="1">
          <a:spLocks noChangeArrowheads="1"/>
        </xdr:cNvSpPr>
      </xdr:nvSpPr>
      <xdr:spPr bwMode="auto">
        <a:xfrm>
          <a:off x="8616376" y="2436253"/>
          <a:ext cx="318141" cy="26399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12</xdr:col>
      <xdr:colOff>148033</xdr:colOff>
      <xdr:row>11</xdr:row>
      <xdr:rowOff>41597</xdr:rowOff>
    </xdr:from>
    <xdr:to>
      <xdr:col>13</xdr:col>
      <xdr:colOff>34618</xdr:colOff>
      <xdr:row>12</xdr:row>
      <xdr:rowOff>148829</xdr:rowOff>
    </xdr:to>
    <xdr:sp macro="" textlink="'Variable Management'!B34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7683627" y="2501831"/>
          <a:ext cx="479479"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3386703</xdr:colOff>
      <xdr:row>7</xdr:row>
      <xdr:rowOff>149468</xdr:rowOff>
    </xdr:from>
    <xdr:to>
      <xdr:col>16</xdr:col>
      <xdr:colOff>3814436</xdr:colOff>
      <xdr:row>9</xdr:row>
      <xdr:rowOff>37570</xdr:rowOff>
    </xdr:to>
    <xdr:sp macro="" textlink="">
      <xdr:nvSpPr>
        <xdr:cNvPr id="50" name="Text Box 279">
          <a:extLst>
            <a:ext uri="{FF2B5EF4-FFF2-40B4-BE49-F238E27FC236}">
              <a16:creationId xmlns:a16="http://schemas.microsoft.com/office/drawing/2014/main" id="{00000000-0008-0000-0000-000032000000}"/>
            </a:ext>
          </a:extLst>
        </xdr:cNvPr>
        <xdr:cNvSpPr txBox="1">
          <a:spLocks noChangeArrowheads="1"/>
        </xdr:cNvSpPr>
      </xdr:nvSpPr>
      <xdr:spPr bwMode="auto">
        <a:xfrm>
          <a:off x="13430339" y="1921594"/>
          <a:ext cx="450593" cy="23528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3805960</xdr:colOff>
      <xdr:row>14</xdr:row>
      <xdr:rowOff>80110</xdr:rowOff>
    </xdr:from>
    <xdr:to>
      <xdr:col>16</xdr:col>
      <xdr:colOff>4072217</xdr:colOff>
      <xdr:row>15</xdr:row>
      <xdr:rowOff>155947</xdr:rowOff>
    </xdr:to>
    <xdr:sp macro="" textlink="">
      <xdr:nvSpPr>
        <xdr:cNvPr id="51" name="Text Box 244">
          <a:extLst>
            <a:ext uri="{FF2B5EF4-FFF2-40B4-BE49-F238E27FC236}">
              <a16:creationId xmlns:a16="http://schemas.microsoft.com/office/drawing/2014/main" id="{00000000-0008-0000-0000-000033000000}"/>
            </a:ext>
          </a:extLst>
        </xdr:cNvPr>
        <xdr:cNvSpPr txBox="1">
          <a:spLocks noChangeArrowheads="1"/>
        </xdr:cNvSpPr>
      </xdr:nvSpPr>
      <xdr:spPr bwMode="auto">
        <a:xfrm>
          <a:off x="13830510" y="3095285"/>
          <a:ext cx="275782" cy="28817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16</xdr:col>
      <xdr:colOff>3806350</xdr:colOff>
      <xdr:row>10</xdr:row>
      <xdr:rowOff>186009</xdr:rowOff>
    </xdr:from>
    <xdr:to>
      <xdr:col>16</xdr:col>
      <xdr:colOff>4075733</xdr:colOff>
      <xdr:row>12</xdr:row>
      <xdr:rowOff>71857</xdr:rowOff>
    </xdr:to>
    <xdr:sp macro="" textlink="">
      <xdr:nvSpPr>
        <xdr:cNvPr id="52" name="Text Box 244">
          <a:extLst>
            <a:ext uri="{FF2B5EF4-FFF2-40B4-BE49-F238E27FC236}">
              <a16:creationId xmlns:a16="http://schemas.microsoft.com/office/drawing/2014/main" id="{00000000-0008-0000-0000-000034000000}"/>
            </a:ext>
          </a:extLst>
        </xdr:cNvPr>
        <xdr:cNvSpPr txBox="1">
          <a:spLocks noChangeArrowheads="1"/>
        </xdr:cNvSpPr>
      </xdr:nvSpPr>
      <xdr:spPr bwMode="auto">
        <a:xfrm>
          <a:off x="13836615" y="2427461"/>
          <a:ext cx="277003" cy="2617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14</xdr:col>
      <xdr:colOff>72303</xdr:colOff>
      <xdr:row>25</xdr:row>
      <xdr:rowOff>1677</xdr:rowOff>
    </xdr:from>
    <xdr:to>
      <xdr:col>14</xdr:col>
      <xdr:colOff>568294</xdr:colOff>
      <xdr:row>26</xdr:row>
      <xdr:rowOff>1239</xdr:rowOff>
    </xdr:to>
    <xdr:sp macro="" textlink="'Variable Management'!B354">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8825778" y="5135652"/>
          <a:ext cx="505516" cy="243402"/>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900" b="0" i="0" u="none" strike="noStrike" baseline="0">
              <a:solidFill>
                <a:srgbClr val="000000"/>
              </a:solidFill>
              <a:latin typeface="Arialri"/>
              <a:cs typeface="Arial" pitchFamily="34" charset="0"/>
            </a:rPr>
            <a:pPr algn="ctr" rtl="0">
              <a:defRPr sz="1000"/>
            </a:pPr>
            <a:t>39nF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110504</xdr:colOff>
      <xdr:row>5</xdr:row>
      <xdr:rowOff>117524</xdr:rowOff>
    </xdr:from>
    <xdr:to>
      <xdr:col>13</xdr:col>
      <xdr:colOff>492417</xdr:colOff>
      <xdr:row>7</xdr:row>
      <xdr:rowOff>3513</xdr:rowOff>
    </xdr:to>
    <xdr:sp macro="" textlink="'Variable Management'!B388">
      <xdr:nvSpPr>
        <xdr:cNvPr id="54" name="Text Box 283">
          <a:extLst>
            <a:ext uri="{FF2B5EF4-FFF2-40B4-BE49-F238E27FC236}">
              <a16:creationId xmlns:a16="http://schemas.microsoft.com/office/drawing/2014/main" id="{00000000-0008-0000-0000-000036000000}"/>
            </a:ext>
          </a:extLst>
        </xdr:cNvPr>
        <xdr:cNvSpPr txBox="1">
          <a:spLocks noChangeArrowheads="1" noTextEdit="1"/>
        </xdr:cNvSpPr>
      </xdr:nvSpPr>
      <xdr:spPr bwMode="auto">
        <a:xfrm>
          <a:off x="7644193" y="1504217"/>
          <a:ext cx="995762" cy="258051"/>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55V...65V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15</xdr:col>
      <xdr:colOff>415865</xdr:colOff>
      <xdr:row>6</xdr:row>
      <xdr:rowOff>72249</xdr:rowOff>
    </xdr:from>
    <xdr:to>
      <xdr:col>16</xdr:col>
      <xdr:colOff>147842</xdr:colOff>
      <xdr:row>7</xdr:row>
      <xdr:rowOff>148158</xdr:rowOff>
    </xdr:to>
    <xdr:sp macro="" textlink="">
      <xdr:nvSpPr>
        <xdr:cNvPr id="55" name="Text Box 248">
          <a:extLst>
            <a:ext uri="{FF2B5EF4-FFF2-40B4-BE49-F238E27FC236}">
              <a16:creationId xmlns:a16="http://schemas.microsoft.com/office/drawing/2014/main" id="{00000000-0008-0000-0000-000037000000}"/>
            </a:ext>
          </a:extLst>
        </xdr:cNvPr>
        <xdr:cNvSpPr txBox="1">
          <a:spLocks noChangeArrowheads="1"/>
        </xdr:cNvSpPr>
      </xdr:nvSpPr>
      <xdr:spPr bwMode="auto">
        <a:xfrm>
          <a:off x="9762528" y="1647244"/>
          <a:ext cx="407959"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16</xdr:col>
      <xdr:colOff>1786051</xdr:colOff>
      <xdr:row>31</xdr:row>
      <xdr:rowOff>41823</xdr:rowOff>
    </xdr:from>
    <xdr:to>
      <xdr:col>16</xdr:col>
      <xdr:colOff>2206048</xdr:colOff>
      <xdr:row>32</xdr:row>
      <xdr:rowOff>39813</xdr:rowOff>
    </xdr:to>
    <xdr:sp macro="" textlink="">
      <xdr:nvSpPr>
        <xdr:cNvPr id="56" name="Text Box 279">
          <a:extLst>
            <a:ext uri="{FF2B5EF4-FFF2-40B4-BE49-F238E27FC236}">
              <a16:creationId xmlns:a16="http://schemas.microsoft.com/office/drawing/2014/main" id="{00000000-0008-0000-0000-000038000000}"/>
            </a:ext>
          </a:extLst>
        </xdr:cNvPr>
        <xdr:cNvSpPr txBox="1">
          <a:spLocks noChangeArrowheads="1"/>
        </xdr:cNvSpPr>
      </xdr:nvSpPr>
      <xdr:spPr bwMode="auto">
        <a:xfrm>
          <a:off x="11827306" y="6328323"/>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14</xdr:col>
      <xdr:colOff>415616</xdr:colOff>
      <xdr:row>10</xdr:row>
      <xdr:rowOff>1830</xdr:rowOff>
    </xdr:from>
    <xdr:to>
      <xdr:col>15</xdr:col>
      <xdr:colOff>263093</xdr:colOff>
      <xdr:row>11</xdr:row>
      <xdr:rowOff>34605</xdr:rowOff>
    </xdr:to>
    <xdr:sp macro="" textlink="">
      <xdr:nvSpPr>
        <xdr:cNvPr id="57" name="Text Box 247">
          <a:extLst>
            <a:ext uri="{FF2B5EF4-FFF2-40B4-BE49-F238E27FC236}">
              <a16:creationId xmlns:a16="http://schemas.microsoft.com/office/drawing/2014/main" id="{00000000-0008-0000-0000-000039000000}"/>
            </a:ext>
          </a:extLst>
        </xdr:cNvPr>
        <xdr:cNvSpPr txBox="1">
          <a:spLocks noChangeArrowheads="1"/>
        </xdr:cNvSpPr>
      </xdr:nvSpPr>
      <xdr:spPr bwMode="auto">
        <a:xfrm>
          <a:off x="9175282" y="2293783"/>
          <a:ext cx="460411"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14</xdr:col>
      <xdr:colOff>186554</xdr:colOff>
      <xdr:row>6</xdr:row>
      <xdr:rowOff>109822</xdr:rowOff>
    </xdr:from>
    <xdr:to>
      <xdr:col>14</xdr:col>
      <xdr:colOff>568278</xdr:colOff>
      <xdr:row>8</xdr:row>
      <xdr:rowOff>2979</xdr:rowOff>
    </xdr:to>
    <xdr:sp macro="" textlink="">
      <xdr:nvSpPr>
        <xdr:cNvPr id="58" name="Text Box 249">
          <a:extLst>
            <a:ext uri="{FF2B5EF4-FFF2-40B4-BE49-F238E27FC236}">
              <a16:creationId xmlns:a16="http://schemas.microsoft.com/office/drawing/2014/main" id="{00000000-0008-0000-0000-00003A000000}"/>
            </a:ext>
          </a:extLst>
        </xdr:cNvPr>
        <xdr:cNvSpPr txBox="1">
          <a:spLocks noChangeArrowheads="1"/>
        </xdr:cNvSpPr>
      </xdr:nvSpPr>
      <xdr:spPr bwMode="auto">
        <a:xfrm>
          <a:off x="8957174" y="1683352"/>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14</xdr:col>
      <xdr:colOff>224343</xdr:colOff>
      <xdr:row>8</xdr:row>
      <xdr:rowOff>694</xdr:rowOff>
    </xdr:from>
    <xdr:to>
      <xdr:col>15</xdr:col>
      <xdr:colOff>42036</xdr:colOff>
      <xdr:row>9</xdr:row>
      <xdr:rowOff>72867</xdr:rowOff>
    </xdr:to>
    <xdr:sp macro="" textlink="">
      <xdr:nvSpPr>
        <xdr:cNvPr id="59" name="Text Box 279">
          <a:extLst>
            <a:ext uri="{FF2B5EF4-FFF2-40B4-BE49-F238E27FC236}">
              <a16:creationId xmlns:a16="http://schemas.microsoft.com/office/drawing/2014/main" id="{00000000-0008-0000-0000-00003B000000}"/>
            </a:ext>
          </a:extLst>
        </xdr:cNvPr>
        <xdr:cNvSpPr txBox="1">
          <a:spLocks noChangeArrowheads="1"/>
        </xdr:cNvSpPr>
      </xdr:nvSpPr>
      <xdr:spPr bwMode="auto">
        <a:xfrm>
          <a:off x="8979723" y="1930459"/>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4042037</xdr:colOff>
      <xdr:row>11</xdr:row>
      <xdr:rowOff>40979</xdr:rowOff>
    </xdr:from>
    <xdr:to>
      <xdr:col>16</xdr:col>
      <xdr:colOff>4384973</xdr:colOff>
      <xdr:row>12</xdr:row>
      <xdr:rowOff>148846</xdr:rowOff>
    </xdr:to>
    <xdr:sp macro="" textlink="">
      <xdr:nvSpPr>
        <xdr:cNvPr id="60" name="Text Box 235">
          <a:extLst>
            <a:ext uri="{FF2B5EF4-FFF2-40B4-BE49-F238E27FC236}">
              <a16:creationId xmlns:a16="http://schemas.microsoft.com/office/drawing/2014/main" id="{00000000-0008-0000-0000-00003C000000}"/>
            </a:ext>
          </a:extLst>
        </xdr:cNvPr>
        <xdr:cNvSpPr txBox="1">
          <a:spLocks noChangeArrowheads="1"/>
        </xdr:cNvSpPr>
      </xdr:nvSpPr>
      <xdr:spPr bwMode="auto">
        <a:xfrm>
          <a:off x="14087542" y="2499308"/>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3999803</xdr:colOff>
      <xdr:row>13</xdr:row>
      <xdr:rowOff>80829</xdr:rowOff>
    </xdr:from>
    <xdr:to>
      <xdr:col>16</xdr:col>
      <xdr:colOff>4454201</xdr:colOff>
      <xdr:row>14</xdr:row>
      <xdr:rowOff>79640</xdr:rowOff>
    </xdr:to>
    <xdr:sp macro="" textlink="'Variable Management'!D339">
      <xdr:nvSpPr>
        <xdr:cNvPr id="61" name="Text Box 275">
          <a:extLst>
            <a:ext uri="{FF2B5EF4-FFF2-40B4-BE49-F238E27FC236}">
              <a16:creationId xmlns:a16="http://schemas.microsoft.com/office/drawing/2014/main" id="{00000000-0008-0000-0000-00003D000000}"/>
            </a:ext>
          </a:extLst>
        </xdr:cNvPr>
        <xdr:cNvSpPr txBox="1">
          <a:spLocks noChangeArrowheads="1" noTextEdit="1"/>
        </xdr:cNvSpPr>
      </xdr:nvSpPr>
      <xdr:spPr bwMode="auto">
        <a:xfrm>
          <a:off x="14037688" y="2881912"/>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4606820</xdr:colOff>
      <xdr:row>10</xdr:row>
      <xdr:rowOff>110991</xdr:rowOff>
    </xdr:from>
    <xdr:to>
      <xdr:col>16</xdr:col>
      <xdr:colOff>4841156</xdr:colOff>
      <xdr:row>11</xdr:row>
      <xdr:rowOff>118927</xdr:rowOff>
    </xdr:to>
    <xdr:sp macro="" textlink="">
      <xdr:nvSpPr>
        <xdr:cNvPr id="62" name="Text Box 234">
          <a:extLst>
            <a:ext uri="{FF2B5EF4-FFF2-40B4-BE49-F238E27FC236}">
              <a16:creationId xmlns:a16="http://schemas.microsoft.com/office/drawing/2014/main" id="{00000000-0008-0000-0000-00003E000000}"/>
            </a:ext>
          </a:extLst>
        </xdr:cNvPr>
        <xdr:cNvSpPr txBox="1">
          <a:spLocks noChangeArrowheads="1"/>
        </xdr:cNvSpPr>
      </xdr:nvSpPr>
      <xdr:spPr bwMode="auto">
        <a:xfrm>
          <a:off x="14635180" y="2354348"/>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16</xdr:col>
      <xdr:colOff>4492167</xdr:colOff>
      <xdr:row>11</xdr:row>
      <xdr:rowOff>79842</xdr:rowOff>
    </xdr:from>
    <xdr:to>
      <xdr:col>16</xdr:col>
      <xdr:colOff>4986447</xdr:colOff>
      <xdr:row>13</xdr:row>
      <xdr:rowOff>3314</xdr:rowOff>
    </xdr:to>
    <xdr:sp macro="" textlink="'Variable Management'!D341">
      <xdr:nvSpPr>
        <xdr:cNvPr id="63" name="Text Box 275">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14526242" y="2536266"/>
          <a:ext cx="480945"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4873288</xdr:colOff>
      <xdr:row>13</xdr:row>
      <xdr:rowOff>185775</xdr:rowOff>
    </xdr:from>
    <xdr:to>
      <xdr:col>16</xdr:col>
      <xdr:colOff>5254725</xdr:colOff>
      <xdr:row>14</xdr:row>
      <xdr:rowOff>188455</xdr:rowOff>
    </xdr:to>
    <xdr:sp macro="" textlink="">
      <xdr:nvSpPr>
        <xdr:cNvPr id="64" name="Text Box 228">
          <a:extLst>
            <a:ext uri="{FF2B5EF4-FFF2-40B4-BE49-F238E27FC236}">
              <a16:creationId xmlns:a16="http://schemas.microsoft.com/office/drawing/2014/main" id="{00000000-0008-0000-0000-000040000000}"/>
            </a:ext>
          </a:extLst>
        </xdr:cNvPr>
        <xdr:cNvSpPr txBox="1">
          <a:spLocks noChangeArrowheads="1"/>
        </xdr:cNvSpPr>
      </xdr:nvSpPr>
      <xdr:spPr bwMode="auto">
        <a:xfrm>
          <a:off x="14915019" y="3015891"/>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4835366</xdr:colOff>
      <xdr:row>14</xdr:row>
      <xdr:rowOff>156519</xdr:rowOff>
    </xdr:from>
    <xdr:to>
      <xdr:col>16</xdr:col>
      <xdr:colOff>5261979</xdr:colOff>
      <xdr:row>15</xdr:row>
      <xdr:rowOff>151986</xdr:rowOff>
    </xdr:to>
    <xdr:sp macro="" textlink="'Variable Management'!D345">
      <xdr:nvSpPr>
        <xdr:cNvPr id="65" name="Text Box 267">
          <a:extLst>
            <a:ext uri="{FF2B5EF4-FFF2-40B4-BE49-F238E27FC236}">
              <a16:creationId xmlns:a16="http://schemas.microsoft.com/office/drawing/2014/main" id="{00000000-0008-0000-0000-000041000000}"/>
            </a:ext>
          </a:extLst>
        </xdr:cNvPr>
        <xdr:cNvSpPr txBox="1">
          <a:spLocks noChangeArrowheads="1" noTextEdit="1"/>
        </xdr:cNvSpPr>
      </xdr:nvSpPr>
      <xdr:spPr bwMode="auto">
        <a:xfrm>
          <a:off x="14888527" y="3225950"/>
          <a:ext cx="439948" cy="206208"/>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948697</xdr:colOff>
      <xdr:row>31</xdr:row>
      <xdr:rowOff>80937</xdr:rowOff>
    </xdr:from>
    <xdr:to>
      <xdr:col>16</xdr:col>
      <xdr:colOff>1374910</xdr:colOff>
      <xdr:row>32</xdr:row>
      <xdr:rowOff>75119</xdr:rowOff>
    </xdr:to>
    <xdr:sp macro="" textlink="'Variable Management'!B382">
      <xdr:nvSpPr>
        <xdr:cNvPr id="67" name="Text Box 281">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11003287" y="6365532"/>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5559695</xdr:colOff>
      <xdr:row>12</xdr:row>
      <xdr:rowOff>72456</xdr:rowOff>
    </xdr:from>
    <xdr:to>
      <xdr:col>17</xdr:col>
      <xdr:colOff>110509</xdr:colOff>
      <xdr:row>13</xdr:row>
      <xdr:rowOff>149428</xdr:rowOff>
    </xdr:to>
    <xdr:sp macro="" textlink="'Variable Management'!D343">
      <xdr:nvSpPr>
        <xdr:cNvPr id="68" name="Text Box 285">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15586150" y="2695494"/>
          <a:ext cx="479906" cy="24168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50V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16</xdr:col>
      <xdr:colOff>5558104</xdr:colOff>
      <xdr:row>13</xdr:row>
      <xdr:rowOff>115353</xdr:rowOff>
    </xdr:from>
    <xdr:to>
      <xdr:col>17</xdr:col>
      <xdr:colOff>77577</xdr:colOff>
      <xdr:row>14</xdr:row>
      <xdr:rowOff>148357</xdr:rowOff>
    </xdr:to>
    <xdr:sp macro="" textlink="'Variable Management'!D386">
      <xdr:nvSpPr>
        <xdr:cNvPr id="69" name="Text Box 286">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15595989" y="2906911"/>
          <a:ext cx="454280" cy="243286"/>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10A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1337211</xdr:colOff>
      <xdr:row>30</xdr:row>
      <xdr:rowOff>73084</xdr:rowOff>
    </xdr:from>
    <xdr:to>
      <xdr:col>16</xdr:col>
      <xdr:colOff>1671987</xdr:colOff>
      <xdr:row>31</xdr:row>
      <xdr:rowOff>148318</xdr:rowOff>
    </xdr:to>
    <xdr:sp macro="" textlink="">
      <xdr:nvSpPr>
        <xdr:cNvPr id="70" name="Text Box 251">
          <a:extLst>
            <a:ext uri="{FF2B5EF4-FFF2-40B4-BE49-F238E27FC236}">
              <a16:creationId xmlns:a16="http://schemas.microsoft.com/office/drawing/2014/main" id="{00000000-0008-0000-0000-000046000000}"/>
            </a:ext>
          </a:extLst>
        </xdr:cNvPr>
        <xdr:cNvSpPr txBox="1">
          <a:spLocks noChangeArrowheads="1"/>
        </xdr:cNvSpPr>
      </xdr:nvSpPr>
      <xdr:spPr bwMode="auto">
        <a:xfrm>
          <a:off x="11403707" y="6197659"/>
          <a:ext cx="327156" cy="26121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16</xdr:col>
      <xdr:colOff>1329705</xdr:colOff>
      <xdr:row>31</xdr:row>
      <xdr:rowOff>79790</xdr:rowOff>
    </xdr:from>
    <xdr:to>
      <xdr:col>16</xdr:col>
      <xdr:colOff>1755918</xdr:colOff>
      <xdr:row>32</xdr:row>
      <xdr:rowOff>75877</xdr:rowOff>
    </xdr:to>
    <xdr:sp macro="" textlink="'Variable Management'!B38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84295" y="6366290"/>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3431895</xdr:colOff>
      <xdr:row>24</xdr:row>
      <xdr:rowOff>194921</xdr:rowOff>
    </xdr:from>
    <xdr:to>
      <xdr:col>16</xdr:col>
      <xdr:colOff>3958366</xdr:colOff>
      <xdr:row>25</xdr:row>
      <xdr:rowOff>225990</xdr:rowOff>
    </xdr:to>
    <xdr:sp macro="" textlink="'Variable Management'!D354">
      <xdr:nvSpPr>
        <xdr:cNvPr id="73" name="Text Box 261">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3502201" y="5144587"/>
          <a:ext cx="505516" cy="248716"/>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8,2nF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2938006</xdr:colOff>
      <xdr:row>25</xdr:row>
      <xdr:rowOff>33343</xdr:rowOff>
    </xdr:from>
    <xdr:to>
      <xdr:col>16</xdr:col>
      <xdr:colOff>3425437</xdr:colOff>
      <xdr:row>26</xdr:row>
      <xdr:rowOff>4155</xdr:rowOff>
    </xdr:to>
    <xdr:sp macro="" textlink="'Variable Management'!D353">
      <xdr:nvSpPr>
        <xdr:cNvPr id="75" name="Text Box 263">
          <a:extLst>
            <a:ext uri="{FF2B5EF4-FFF2-40B4-BE49-F238E27FC236}">
              <a16:creationId xmlns:a16="http://schemas.microsoft.com/office/drawing/2014/main" id="{00000000-0008-0000-0000-00004B000000}"/>
            </a:ext>
          </a:extLst>
        </xdr:cNvPr>
        <xdr:cNvSpPr txBox="1">
          <a:spLocks noChangeArrowheads="1" noTextEdit="1"/>
        </xdr:cNvSpPr>
      </xdr:nvSpPr>
      <xdr:spPr bwMode="auto">
        <a:xfrm>
          <a:off x="13008312" y="5179224"/>
          <a:ext cx="460761" cy="241799"/>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31,6kΩ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3196325</xdr:colOff>
      <xdr:row>29</xdr:row>
      <xdr:rowOff>71548</xdr:rowOff>
    </xdr:from>
    <xdr:to>
      <xdr:col>16</xdr:col>
      <xdr:colOff>3616531</xdr:colOff>
      <xdr:row>30</xdr:row>
      <xdr:rowOff>76687</xdr:rowOff>
    </xdr:to>
    <xdr:sp macro="" textlink="'Variable Management'!D355">
      <xdr:nvSpPr>
        <xdr:cNvPr id="77" name="Text Box 262">
          <a:extLst>
            <a:ext uri="{FF2B5EF4-FFF2-40B4-BE49-F238E27FC236}">
              <a16:creationId xmlns:a16="http://schemas.microsoft.com/office/drawing/2014/main" id="{00000000-0008-0000-0000-00004D000000}"/>
            </a:ext>
          </a:extLst>
        </xdr:cNvPr>
        <xdr:cNvSpPr txBox="1">
          <a:spLocks noChangeArrowheads="1" noTextEdit="1"/>
        </xdr:cNvSpPr>
      </xdr:nvSpPr>
      <xdr:spPr bwMode="auto">
        <a:xfrm>
          <a:off x="13257106" y="6000622"/>
          <a:ext cx="420206" cy="220881"/>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3471376</xdr:colOff>
      <xdr:row>21</xdr:row>
      <xdr:rowOff>110048</xdr:rowOff>
    </xdr:from>
    <xdr:to>
      <xdr:col>16</xdr:col>
      <xdr:colOff>3847385</xdr:colOff>
      <xdr:row>23</xdr:row>
      <xdr:rowOff>4524</xdr:rowOff>
    </xdr:to>
    <xdr:sp macro="" textlink="">
      <xdr:nvSpPr>
        <xdr:cNvPr id="78" name="Text Box 249">
          <a:extLst>
            <a:ext uri="{FF2B5EF4-FFF2-40B4-BE49-F238E27FC236}">
              <a16:creationId xmlns:a16="http://schemas.microsoft.com/office/drawing/2014/main" id="{00000000-0008-0000-0000-00004E000000}"/>
            </a:ext>
          </a:extLst>
        </xdr:cNvPr>
        <xdr:cNvSpPr txBox="1">
          <a:spLocks noChangeArrowheads="1"/>
        </xdr:cNvSpPr>
      </xdr:nvSpPr>
      <xdr:spPr bwMode="auto">
        <a:xfrm>
          <a:off x="13529776" y="4501073"/>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16</xdr:col>
      <xdr:colOff>3501817</xdr:colOff>
      <xdr:row>22</xdr:row>
      <xdr:rowOff>148004</xdr:rowOff>
    </xdr:from>
    <xdr:to>
      <xdr:col>16</xdr:col>
      <xdr:colOff>3958125</xdr:colOff>
      <xdr:row>24</xdr:row>
      <xdr:rowOff>34513</xdr:rowOff>
    </xdr:to>
    <xdr:sp macro="" textlink="">
      <xdr:nvSpPr>
        <xdr:cNvPr id="79" name="Text Box 279">
          <a:extLst>
            <a:ext uri="{FF2B5EF4-FFF2-40B4-BE49-F238E27FC236}">
              <a16:creationId xmlns:a16="http://schemas.microsoft.com/office/drawing/2014/main" id="{00000000-0008-0000-0000-00004F000000}"/>
            </a:ext>
          </a:extLst>
        </xdr:cNvPr>
        <xdr:cNvSpPr txBox="1">
          <a:spLocks noChangeArrowheads="1"/>
        </xdr:cNvSpPr>
      </xdr:nvSpPr>
      <xdr:spPr bwMode="auto">
        <a:xfrm>
          <a:off x="13546882" y="4708574"/>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2366067</xdr:colOff>
      <xdr:row>29</xdr:row>
      <xdr:rowOff>117387</xdr:rowOff>
    </xdr:from>
    <xdr:to>
      <xdr:col>16</xdr:col>
      <xdr:colOff>2855889</xdr:colOff>
      <xdr:row>30</xdr:row>
      <xdr:rowOff>110112</xdr:rowOff>
    </xdr:to>
    <xdr:sp macro="" textlink="'Variable Management'!B362">
      <xdr:nvSpPr>
        <xdr:cNvPr id="80" name="Text Box 26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12428753" y="6053367"/>
          <a:ext cx="487917" cy="186321"/>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2395696</xdr:colOff>
      <xdr:row>28</xdr:row>
      <xdr:rowOff>73084</xdr:rowOff>
    </xdr:from>
    <xdr:to>
      <xdr:col>16</xdr:col>
      <xdr:colOff>2777472</xdr:colOff>
      <xdr:row>29</xdr:row>
      <xdr:rowOff>149137</xdr:rowOff>
    </xdr:to>
    <xdr:sp macro="" textlink="">
      <xdr:nvSpPr>
        <xdr:cNvPr id="81" name="Text Box 233">
          <a:extLst>
            <a:ext uri="{FF2B5EF4-FFF2-40B4-BE49-F238E27FC236}">
              <a16:creationId xmlns:a16="http://schemas.microsoft.com/office/drawing/2014/main" id="{00000000-0008-0000-0000-000051000000}"/>
            </a:ext>
          </a:extLst>
        </xdr:cNvPr>
        <xdr:cNvSpPr txBox="1">
          <a:spLocks noChangeArrowheads="1"/>
        </xdr:cNvSpPr>
      </xdr:nvSpPr>
      <xdr:spPr bwMode="auto">
        <a:xfrm>
          <a:off x="12450762" y="5821898"/>
          <a:ext cx="381776" cy="25369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16</xdr:col>
      <xdr:colOff>492021</xdr:colOff>
      <xdr:row>30</xdr:row>
      <xdr:rowOff>72477</xdr:rowOff>
    </xdr:from>
    <xdr:to>
      <xdr:col>16</xdr:col>
      <xdr:colOff>918234</xdr:colOff>
      <xdr:row>31</xdr:row>
      <xdr:rowOff>149159</xdr:rowOff>
    </xdr:to>
    <xdr:sp macro="" textlink="'Variable Management'!C381">
      <xdr:nvSpPr>
        <xdr:cNvPr id="82" name="Text Box 281">
          <a:extLst>
            <a:ext uri="{FF2B5EF4-FFF2-40B4-BE49-F238E27FC236}">
              <a16:creationId xmlns:a16="http://schemas.microsoft.com/office/drawing/2014/main" id="{00000000-0008-0000-0000-000052000000}"/>
            </a:ext>
          </a:extLst>
        </xdr:cNvPr>
        <xdr:cNvSpPr txBox="1">
          <a:spLocks noChangeArrowheads="1" noTextEdit="1"/>
        </xdr:cNvSpPr>
      </xdr:nvSpPr>
      <xdr:spPr bwMode="auto">
        <a:xfrm>
          <a:off x="10526096" y="6120705"/>
          <a:ext cx="437643" cy="23567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Css1</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910095</xdr:colOff>
      <xdr:row>30</xdr:row>
      <xdr:rowOff>80683</xdr:rowOff>
    </xdr:from>
    <xdr:to>
      <xdr:col>16</xdr:col>
      <xdr:colOff>1338213</xdr:colOff>
      <xdr:row>31</xdr:row>
      <xdr:rowOff>149160</xdr:rowOff>
    </xdr:to>
    <xdr:sp macro="" textlink="'Variable Management'!C382">
      <xdr:nvSpPr>
        <xdr:cNvPr id="83" name="Text Box 281">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10962780" y="618811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Css2</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3005742</xdr:colOff>
      <xdr:row>24</xdr:row>
      <xdr:rowOff>71773</xdr:rowOff>
    </xdr:from>
    <xdr:to>
      <xdr:col>16</xdr:col>
      <xdr:colOff>3462693</xdr:colOff>
      <xdr:row>25</xdr:row>
      <xdr:rowOff>75850</xdr:rowOff>
    </xdr:to>
    <xdr:sp macro="" textlink="'Variable Management'!C353">
      <xdr:nvSpPr>
        <xdr:cNvPr id="84" name="Text Box 263">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13030292" y="493743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3500602</xdr:colOff>
      <xdr:row>24</xdr:row>
      <xdr:rowOff>33380</xdr:rowOff>
    </xdr:from>
    <xdr:to>
      <xdr:col>16</xdr:col>
      <xdr:colOff>3959458</xdr:colOff>
      <xdr:row>25</xdr:row>
      <xdr:rowOff>41267</xdr:rowOff>
    </xdr:to>
    <xdr:sp macro="" textlink="'Variable Management'!C354">
      <xdr:nvSpPr>
        <xdr:cNvPr id="85" name="Text Box 263">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13527057" y="4906663"/>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3280648</xdr:colOff>
      <xdr:row>28</xdr:row>
      <xdr:rowOff>41586</xdr:rowOff>
    </xdr:from>
    <xdr:to>
      <xdr:col>16</xdr:col>
      <xdr:colOff>3737599</xdr:colOff>
      <xdr:row>29</xdr:row>
      <xdr:rowOff>110433</xdr:rowOff>
    </xdr:to>
    <xdr:sp macro="" textlink="'Variable Management'!C355">
      <xdr:nvSpPr>
        <xdr:cNvPr id="86" name="Text Box 26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13320438" y="571848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3844162</xdr:colOff>
      <xdr:row>20</xdr:row>
      <xdr:rowOff>149462</xdr:rowOff>
    </xdr:from>
    <xdr:to>
      <xdr:col>16</xdr:col>
      <xdr:colOff>4950043</xdr:colOff>
      <xdr:row>22</xdr:row>
      <xdr:rowOff>72513</xdr:rowOff>
    </xdr:to>
    <xdr:sp macro="" textlink="">
      <xdr:nvSpPr>
        <xdr:cNvPr id="87" name="Text Box 249">
          <a:extLst>
            <a:ext uri="{FF2B5EF4-FFF2-40B4-BE49-F238E27FC236}">
              <a16:creationId xmlns:a16="http://schemas.microsoft.com/office/drawing/2014/main" id="{00000000-0008-0000-0000-000057000000}"/>
            </a:ext>
          </a:extLst>
        </xdr:cNvPr>
        <xdr:cNvSpPr txBox="1">
          <a:spLocks noChangeArrowheads="1"/>
        </xdr:cNvSpPr>
      </xdr:nvSpPr>
      <xdr:spPr bwMode="auto">
        <a:xfrm>
          <a:off x="13902562" y="4378562"/>
          <a:ext cx="1105881"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a:t>
          </a:r>
          <a:endParaRPr lang="en-US" sz="1000" b="0" i="0" strike="noStrike" baseline="-250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371475</xdr:colOff>
          <xdr:row>4</xdr:row>
          <xdr:rowOff>9525</xdr:rowOff>
        </xdr:from>
        <xdr:to>
          <xdr:col>7</xdr:col>
          <xdr:colOff>514350</xdr:colOff>
          <xdr:row>4</xdr:row>
          <xdr:rowOff>238125</xdr:rowOff>
        </xdr:to>
        <xdr:sp macro="" textlink="">
          <xdr:nvSpPr>
            <xdr:cNvPr id="700259" name="Drop Down 2915" hidden="1">
              <a:extLst>
                <a:ext uri="{63B3BB69-23CF-44E3-9099-C40C66FF867C}">
                  <a14:compatExt spid="_x0000_s700259"/>
                </a:ext>
                <a:ext uri="{FF2B5EF4-FFF2-40B4-BE49-F238E27FC236}">
                  <a16:creationId xmlns:a16="http://schemas.microsoft.com/office/drawing/2014/main" id="{00000000-0008-0000-0000-000063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16</xdr:col>
      <xdr:colOff>696057</xdr:colOff>
      <xdr:row>15</xdr:row>
      <xdr:rowOff>133349</xdr:rowOff>
    </xdr:from>
    <xdr:to>
      <xdr:col>16</xdr:col>
      <xdr:colOff>1919653</xdr:colOff>
      <xdr:row>21</xdr:row>
      <xdr:rowOff>9524</xdr:rowOff>
    </xdr:to>
    <xdr:sp macro="" textlink="'Variable Management'!X25">
      <xdr:nvSpPr>
        <xdr:cNvPr id="88" name="Text Box 24">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754457" y="3390899"/>
          <a:ext cx="1223596" cy="1019175"/>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219075</xdr:colOff>
          <xdr:row>15</xdr:row>
          <xdr:rowOff>9525</xdr:rowOff>
        </xdr:from>
        <xdr:to>
          <xdr:col>7</xdr:col>
          <xdr:colOff>476250</xdr:colOff>
          <xdr:row>15</xdr:row>
          <xdr:rowOff>238125</xdr:rowOff>
        </xdr:to>
        <xdr:sp macro="" textlink="">
          <xdr:nvSpPr>
            <xdr:cNvPr id="713934" name="Drop Down 3278" hidden="1">
              <a:extLst>
                <a:ext uri="{63B3BB69-23CF-44E3-9099-C40C66FF867C}">
                  <a14:compatExt spid="_x0000_s713934"/>
                </a:ext>
                <a:ext uri="{FF2B5EF4-FFF2-40B4-BE49-F238E27FC236}">
                  <a16:creationId xmlns:a16="http://schemas.microsoft.com/office/drawing/2014/main" id="{00000000-0008-0000-0000-0000CEE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150936</xdr:colOff>
          <xdr:row>0</xdr:row>
          <xdr:rowOff>163135</xdr:rowOff>
        </xdr:from>
        <xdr:to>
          <xdr:col>8</xdr:col>
          <xdr:colOff>676853</xdr:colOff>
          <xdr:row>34</xdr:row>
          <xdr:rowOff>57150</xdr:rowOff>
        </xdr:to>
        <xdr:pic>
          <xdr:nvPicPr>
            <xdr:cNvPr id="3" name="Picture 1175">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PICTURE2" spid="_x0000_s686851"/>
                </a:ext>
              </a:extLst>
            </xdr:cNvPicPr>
          </xdr:nvPicPr>
          <xdr:blipFill>
            <a:blip xmlns:r="http://schemas.openxmlformats.org/officeDocument/2006/relationships" r:embed="rId1"/>
            <a:srcRect/>
            <a:stretch>
              <a:fillRect/>
            </a:stretch>
          </xdr:blipFill>
          <xdr:spPr bwMode="auto">
            <a:xfrm>
              <a:off x="150936" y="161925"/>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absolute">
    <xdr:from>
      <xdr:col>1</xdr:col>
      <xdr:colOff>327117</xdr:colOff>
      <xdr:row>11</xdr:row>
      <xdr:rowOff>112786</xdr:rowOff>
    </xdr:from>
    <xdr:to>
      <xdr:col>1</xdr:col>
      <xdr:colOff>712364</xdr:colOff>
      <xdr:row>13</xdr:row>
      <xdr:rowOff>20216</xdr:rowOff>
    </xdr:to>
    <xdr:sp macro="" textlink="">
      <xdr:nvSpPr>
        <xdr:cNvPr id="4" name="Text Box 228">
          <a:extLst>
            <a:ext uri="{FF2B5EF4-FFF2-40B4-BE49-F238E27FC236}">
              <a16:creationId xmlns:a16="http://schemas.microsoft.com/office/drawing/2014/main" id="{00000000-0008-0000-0100-000004000000}"/>
            </a:ext>
          </a:extLst>
        </xdr:cNvPr>
        <xdr:cNvSpPr txBox="1">
          <a:spLocks noChangeArrowheads="1"/>
        </xdr:cNvSpPr>
      </xdr:nvSpPr>
      <xdr:spPr bwMode="auto">
        <a:xfrm>
          <a:off x="965292" y="1893961"/>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4</xdr:col>
      <xdr:colOff>770277</xdr:colOff>
      <xdr:row>31</xdr:row>
      <xdr:rowOff>44509</xdr:rowOff>
    </xdr:from>
    <xdr:to>
      <xdr:col>4</xdr:col>
      <xdr:colOff>1152053</xdr:colOff>
      <xdr:row>32</xdr:row>
      <xdr:rowOff>133897</xdr:rowOff>
    </xdr:to>
    <xdr:sp macro="" textlink="">
      <xdr:nvSpPr>
        <xdr:cNvPr id="5" name="Text Box 233">
          <a:extLst>
            <a:ext uri="{FF2B5EF4-FFF2-40B4-BE49-F238E27FC236}">
              <a16:creationId xmlns:a16="http://schemas.microsoft.com/office/drawing/2014/main" id="{00000000-0008-0000-0100-000005000000}"/>
            </a:ext>
          </a:extLst>
        </xdr:cNvPr>
        <xdr:cNvSpPr txBox="1">
          <a:spLocks noChangeArrowheads="1"/>
        </xdr:cNvSpPr>
      </xdr:nvSpPr>
      <xdr:spPr bwMode="auto">
        <a:xfrm>
          <a:off x="5180352" y="5064184"/>
          <a:ext cx="381776" cy="25131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xdr:col>
      <xdr:colOff>537446</xdr:colOff>
      <xdr:row>7</xdr:row>
      <xdr:rowOff>110846</xdr:rowOff>
    </xdr:from>
    <xdr:to>
      <xdr:col>1</xdr:col>
      <xdr:colOff>781307</xdr:colOff>
      <xdr:row>9</xdr:row>
      <xdr:rowOff>8292</xdr:rowOff>
    </xdr:to>
    <xdr:sp macro="" textlink="">
      <xdr:nvSpPr>
        <xdr:cNvPr id="6" name="Text Box 234">
          <a:extLst>
            <a:ext uri="{FF2B5EF4-FFF2-40B4-BE49-F238E27FC236}">
              <a16:creationId xmlns:a16="http://schemas.microsoft.com/office/drawing/2014/main" id="{00000000-0008-0000-0100-000006000000}"/>
            </a:ext>
          </a:extLst>
        </xdr:cNvPr>
        <xdr:cNvSpPr txBox="1">
          <a:spLocks noChangeArrowheads="1"/>
        </xdr:cNvSpPr>
      </xdr:nvSpPr>
      <xdr:spPr bwMode="auto">
        <a:xfrm>
          <a:off x="1175621" y="1244321"/>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xdr:col>
      <xdr:colOff>1015578</xdr:colOff>
      <xdr:row>8</xdr:row>
      <xdr:rowOff>102673</xdr:rowOff>
    </xdr:from>
    <xdr:to>
      <xdr:col>2</xdr:col>
      <xdr:colOff>249</xdr:colOff>
      <xdr:row>10</xdr:row>
      <xdr:rowOff>54330</xdr:rowOff>
    </xdr:to>
    <xdr:sp macro="" textlink="">
      <xdr:nvSpPr>
        <xdr:cNvPr id="7" name="Text Box 235">
          <a:extLst>
            <a:ext uri="{FF2B5EF4-FFF2-40B4-BE49-F238E27FC236}">
              <a16:creationId xmlns:a16="http://schemas.microsoft.com/office/drawing/2014/main" id="{00000000-0008-0000-0100-000007000000}"/>
            </a:ext>
          </a:extLst>
        </xdr:cNvPr>
        <xdr:cNvSpPr txBox="1">
          <a:spLocks noChangeArrowheads="1"/>
        </xdr:cNvSpPr>
      </xdr:nvSpPr>
      <xdr:spPr bwMode="auto">
        <a:xfrm>
          <a:off x="1653753" y="1398073"/>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917688</xdr:colOff>
      <xdr:row>3</xdr:row>
      <xdr:rowOff>64533</xdr:rowOff>
    </xdr:from>
    <xdr:to>
      <xdr:col>1</xdr:col>
      <xdr:colOff>1246439</xdr:colOff>
      <xdr:row>4</xdr:row>
      <xdr:rowOff>128854</xdr:rowOff>
    </xdr:to>
    <xdr:sp macro="" textlink="">
      <xdr:nvSpPr>
        <xdr:cNvPr id="8" name="Text Box 244">
          <a:extLst>
            <a:ext uri="{FF2B5EF4-FFF2-40B4-BE49-F238E27FC236}">
              <a16:creationId xmlns:a16="http://schemas.microsoft.com/office/drawing/2014/main" id="{00000000-0008-0000-0100-000008000000}"/>
            </a:ext>
          </a:extLst>
        </xdr:cNvPr>
        <xdr:cNvSpPr txBox="1">
          <a:spLocks noChangeArrowheads="1"/>
        </xdr:cNvSpPr>
      </xdr:nvSpPr>
      <xdr:spPr bwMode="auto">
        <a:xfrm>
          <a:off x="1555863" y="550308"/>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5</xdr:col>
      <xdr:colOff>311429</xdr:colOff>
      <xdr:row>3</xdr:row>
      <xdr:rowOff>95580</xdr:rowOff>
    </xdr:from>
    <xdr:to>
      <xdr:col>5</xdr:col>
      <xdr:colOff>721586</xdr:colOff>
      <xdr:row>5</xdr:row>
      <xdr:rowOff>13374</xdr:rowOff>
    </xdr:to>
    <xdr:sp macro="" textlink="">
      <xdr:nvSpPr>
        <xdr:cNvPr id="9" name="Text Box 248">
          <a:extLst>
            <a:ext uri="{FF2B5EF4-FFF2-40B4-BE49-F238E27FC236}">
              <a16:creationId xmlns:a16="http://schemas.microsoft.com/office/drawing/2014/main" id="{00000000-0008-0000-0100-000009000000}"/>
            </a:ext>
          </a:extLst>
        </xdr:cNvPr>
        <xdr:cNvSpPr txBox="1">
          <a:spLocks noChangeArrowheads="1"/>
        </xdr:cNvSpPr>
      </xdr:nvSpPr>
      <xdr:spPr bwMode="auto">
        <a:xfrm>
          <a:off x="5874029" y="581355"/>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5</xdr:col>
      <xdr:colOff>1215475</xdr:colOff>
      <xdr:row>3</xdr:row>
      <xdr:rowOff>101710</xdr:rowOff>
    </xdr:from>
    <xdr:to>
      <xdr:col>6</xdr:col>
      <xdr:colOff>219884</xdr:colOff>
      <xdr:row>5</xdr:row>
      <xdr:rowOff>31062</xdr:rowOff>
    </xdr:to>
    <xdr:sp macro="" textlink="">
      <xdr:nvSpPr>
        <xdr:cNvPr id="10" name="Text Box 249">
          <a:extLst>
            <a:ext uri="{FF2B5EF4-FFF2-40B4-BE49-F238E27FC236}">
              <a16:creationId xmlns:a16="http://schemas.microsoft.com/office/drawing/2014/main" id="{00000000-0008-0000-0100-00000A000000}"/>
            </a:ext>
          </a:extLst>
        </xdr:cNvPr>
        <xdr:cNvSpPr txBox="1">
          <a:spLocks noChangeArrowheads="1"/>
        </xdr:cNvSpPr>
      </xdr:nvSpPr>
      <xdr:spPr bwMode="auto">
        <a:xfrm>
          <a:off x="6778075" y="587485"/>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2</xdr:col>
      <xdr:colOff>589169</xdr:colOff>
      <xdr:row>28</xdr:row>
      <xdr:rowOff>141288</xdr:rowOff>
    </xdr:from>
    <xdr:to>
      <xdr:col>2</xdr:col>
      <xdr:colOff>834519</xdr:colOff>
      <xdr:row>30</xdr:row>
      <xdr:rowOff>35965</xdr:rowOff>
    </xdr:to>
    <xdr:sp macro="" textlink="">
      <xdr:nvSpPr>
        <xdr:cNvPr id="11" name="Text Box 256">
          <a:extLst>
            <a:ext uri="{FF2B5EF4-FFF2-40B4-BE49-F238E27FC236}">
              <a16:creationId xmlns:a16="http://schemas.microsoft.com/office/drawing/2014/main" id="{00000000-0008-0000-0100-00000B000000}"/>
            </a:ext>
          </a:extLst>
        </xdr:cNvPr>
        <xdr:cNvSpPr txBox="1">
          <a:spLocks noChangeArrowheads="1"/>
        </xdr:cNvSpPr>
      </xdr:nvSpPr>
      <xdr:spPr bwMode="auto">
        <a:xfrm>
          <a:off x="2579894" y="4675188"/>
          <a:ext cx="245350" cy="21852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2</xdr:col>
      <xdr:colOff>289675</xdr:colOff>
      <xdr:row>23</xdr:row>
      <xdr:rowOff>132059</xdr:rowOff>
    </xdr:from>
    <xdr:to>
      <xdr:col>2</xdr:col>
      <xdr:colOff>604177</xdr:colOff>
      <xdr:row>25</xdr:row>
      <xdr:rowOff>52247</xdr:rowOff>
    </xdr:to>
    <xdr:sp macro="" textlink="">
      <xdr:nvSpPr>
        <xdr:cNvPr id="12" name="Text Box 257">
          <a:extLst>
            <a:ext uri="{FF2B5EF4-FFF2-40B4-BE49-F238E27FC236}">
              <a16:creationId xmlns:a16="http://schemas.microsoft.com/office/drawing/2014/main" id="{00000000-0008-0000-0100-00000C000000}"/>
            </a:ext>
          </a:extLst>
        </xdr:cNvPr>
        <xdr:cNvSpPr txBox="1">
          <a:spLocks noChangeArrowheads="1"/>
        </xdr:cNvSpPr>
      </xdr:nvSpPr>
      <xdr:spPr bwMode="auto">
        <a:xfrm>
          <a:off x="2280400" y="3856334"/>
          <a:ext cx="314502" cy="244038"/>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705821</xdr:colOff>
      <xdr:row>24</xdr:row>
      <xdr:rowOff>20397</xdr:rowOff>
    </xdr:from>
    <xdr:to>
      <xdr:col>2</xdr:col>
      <xdr:colOff>1015990</xdr:colOff>
      <xdr:row>25</xdr:row>
      <xdr:rowOff>77654</xdr:rowOff>
    </xdr:to>
    <xdr:sp macro="" textlink="">
      <xdr:nvSpPr>
        <xdr:cNvPr id="13" name="Text Box 258">
          <a:extLst>
            <a:ext uri="{FF2B5EF4-FFF2-40B4-BE49-F238E27FC236}">
              <a16:creationId xmlns:a16="http://schemas.microsoft.com/office/drawing/2014/main" id="{00000000-0008-0000-0100-00000D000000}"/>
            </a:ext>
          </a:extLst>
        </xdr:cNvPr>
        <xdr:cNvSpPr txBox="1">
          <a:spLocks noChangeArrowheads="1"/>
        </xdr:cNvSpPr>
      </xdr:nvSpPr>
      <xdr:spPr bwMode="auto">
        <a:xfrm>
          <a:off x="2696546" y="3906597"/>
          <a:ext cx="310169" cy="21918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392266</xdr:colOff>
      <xdr:row>29</xdr:row>
      <xdr:rowOff>139047</xdr:rowOff>
    </xdr:from>
    <xdr:to>
      <xdr:col>2</xdr:col>
      <xdr:colOff>814853</xdr:colOff>
      <xdr:row>31</xdr:row>
      <xdr:rowOff>37817</xdr:rowOff>
    </xdr:to>
    <xdr:sp macro="" textlink="'Variable Management'!B355">
      <xdr:nvSpPr>
        <xdr:cNvPr id="14" name="Text Box 262">
          <a:extLst>
            <a:ext uri="{FF2B5EF4-FFF2-40B4-BE49-F238E27FC236}">
              <a16:creationId xmlns:a16="http://schemas.microsoft.com/office/drawing/2014/main" id="{00000000-0008-0000-0100-00000E000000}"/>
            </a:ext>
          </a:extLst>
        </xdr:cNvPr>
        <xdr:cNvSpPr txBox="1">
          <a:spLocks noChangeArrowheads="1" noTextEdit="1"/>
        </xdr:cNvSpPr>
      </xdr:nvSpPr>
      <xdr:spPr bwMode="auto">
        <a:xfrm>
          <a:off x="2382991" y="4834872"/>
          <a:ext cx="422587" cy="222620"/>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82pF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669788</xdr:colOff>
      <xdr:row>25</xdr:row>
      <xdr:rowOff>51975</xdr:rowOff>
    </xdr:from>
    <xdr:to>
      <xdr:col>3</xdr:col>
      <xdr:colOff>54224</xdr:colOff>
      <xdr:row>26</xdr:row>
      <xdr:rowOff>113383</xdr:rowOff>
    </xdr:to>
    <xdr:sp macro="" textlink="'Variable Management'!B353">
      <xdr:nvSpPr>
        <xdr:cNvPr id="15" name="Text Box 263">
          <a:extLst>
            <a:ext uri="{FF2B5EF4-FFF2-40B4-BE49-F238E27FC236}">
              <a16:creationId xmlns:a16="http://schemas.microsoft.com/office/drawing/2014/main" id="{00000000-0008-0000-0100-00000F000000}"/>
            </a:ext>
          </a:extLst>
        </xdr:cNvPr>
        <xdr:cNvSpPr txBox="1">
          <a:spLocks noChangeArrowheads="1" noTextEdit="1"/>
        </xdr:cNvSpPr>
      </xdr:nvSpPr>
      <xdr:spPr bwMode="auto">
        <a:xfrm>
          <a:off x="2660513" y="4100100"/>
          <a:ext cx="460761" cy="223333"/>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6,34kΩ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379595</xdr:colOff>
      <xdr:row>19</xdr:row>
      <xdr:rowOff>91412</xdr:rowOff>
    </xdr:from>
    <xdr:to>
      <xdr:col>2</xdr:col>
      <xdr:colOff>1061575</xdr:colOff>
      <xdr:row>21</xdr:row>
      <xdr:rowOff>30464</xdr:rowOff>
    </xdr:to>
    <xdr:sp macro="" textlink="'Variable Management'!B380">
      <xdr:nvSpPr>
        <xdr:cNvPr id="16" name="Text Box 265">
          <a:extLst>
            <a:ext uri="{FF2B5EF4-FFF2-40B4-BE49-F238E27FC236}">
              <a16:creationId xmlns:a16="http://schemas.microsoft.com/office/drawing/2014/main" id="{00000000-0008-0000-0100-000010000000}"/>
            </a:ext>
          </a:extLst>
        </xdr:cNvPr>
        <xdr:cNvSpPr txBox="1">
          <a:spLocks noChangeArrowheads="1" noTextEdit="1"/>
        </xdr:cNvSpPr>
      </xdr:nvSpPr>
      <xdr:spPr bwMode="auto">
        <a:xfrm>
          <a:off x="2370320" y="3167987"/>
          <a:ext cx="681980" cy="26290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36,5kΩ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96201</xdr:colOff>
      <xdr:row>13</xdr:row>
      <xdr:rowOff>12640</xdr:rowOff>
    </xdr:from>
    <xdr:to>
      <xdr:col>1</xdr:col>
      <xdr:colOff>596825</xdr:colOff>
      <xdr:row>14</xdr:row>
      <xdr:rowOff>57839</xdr:rowOff>
    </xdr:to>
    <xdr:sp macro="" textlink="'Variable Management'!B345">
      <xdr:nvSpPr>
        <xdr:cNvPr id="17" name="Text Box 267">
          <a:extLst>
            <a:ext uri="{FF2B5EF4-FFF2-40B4-BE49-F238E27FC236}">
              <a16:creationId xmlns:a16="http://schemas.microsoft.com/office/drawing/2014/main" id="{00000000-0008-0000-0100-000011000000}"/>
            </a:ext>
          </a:extLst>
        </xdr:cNvPr>
        <xdr:cNvSpPr txBox="1">
          <a:spLocks noChangeArrowheads="1" noTextEdit="1"/>
        </xdr:cNvSpPr>
      </xdr:nvSpPr>
      <xdr:spPr bwMode="auto">
        <a:xfrm>
          <a:off x="734376" y="2117665"/>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943743</xdr:colOff>
      <xdr:row>11</xdr:row>
      <xdr:rowOff>5363</xdr:rowOff>
    </xdr:from>
    <xdr:to>
      <xdr:col>2</xdr:col>
      <xdr:colOff>37971</xdr:colOff>
      <xdr:row>12</xdr:row>
      <xdr:rowOff>52531</xdr:rowOff>
    </xdr:to>
    <xdr:sp macro="" textlink="'Variable Management'!B339">
      <xdr:nvSpPr>
        <xdr:cNvPr id="18" name="Text Box 275">
          <a:extLst>
            <a:ext uri="{FF2B5EF4-FFF2-40B4-BE49-F238E27FC236}">
              <a16:creationId xmlns:a16="http://schemas.microsoft.com/office/drawing/2014/main" id="{00000000-0008-0000-0100-000012000000}"/>
            </a:ext>
          </a:extLst>
        </xdr:cNvPr>
        <xdr:cNvSpPr txBox="1">
          <a:spLocks noChangeArrowheads="1" noTextEdit="1"/>
        </xdr:cNvSpPr>
      </xdr:nvSpPr>
      <xdr:spPr bwMode="auto">
        <a:xfrm>
          <a:off x="1581918" y="1786538"/>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876850</xdr:colOff>
      <xdr:row>4</xdr:row>
      <xdr:rowOff>95130</xdr:rowOff>
    </xdr:from>
    <xdr:to>
      <xdr:col>2</xdr:col>
      <xdr:colOff>65</xdr:colOff>
      <xdr:row>5</xdr:row>
      <xdr:rowOff>156921</xdr:rowOff>
    </xdr:to>
    <xdr:sp macro="" textlink="'Variable Management'!B349">
      <xdr:nvSpPr>
        <xdr:cNvPr id="19" name="Text Box 276">
          <a:extLst>
            <a:ext uri="{FF2B5EF4-FFF2-40B4-BE49-F238E27FC236}">
              <a16:creationId xmlns:a16="http://schemas.microsoft.com/office/drawing/2014/main" id="{00000000-0008-0000-0100-000013000000}"/>
            </a:ext>
          </a:extLst>
        </xdr:cNvPr>
        <xdr:cNvSpPr txBox="1">
          <a:spLocks noChangeArrowheads="1" noTextEdit="1"/>
        </xdr:cNvSpPr>
      </xdr:nvSpPr>
      <xdr:spPr bwMode="auto">
        <a:xfrm>
          <a:off x="1515025" y="742830"/>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870011</xdr:colOff>
      <xdr:row>32</xdr:row>
      <xdr:rowOff>86651</xdr:rowOff>
    </xdr:from>
    <xdr:to>
      <xdr:col>3</xdr:col>
      <xdr:colOff>1307654</xdr:colOff>
      <xdr:row>33</xdr:row>
      <xdr:rowOff>158938</xdr:rowOff>
    </xdr:to>
    <xdr:sp macro="" textlink="'Variable Management'!B381">
      <xdr:nvSpPr>
        <xdr:cNvPr id="20" name="Text Box 281">
          <a:extLst>
            <a:ext uri="{FF2B5EF4-FFF2-40B4-BE49-F238E27FC236}">
              <a16:creationId xmlns:a16="http://schemas.microsoft.com/office/drawing/2014/main" id="{00000000-0008-0000-0100-000014000000}"/>
            </a:ext>
          </a:extLst>
        </xdr:cNvPr>
        <xdr:cNvSpPr txBox="1">
          <a:spLocks noChangeArrowheads="1" noTextEdit="1"/>
        </xdr:cNvSpPr>
      </xdr:nvSpPr>
      <xdr:spPr bwMode="auto">
        <a:xfrm>
          <a:off x="3937061" y="5268251"/>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0</xdr:col>
      <xdr:colOff>0</xdr:colOff>
      <xdr:row>10</xdr:row>
      <xdr:rowOff>19036</xdr:rowOff>
    </xdr:from>
    <xdr:to>
      <xdr:col>0</xdr:col>
      <xdr:colOff>482804</xdr:colOff>
      <xdr:row>11</xdr:row>
      <xdr:rowOff>101723</xdr:rowOff>
    </xdr:to>
    <xdr:sp macro="" textlink="'Variable Management'!B343">
      <xdr:nvSpPr>
        <xdr:cNvPr id="21" name="Text Box 285">
          <a:extLst>
            <a:ext uri="{FF2B5EF4-FFF2-40B4-BE49-F238E27FC236}">
              <a16:creationId xmlns:a16="http://schemas.microsoft.com/office/drawing/2014/main" id="{00000000-0008-0000-0100-000015000000}"/>
            </a:ext>
          </a:extLst>
        </xdr:cNvPr>
        <xdr:cNvSpPr txBox="1">
          <a:spLocks noChangeArrowheads="1" noTextEdit="1"/>
        </xdr:cNvSpPr>
      </xdr:nvSpPr>
      <xdr:spPr bwMode="auto">
        <a:xfrm>
          <a:off x="0" y="1638286"/>
          <a:ext cx="482804"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10V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0</xdr:col>
      <xdr:colOff>10795</xdr:colOff>
      <xdr:row>11</xdr:row>
      <xdr:rowOff>64131</xdr:rowOff>
    </xdr:from>
    <xdr:to>
      <xdr:col>0</xdr:col>
      <xdr:colOff>467973</xdr:colOff>
      <xdr:row>12</xdr:row>
      <xdr:rowOff>144760</xdr:rowOff>
    </xdr:to>
    <xdr:sp macro="" textlink="'Variable Management'!B386">
      <xdr:nvSpPr>
        <xdr:cNvPr id="22" name="Text Box 286">
          <a:extLst>
            <a:ext uri="{FF2B5EF4-FFF2-40B4-BE49-F238E27FC236}">
              <a16:creationId xmlns:a16="http://schemas.microsoft.com/office/drawing/2014/main" id="{00000000-0008-0000-0100-000016000000}"/>
            </a:ext>
          </a:extLst>
        </xdr:cNvPr>
        <xdr:cNvSpPr txBox="1">
          <a:spLocks noChangeArrowheads="1" noTextEdit="1"/>
        </xdr:cNvSpPr>
      </xdr:nvSpPr>
      <xdr:spPr bwMode="auto">
        <a:xfrm>
          <a:off x="10795" y="1845306"/>
          <a:ext cx="457178"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10A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2</xdr:col>
      <xdr:colOff>658119</xdr:colOff>
      <xdr:row>17</xdr:row>
      <xdr:rowOff>92548</xdr:rowOff>
    </xdr:from>
    <xdr:to>
      <xdr:col>2</xdr:col>
      <xdr:colOff>924041</xdr:colOff>
      <xdr:row>18</xdr:row>
      <xdr:rowOff>122438</xdr:rowOff>
    </xdr:to>
    <xdr:sp macro="" textlink="">
      <xdr:nvSpPr>
        <xdr:cNvPr id="23" name="Text Box 251">
          <a:extLst>
            <a:ext uri="{FF2B5EF4-FFF2-40B4-BE49-F238E27FC236}">
              <a16:creationId xmlns:a16="http://schemas.microsoft.com/office/drawing/2014/main" id="{00000000-0008-0000-0100-000017000000}"/>
            </a:ext>
          </a:extLst>
        </xdr:cNvPr>
        <xdr:cNvSpPr txBox="1">
          <a:spLocks noChangeArrowheads="1"/>
        </xdr:cNvSpPr>
      </xdr:nvSpPr>
      <xdr:spPr bwMode="auto">
        <a:xfrm>
          <a:off x="2648844" y="2845273"/>
          <a:ext cx="265922"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5</xdr:col>
      <xdr:colOff>891111</xdr:colOff>
      <xdr:row>7</xdr:row>
      <xdr:rowOff>51329</xdr:rowOff>
    </xdr:from>
    <xdr:to>
      <xdr:col>5</xdr:col>
      <xdr:colOff>1353903</xdr:colOff>
      <xdr:row>8</xdr:row>
      <xdr:rowOff>112679</xdr:rowOff>
    </xdr:to>
    <xdr:sp macro="" textlink="">
      <xdr:nvSpPr>
        <xdr:cNvPr id="24" name="Text Box 247">
          <a:extLst>
            <a:ext uri="{FF2B5EF4-FFF2-40B4-BE49-F238E27FC236}">
              <a16:creationId xmlns:a16="http://schemas.microsoft.com/office/drawing/2014/main" id="{00000000-0008-0000-0100-000018000000}"/>
            </a:ext>
          </a:extLst>
        </xdr:cNvPr>
        <xdr:cNvSpPr txBox="1">
          <a:spLocks noChangeArrowheads="1"/>
        </xdr:cNvSpPr>
      </xdr:nvSpPr>
      <xdr:spPr bwMode="auto">
        <a:xfrm>
          <a:off x="6453711" y="1184804"/>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1199239</xdr:colOff>
      <xdr:row>12</xdr:row>
      <xdr:rowOff>117699</xdr:rowOff>
    </xdr:from>
    <xdr:to>
      <xdr:col>2</xdr:col>
      <xdr:colOff>169074</xdr:colOff>
      <xdr:row>14</xdr:row>
      <xdr:rowOff>39099</xdr:rowOff>
    </xdr:to>
    <xdr:sp macro="" textlink="">
      <xdr:nvSpPr>
        <xdr:cNvPr id="25" name="Text Box 244">
          <a:extLst>
            <a:ext uri="{FF2B5EF4-FFF2-40B4-BE49-F238E27FC236}">
              <a16:creationId xmlns:a16="http://schemas.microsoft.com/office/drawing/2014/main" id="{00000000-0008-0000-0100-000019000000}"/>
            </a:ext>
          </a:extLst>
        </xdr:cNvPr>
        <xdr:cNvSpPr txBox="1">
          <a:spLocks noChangeArrowheads="1"/>
        </xdr:cNvSpPr>
      </xdr:nvSpPr>
      <xdr:spPr bwMode="auto">
        <a:xfrm>
          <a:off x="1837414" y="2060799"/>
          <a:ext cx="322385" cy="24525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2</xdr:col>
      <xdr:colOff>10173</xdr:colOff>
      <xdr:row>8</xdr:row>
      <xdr:rowOff>65261</xdr:rowOff>
    </xdr:from>
    <xdr:to>
      <xdr:col>2</xdr:col>
      <xdr:colOff>329779</xdr:colOff>
      <xdr:row>10</xdr:row>
      <xdr:rowOff>10533</xdr:rowOff>
    </xdr:to>
    <xdr:sp macro="" textlink="">
      <xdr:nvSpPr>
        <xdr:cNvPr id="26" name="Text Box 244">
          <a:extLst>
            <a:ext uri="{FF2B5EF4-FFF2-40B4-BE49-F238E27FC236}">
              <a16:creationId xmlns:a16="http://schemas.microsoft.com/office/drawing/2014/main" id="{00000000-0008-0000-0100-00001A000000}"/>
            </a:ext>
          </a:extLst>
        </xdr:cNvPr>
        <xdr:cNvSpPr txBox="1">
          <a:spLocks noChangeArrowheads="1"/>
        </xdr:cNvSpPr>
      </xdr:nvSpPr>
      <xdr:spPr bwMode="auto">
        <a:xfrm>
          <a:off x="2000898" y="1360661"/>
          <a:ext cx="319606" cy="2691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428508</xdr:colOff>
      <xdr:row>8</xdr:row>
      <xdr:rowOff>133037</xdr:rowOff>
    </xdr:from>
    <xdr:to>
      <xdr:col>1</xdr:col>
      <xdr:colOff>909453</xdr:colOff>
      <xdr:row>10</xdr:row>
      <xdr:rowOff>80249</xdr:rowOff>
    </xdr:to>
    <xdr:sp macro="" textlink="'Variable Management'!B341">
      <xdr:nvSpPr>
        <xdr:cNvPr id="27" name="Text Box 275">
          <a:extLst>
            <a:ext uri="{FF2B5EF4-FFF2-40B4-BE49-F238E27FC236}">
              <a16:creationId xmlns:a16="http://schemas.microsoft.com/office/drawing/2014/main" id="{00000000-0008-0000-0100-00001B000000}"/>
            </a:ext>
          </a:extLst>
        </xdr:cNvPr>
        <xdr:cNvSpPr txBox="1">
          <a:spLocks noChangeArrowheads="1" noTextEdit="1"/>
        </xdr:cNvSpPr>
      </xdr:nvSpPr>
      <xdr:spPr bwMode="auto">
        <a:xfrm>
          <a:off x="1066683" y="1428437"/>
          <a:ext cx="480945" cy="271062"/>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1234493</xdr:colOff>
      <xdr:row>5</xdr:row>
      <xdr:rowOff>4688</xdr:rowOff>
    </xdr:from>
    <xdr:to>
      <xdr:col>6</xdr:col>
      <xdr:colOff>313486</xdr:colOff>
      <xdr:row>6</xdr:row>
      <xdr:rowOff>75670</xdr:rowOff>
    </xdr:to>
    <xdr:sp macro="" textlink="">
      <xdr:nvSpPr>
        <xdr:cNvPr id="28" name="Text Box 279">
          <a:extLst>
            <a:ext uri="{FF2B5EF4-FFF2-40B4-BE49-F238E27FC236}">
              <a16:creationId xmlns:a16="http://schemas.microsoft.com/office/drawing/2014/main" id="{00000000-0008-0000-0100-00001C000000}"/>
            </a:ext>
          </a:extLst>
        </xdr:cNvPr>
        <xdr:cNvSpPr txBox="1">
          <a:spLocks noChangeArrowheads="1"/>
        </xdr:cNvSpPr>
      </xdr:nvSpPr>
      <xdr:spPr bwMode="auto">
        <a:xfrm>
          <a:off x="6797093" y="814313"/>
          <a:ext cx="450593" cy="232907"/>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285960</xdr:colOff>
      <xdr:row>12</xdr:row>
      <xdr:rowOff>83920</xdr:rowOff>
    </xdr:from>
    <xdr:to>
      <xdr:col>6</xdr:col>
      <xdr:colOff>561742</xdr:colOff>
      <xdr:row>14</xdr:row>
      <xdr:rowOff>51172</xdr:rowOff>
    </xdr:to>
    <xdr:sp macro="" textlink="">
      <xdr:nvSpPr>
        <xdr:cNvPr id="29" name="Text Box 244">
          <a:extLst>
            <a:ext uri="{FF2B5EF4-FFF2-40B4-BE49-F238E27FC236}">
              <a16:creationId xmlns:a16="http://schemas.microsoft.com/office/drawing/2014/main" id="{00000000-0008-0000-0100-00001D000000}"/>
            </a:ext>
          </a:extLst>
        </xdr:cNvPr>
        <xdr:cNvSpPr txBox="1">
          <a:spLocks noChangeArrowheads="1"/>
        </xdr:cNvSpPr>
      </xdr:nvSpPr>
      <xdr:spPr bwMode="auto">
        <a:xfrm>
          <a:off x="7220160" y="2027020"/>
          <a:ext cx="275782" cy="2911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6</xdr:col>
      <xdr:colOff>292065</xdr:colOff>
      <xdr:row>8</xdr:row>
      <xdr:rowOff>56469</xdr:rowOff>
    </xdr:from>
    <xdr:to>
      <xdr:col>6</xdr:col>
      <xdr:colOff>569068</xdr:colOff>
      <xdr:row>9</xdr:row>
      <xdr:rowOff>161392</xdr:rowOff>
    </xdr:to>
    <xdr:sp macro="" textlink="">
      <xdr:nvSpPr>
        <xdr:cNvPr id="30" name="Text Box 244">
          <a:extLst>
            <a:ext uri="{FF2B5EF4-FFF2-40B4-BE49-F238E27FC236}">
              <a16:creationId xmlns:a16="http://schemas.microsoft.com/office/drawing/2014/main" id="{00000000-0008-0000-0100-00001E000000}"/>
            </a:ext>
          </a:extLst>
        </xdr:cNvPr>
        <xdr:cNvSpPr txBox="1">
          <a:spLocks noChangeArrowheads="1"/>
        </xdr:cNvSpPr>
      </xdr:nvSpPr>
      <xdr:spPr bwMode="auto">
        <a:xfrm>
          <a:off x="7226265" y="1351869"/>
          <a:ext cx="277003" cy="2668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2</xdr:col>
      <xdr:colOff>118463</xdr:colOff>
      <xdr:row>24</xdr:row>
      <xdr:rowOff>154077</xdr:rowOff>
    </xdr:from>
    <xdr:to>
      <xdr:col>2</xdr:col>
      <xdr:colOff>623979</xdr:colOff>
      <xdr:row>26</xdr:row>
      <xdr:rowOff>73629</xdr:rowOff>
    </xdr:to>
    <xdr:sp macro="" textlink="'Variable Management'!B354">
      <xdr:nvSpPr>
        <xdr:cNvPr id="31" name="Text Box 261">
          <a:extLst>
            <a:ext uri="{FF2B5EF4-FFF2-40B4-BE49-F238E27FC236}">
              <a16:creationId xmlns:a16="http://schemas.microsoft.com/office/drawing/2014/main" id="{00000000-0008-0000-0100-00001F000000}"/>
            </a:ext>
          </a:extLst>
        </xdr:cNvPr>
        <xdr:cNvSpPr txBox="1">
          <a:spLocks noChangeArrowheads="1" noTextEdit="1"/>
        </xdr:cNvSpPr>
      </xdr:nvSpPr>
      <xdr:spPr bwMode="auto">
        <a:xfrm>
          <a:off x="2109188" y="4040277"/>
          <a:ext cx="505516" cy="243402"/>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900" b="0" i="0" u="none" strike="noStrike" baseline="0">
              <a:solidFill>
                <a:srgbClr val="000000"/>
              </a:solidFill>
              <a:latin typeface="Arialri"/>
              <a:cs typeface="Arial" pitchFamily="34" charset="0"/>
            </a:rPr>
            <a:pPr algn="r" rtl="0">
              <a:defRPr sz="1000"/>
            </a:pPr>
            <a:t>39nF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389074</xdr:colOff>
      <xdr:row>2</xdr:row>
      <xdr:rowOff>90854</xdr:rowOff>
    </xdr:from>
    <xdr:to>
      <xdr:col>2</xdr:col>
      <xdr:colOff>33752</xdr:colOff>
      <xdr:row>4</xdr:row>
      <xdr:rowOff>30183</xdr:rowOff>
    </xdr:to>
    <xdr:sp macro="" textlink="'Variable Management'!B388">
      <xdr:nvSpPr>
        <xdr:cNvPr id="32" name="Text Box 283">
          <a:extLst>
            <a:ext uri="{FF2B5EF4-FFF2-40B4-BE49-F238E27FC236}">
              <a16:creationId xmlns:a16="http://schemas.microsoft.com/office/drawing/2014/main" id="{00000000-0008-0000-0100-000020000000}"/>
            </a:ext>
          </a:extLst>
        </xdr:cNvPr>
        <xdr:cNvSpPr txBox="1">
          <a:spLocks noChangeArrowheads="1" noTextEdit="1"/>
        </xdr:cNvSpPr>
      </xdr:nvSpPr>
      <xdr:spPr bwMode="auto">
        <a:xfrm>
          <a:off x="1027249" y="414704"/>
          <a:ext cx="997228" cy="26317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55V...65V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3</xdr:col>
      <xdr:colOff>82930</xdr:colOff>
      <xdr:row>3</xdr:row>
      <xdr:rowOff>74154</xdr:rowOff>
    </xdr:from>
    <xdr:to>
      <xdr:col>3</xdr:col>
      <xdr:colOff>493087</xdr:colOff>
      <xdr:row>4</xdr:row>
      <xdr:rowOff>153873</xdr:rowOff>
    </xdr:to>
    <xdr:sp macro="" textlink="">
      <xdr:nvSpPr>
        <xdr:cNvPr id="33" name="Text Box 248">
          <a:extLst>
            <a:ext uri="{FF2B5EF4-FFF2-40B4-BE49-F238E27FC236}">
              <a16:creationId xmlns:a16="http://schemas.microsoft.com/office/drawing/2014/main" id="{00000000-0008-0000-0100-000021000000}"/>
            </a:ext>
          </a:extLst>
        </xdr:cNvPr>
        <xdr:cNvSpPr txBox="1">
          <a:spLocks noChangeArrowheads="1"/>
        </xdr:cNvSpPr>
      </xdr:nvSpPr>
      <xdr:spPr bwMode="auto">
        <a:xfrm>
          <a:off x="3149980" y="559929"/>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4</xdr:col>
      <xdr:colOff>786366</xdr:colOff>
      <xdr:row>32</xdr:row>
      <xdr:rowOff>51348</xdr:rowOff>
    </xdr:from>
    <xdr:to>
      <xdr:col>5</xdr:col>
      <xdr:colOff>61458</xdr:colOff>
      <xdr:row>33</xdr:row>
      <xdr:rowOff>125538</xdr:rowOff>
    </xdr:to>
    <xdr:sp macro="" textlink="">
      <xdr:nvSpPr>
        <xdr:cNvPr id="34" name="Text Box 279">
          <a:extLst>
            <a:ext uri="{FF2B5EF4-FFF2-40B4-BE49-F238E27FC236}">
              <a16:creationId xmlns:a16="http://schemas.microsoft.com/office/drawing/2014/main" id="{00000000-0008-0000-0100-000022000000}"/>
            </a:ext>
          </a:extLst>
        </xdr:cNvPr>
        <xdr:cNvSpPr txBox="1">
          <a:spLocks noChangeArrowheads="1"/>
        </xdr:cNvSpPr>
      </xdr:nvSpPr>
      <xdr:spPr bwMode="auto">
        <a:xfrm>
          <a:off x="5196441" y="5232948"/>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2</xdr:col>
      <xdr:colOff>551311</xdr:colOff>
      <xdr:row>7</xdr:row>
      <xdr:rowOff>49455</xdr:rowOff>
    </xdr:from>
    <xdr:to>
      <xdr:col>2</xdr:col>
      <xdr:colOff>1014103</xdr:colOff>
      <xdr:row>8</xdr:row>
      <xdr:rowOff>110805</xdr:rowOff>
    </xdr:to>
    <xdr:sp macro="" textlink="">
      <xdr:nvSpPr>
        <xdr:cNvPr id="35" name="Text Box 247">
          <a:extLst>
            <a:ext uri="{FF2B5EF4-FFF2-40B4-BE49-F238E27FC236}">
              <a16:creationId xmlns:a16="http://schemas.microsoft.com/office/drawing/2014/main" id="{00000000-0008-0000-0100-000023000000}"/>
            </a:ext>
          </a:extLst>
        </xdr:cNvPr>
        <xdr:cNvSpPr txBox="1">
          <a:spLocks noChangeArrowheads="1"/>
        </xdr:cNvSpPr>
      </xdr:nvSpPr>
      <xdr:spPr bwMode="auto">
        <a:xfrm>
          <a:off x="2542036" y="1182930"/>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2</xdr:col>
      <xdr:colOff>335584</xdr:colOff>
      <xdr:row>3</xdr:row>
      <xdr:rowOff>102202</xdr:rowOff>
    </xdr:from>
    <xdr:to>
      <xdr:col>2</xdr:col>
      <xdr:colOff>711593</xdr:colOff>
      <xdr:row>5</xdr:row>
      <xdr:rowOff>31554</xdr:rowOff>
    </xdr:to>
    <xdr:sp macro="" textlink="">
      <xdr:nvSpPr>
        <xdr:cNvPr id="36" name="Text Box 249">
          <a:extLst>
            <a:ext uri="{FF2B5EF4-FFF2-40B4-BE49-F238E27FC236}">
              <a16:creationId xmlns:a16="http://schemas.microsoft.com/office/drawing/2014/main" id="{00000000-0008-0000-0100-000024000000}"/>
            </a:ext>
          </a:extLst>
        </xdr:cNvPr>
        <xdr:cNvSpPr txBox="1">
          <a:spLocks noChangeArrowheads="1"/>
        </xdr:cNvSpPr>
      </xdr:nvSpPr>
      <xdr:spPr bwMode="auto">
        <a:xfrm>
          <a:off x="2326309" y="587977"/>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2</xdr:col>
      <xdr:colOff>358133</xdr:colOff>
      <xdr:row>5</xdr:row>
      <xdr:rowOff>25459</xdr:rowOff>
    </xdr:from>
    <xdr:to>
      <xdr:col>2</xdr:col>
      <xdr:colOff>810191</xdr:colOff>
      <xdr:row>6</xdr:row>
      <xdr:rowOff>97632</xdr:rowOff>
    </xdr:to>
    <xdr:sp macro="" textlink="">
      <xdr:nvSpPr>
        <xdr:cNvPr id="37" name="Text Box 279">
          <a:extLst>
            <a:ext uri="{FF2B5EF4-FFF2-40B4-BE49-F238E27FC236}">
              <a16:creationId xmlns:a16="http://schemas.microsoft.com/office/drawing/2014/main" id="{00000000-0008-0000-0100-000025000000}"/>
            </a:ext>
          </a:extLst>
        </xdr:cNvPr>
        <xdr:cNvSpPr txBox="1">
          <a:spLocks noChangeArrowheads="1"/>
        </xdr:cNvSpPr>
      </xdr:nvSpPr>
      <xdr:spPr bwMode="auto">
        <a:xfrm>
          <a:off x="2348858" y="835084"/>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542992</xdr:colOff>
      <xdr:row>8</xdr:row>
      <xdr:rowOff>130514</xdr:rowOff>
    </xdr:from>
    <xdr:to>
      <xdr:col>7</xdr:col>
      <xdr:colOff>232513</xdr:colOff>
      <xdr:row>10</xdr:row>
      <xdr:rowOff>82171</xdr:rowOff>
    </xdr:to>
    <xdr:sp macro="" textlink="">
      <xdr:nvSpPr>
        <xdr:cNvPr id="38" name="Text Box 235">
          <a:extLst>
            <a:ext uri="{FF2B5EF4-FFF2-40B4-BE49-F238E27FC236}">
              <a16:creationId xmlns:a16="http://schemas.microsoft.com/office/drawing/2014/main" id="{00000000-0008-0000-0100-000026000000}"/>
            </a:ext>
          </a:extLst>
        </xdr:cNvPr>
        <xdr:cNvSpPr txBox="1">
          <a:spLocks noChangeArrowheads="1"/>
        </xdr:cNvSpPr>
      </xdr:nvSpPr>
      <xdr:spPr bwMode="auto">
        <a:xfrm>
          <a:off x="7477192" y="1425914"/>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6</xdr:col>
      <xdr:colOff>493138</xdr:colOff>
      <xdr:row>11</xdr:row>
      <xdr:rowOff>33204</xdr:rowOff>
    </xdr:from>
    <xdr:to>
      <xdr:col>7</xdr:col>
      <xdr:colOff>292216</xdr:colOff>
      <xdr:row>12</xdr:row>
      <xdr:rowOff>79640</xdr:rowOff>
    </xdr:to>
    <xdr:sp macro="" textlink="'Variable Management'!D339">
      <xdr:nvSpPr>
        <xdr:cNvPr id="39" name="Text Box 275">
          <a:extLst>
            <a:ext uri="{FF2B5EF4-FFF2-40B4-BE49-F238E27FC236}">
              <a16:creationId xmlns:a16="http://schemas.microsoft.com/office/drawing/2014/main" id="{00000000-0008-0000-0100-000027000000}"/>
            </a:ext>
          </a:extLst>
        </xdr:cNvPr>
        <xdr:cNvSpPr txBox="1">
          <a:spLocks noChangeArrowheads="1" noTextEdit="1"/>
        </xdr:cNvSpPr>
      </xdr:nvSpPr>
      <xdr:spPr bwMode="auto">
        <a:xfrm>
          <a:off x="7427338" y="1814379"/>
          <a:ext cx="446778" cy="208361"/>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442930</xdr:colOff>
      <xdr:row>7</xdr:row>
      <xdr:rowOff>145281</xdr:rowOff>
    </xdr:from>
    <xdr:to>
      <xdr:col>7</xdr:col>
      <xdr:colOff>686791</xdr:colOff>
      <xdr:row>9</xdr:row>
      <xdr:rowOff>42727</xdr:rowOff>
    </xdr:to>
    <xdr:sp macro="" textlink="">
      <xdr:nvSpPr>
        <xdr:cNvPr id="40" name="Text Box 234">
          <a:extLst>
            <a:ext uri="{FF2B5EF4-FFF2-40B4-BE49-F238E27FC236}">
              <a16:creationId xmlns:a16="http://schemas.microsoft.com/office/drawing/2014/main" id="{00000000-0008-0000-0100-000028000000}"/>
            </a:ext>
          </a:extLst>
        </xdr:cNvPr>
        <xdr:cNvSpPr txBox="1">
          <a:spLocks noChangeArrowheads="1"/>
        </xdr:cNvSpPr>
      </xdr:nvSpPr>
      <xdr:spPr bwMode="auto">
        <a:xfrm>
          <a:off x="8024830" y="1278756"/>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7</xdr:col>
      <xdr:colOff>333992</xdr:colOff>
      <xdr:row>9</xdr:row>
      <xdr:rowOff>5547</xdr:rowOff>
    </xdr:from>
    <xdr:to>
      <xdr:col>7</xdr:col>
      <xdr:colOff>814937</xdr:colOff>
      <xdr:row>10</xdr:row>
      <xdr:rowOff>117614</xdr:rowOff>
    </xdr:to>
    <xdr:sp macro="" textlink="'Variable Management'!D341">
      <xdr:nvSpPr>
        <xdr:cNvPr id="41" name="Text Box 275">
          <a:extLst>
            <a:ext uri="{FF2B5EF4-FFF2-40B4-BE49-F238E27FC236}">
              <a16:creationId xmlns:a16="http://schemas.microsoft.com/office/drawing/2014/main" id="{00000000-0008-0000-0100-000029000000}"/>
            </a:ext>
          </a:extLst>
        </xdr:cNvPr>
        <xdr:cNvSpPr txBox="1">
          <a:spLocks noChangeArrowheads="1" noTextEdit="1"/>
        </xdr:cNvSpPr>
      </xdr:nvSpPr>
      <xdr:spPr bwMode="auto">
        <a:xfrm>
          <a:off x="7915892" y="1462872"/>
          <a:ext cx="480945" cy="27399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699873</xdr:colOff>
      <xdr:row>11</xdr:row>
      <xdr:rowOff>119100</xdr:rowOff>
    </xdr:from>
    <xdr:to>
      <xdr:col>8</xdr:col>
      <xdr:colOff>8795</xdr:colOff>
      <xdr:row>13</xdr:row>
      <xdr:rowOff>26530</xdr:rowOff>
    </xdr:to>
    <xdr:sp macro="" textlink="">
      <xdr:nvSpPr>
        <xdr:cNvPr id="42" name="Text Box 228">
          <a:extLst>
            <a:ext uri="{FF2B5EF4-FFF2-40B4-BE49-F238E27FC236}">
              <a16:creationId xmlns:a16="http://schemas.microsoft.com/office/drawing/2014/main" id="{00000000-0008-0000-0100-00002A000000}"/>
            </a:ext>
          </a:extLst>
        </xdr:cNvPr>
        <xdr:cNvSpPr txBox="1">
          <a:spLocks noChangeArrowheads="1"/>
        </xdr:cNvSpPr>
      </xdr:nvSpPr>
      <xdr:spPr bwMode="auto">
        <a:xfrm>
          <a:off x="8281773" y="1900275"/>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7</xdr:col>
      <xdr:colOff>673381</xdr:colOff>
      <xdr:row>13</xdr:row>
      <xdr:rowOff>4119</xdr:rowOff>
    </xdr:from>
    <xdr:to>
      <xdr:col>8</xdr:col>
      <xdr:colOff>37004</xdr:colOff>
      <xdr:row>14</xdr:row>
      <xdr:rowOff>47211</xdr:rowOff>
    </xdr:to>
    <xdr:sp macro="" textlink="'Variable Management'!D345">
      <xdr:nvSpPr>
        <xdr:cNvPr id="43" name="Text Box 267">
          <a:extLst>
            <a:ext uri="{FF2B5EF4-FFF2-40B4-BE49-F238E27FC236}">
              <a16:creationId xmlns:a16="http://schemas.microsoft.com/office/drawing/2014/main" id="{00000000-0008-0000-0100-00002B000000}"/>
            </a:ext>
          </a:extLst>
        </xdr:cNvPr>
        <xdr:cNvSpPr txBox="1">
          <a:spLocks noChangeArrowheads="1" noTextEdit="1"/>
        </xdr:cNvSpPr>
      </xdr:nvSpPr>
      <xdr:spPr bwMode="auto">
        <a:xfrm>
          <a:off x="8255281" y="2109144"/>
          <a:ext cx="439948" cy="205017"/>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1286322</xdr:colOff>
      <xdr:row>32</xdr:row>
      <xdr:rowOff>88557</xdr:rowOff>
    </xdr:from>
    <xdr:to>
      <xdr:col>4</xdr:col>
      <xdr:colOff>380940</xdr:colOff>
      <xdr:row>33</xdr:row>
      <xdr:rowOff>160844</xdr:rowOff>
    </xdr:to>
    <xdr:sp macro="" textlink="'Variable Management'!B382">
      <xdr:nvSpPr>
        <xdr:cNvPr id="44" name="Text Box 281">
          <a:extLst>
            <a:ext uri="{FF2B5EF4-FFF2-40B4-BE49-F238E27FC236}">
              <a16:creationId xmlns:a16="http://schemas.microsoft.com/office/drawing/2014/main" id="{00000000-0008-0000-0100-00002C000000}"/>
            </a:ext>
          </a:extLst>
        </xdr:cNvPr>
        <xdr:cNvSpPr txBox="1">
          <a:spLocks noChangeArrowheads="1" noTextEdit="1"/>
        </xdr:cNvSpPr>
      </xdr:nvSpPr>
      <xdr:spPr bwMode="auto">
        <a:xfrm>
          <a:off x="4353372" y="5270157"/>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8</xdr:col>
      <xdr:colOff>317575</xdr:colOff>
      <xdr:row>10</xdr:row>
      <xdr:rowOff>5781</xdr:rowOff>
    </xdr:from>
    <xdr:to>
      <xdr:col>8</xdr:col>
      <xdr:colOff>796749</xdr:colOff>
      <xdr:row>11</xdr:row>
      <xdr:rowOff>88468</xdr:rowOff>
    </xdr:to>
    <xdr:sp macro="" textlink="'Variable Management'!D343">
      <xdr:nvSpPr>
        <xdr:cNvPr id="45" name="Text Box 285">
          <a:extLst>
            <a:ext uri="{FF2B5EF4-FFF2-40B4-BE49-F238E27FC236}">
              <a16:creationId xmlns:a16="http://schemas.microsoft.com/office/drawing/2014/main" id="{00000000-0008-0000-0100-00002D000000}"/>
            </a:ext>
          </a:extLst>
        </xdr:cNvPr>
        <xdr:cNvSpPr txBox="1">
          <a:spLocks noChangeArrowheads="1" noTextEdit="1"/>
        </xdr:cNvSpPr>
      </xdr:nvSpPr>
      <xdr:spPr bwMode="auto">
        <a:xfrm>
          <a:off x="8975800" y="1625031"/>
          <a:ext cx="47917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50V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8</xdr:col>
      <xdr:colOff>327414</xdr:colOff>
      <xdr:row>11</xdr:row>
      <xdr:rowOff>58203</xdr:rowOff>
    </xdr:from>
    <xdr:to>
      <xdr:col>8</xdr:col>
      <xdr:colOff>780962</xdr:colOff>
      <xdr:row>12</xdr:row>
      <xdr:rowOff>138832</xdr:rowOff>
    </xdr:to>
    <xdr:sp macro="" textlink="'Variable Management'!D386">
      <xdr:nvSpPr>
        <xdr:cNvPr id="46" name="Text Box 286">
          <a:extLst>
            <a:ext uri="{FF2B5EF4-FFF2-40B4-BE49-F238E27FC236}">
              <a16:creationId xmlns:a16="http://schemas.microsoft.com/office/drawing/2014/main" id="{00000000-0008-0000-0100-00002E000000}"/>
            </a:ext>
          </a:extLst>
        </xdr:cNvPr>
        <xdr:cNvSpPr txBox="1">
          <a:spLocks noChangeArrowheads="1" noTextEdit="1"/>
        </xdr:cNvSpPr>
      </xdr:nvSpPr>
      <xdr:spPr bwMode="auto">
        <a:xfrm>
          <a:off x="8985639" y="1839378"/>
          <a:ext cx="453548" cy="24255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10A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4</xdr:col>
      <xdr:colOff>360386</xdr:colOff>
      <xdr:row>31</xdr:row>
      <xdr:rowOff>44509</xdr:rowOff>
    </xdr:from>
    <xdr:to>
      <xdr:col>4</xdr:col>
      <xdr:colOff>687542</xdr:colOff>
      <xdr:row>32</xdr:row>
      <xdr:rowOff>142603</xdr:rowOff>
    </xdr:to>
    <xdr:sp macro="" textlink="">
      <xdr:nvSpPr>
        <xdr:cNvPr id="47" name="Text Box 251">
          <a:extLst>
            <a:ext uri="{FF2B5EF4-FFF2-40B4-BE49-F238E27FC236}">
              <a16:creationId xmlns:a16="http://schemas.microsoft.com/office/drawing/2014/main" id="{00000000-0008-0000-0100-00002F000000}"/>
            </a:ext>
          </a:extLst>
        </xdr:cNvPr>
        <xdr:cNvSpPr txBox="1">
          <a:spLocks noChangeArrowheads="1"/>
        </xdr:cNvSpPr>
      </xdr:nvSpPr>
      <xdr:spPr bwMode="auto">
        <a:xfrm>
          <a:off x="4770461" y="5064184"/>
          <a:ext cx="327156" cy="2600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4</xdr:col>
      <xdr:colOff>333830</xdr:colOff>
      <xdr:row>32</xdr:row>
      <xdr:rowOff>89315</xdr:rowOff>
    </xdr:from>
    <xdr:to>
      <xdr:col>4</xdr:col>
      <xdr:colOff>771473</xdr:colOff>
      <xdr:row>33</xdr:row>
      <xdr:rowOff>161602</xdr:rowOff>
    </xdr:to>
    <xdr:sp macro="" textlink="'Variable Management'!B383">
      <xdr:nvSpPr>
        <xdr:cNvPr id="48" name="Text Box 281">
          <a:extLst>
            <a:ext uri="{FF2B5EF4-FFF2-40B4-BE49-F238E27FC236}">
              <a16:creationId xmlns:a16="http://schemas.microsoft.com/office/drawing/2014/main" id="{00000000-0008-0000-0100-000030000000}"/>
            </a:ext>
          </a:extLst>
        </xdr:cNvPr>
        <xdr:cNvSpPr txBox="1">
          <a:spLocks noChangeArrowheads="1" noTextEdit="1"/>
        </xdr:cNvSpPr>
      </xdr:nvSpPr>
      <xdr:spPr bwMode="auto">
        <a:xfrm>
          <a:off x="4743905" y="5270915"/>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1306355</xdr:colOff>
      <xdr:row>24</xdr:row>
      <xdr:rowOff>132056</xdr:rowOff>
    </xdr:from>
    <xdr:to>
      <xdr:col>6</xdr:col>
      <xdr:colOff>440271</xdr:colOff>
      <xdr:row>26</xdr:row>
      <xdr:rowOff>54540</xdr:rowOff>
    </xdr:to>
    <xdr:sp macro="" textlink="'Variable Management'!D354">
      <xdr:nvSpPr>
        <xdr:cNvPr id="49" name="Text Box 261">
          <a:extLst>
            <a:ext uri="{FF2B5EF4-FFF2-40B4-BE49-F238E27FC236}">
              <a16:creationId xmlns:a16="http://schemas.microsoft.com/office/drawing/2014/main" id="{00000000-0008-0000-0100-000031000000}"/>
            </a:ext>
          </a:extLst>
        </xdr:cNvPr>
        <xdr:cNvSpPr txBox="1">
          <a:spLocks noChangeArrowheads="1" noTextEdit="1"/>
        </xdr:cNvSpPr>
      </xdr:nvSpPr>
      <xdr:spPr bwMode="auto">
        <a:xfrm>
          <a:off x="6868955" y="4018256"/>
          <a:ext cx="505516" cy="246334"/>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8,2nF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812466</xdr:colOff>
      <xdr:row>25</xdr:row>
      <xdr:rowOff>4768</xdr:rowOff>
    </xdr:from>
    <xdr:to>
      <xdr:col>5</xdr:col>
      <xdr:colOff>1273227</xdr:colOff>
      <xdr:row>26</xdr:row>
      <xdr:rowOff>82260</xdr:rowOff>
    </xdr:to>
    <xdr:sp macro="" textlink="'Variable Management'!D353">
      <xdr:nvSpPr>
        <xdr:cNvPr id="50" name="Text Box 263">
          <a:extLst>
            <a:ext uri="{FF2B5EF4-FFF2-40B4-BE49-F238E27FC236}">
              <a16:creationId xmlns:a16="http://schemas.microsoft.com/office/drawing/2014/main" id="{00000000-0008-0000-0100-000032000000}"/>
            </a:ext>
          </a:extLst>
        </xdr:cNvPr>
        <xdr:cNvSpPr txBox="1">
          <a:spLocks noChangeArrowheads="1" noTextEdit="1"/>
        </xdr:cNvSpPr>
      </xdr:nvSpPr>
      <xdr:spPr bwMode="auto">
        <a:xfrm>
          <a:off x="6375066" y="4052893"/>
          <a:ext cx="460761" cy="239417"/>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31,6kΩ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1061260</xdr:colOff>
      <xdr:row>30</xdr:row>
      <xdr:rowOff>10588</xdr:rowOff>
    </xdr:from>
    <xdr:to>
      <xdr:col>6</xdr:col>
      <xdr:colOff>109866</xdr:colOff>
      <xdr:row>31</xdr:row>
      <xdr:rowOff>67162</xdr:rowOff>
    </xdr:to>
    <xdr:sp macro="" textlink="'Variable Management'!D355">
      <xdr:nvSpPr>
        <xdr:cNvPr id="51" name="Text Box 262">
          <a:extLst>
            <a:ext uri="{FF2B5EF4-FFF2-40B4-BE49-F238E27FC236}">
              <a16:creationId xmlns:a16="http://schemas.microsoft.com/office/drawing/2014/main" id="{00000000-0008-0000-0100-000033000000}"/>
            </a:ext>
          </a:extLst>
        </xdr:cNvPr>
        <xdr:cNvSpPr txBox="1">
          <a:spLocks noChangeArrowheads="1" noTextEdit="1"/>
        </xdr:cNvSpPr>
      </xdr:nvSpPr>
      <xdr:spPr bwMode="auto">
        <a:xfrm>
          <a:off x="6623860" y="4868338"/>
          <a:ext cx="420206" cy="218499"/>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1336311</xdr:colOff>
      <xdr:row>21</xdr:row>
      <xdr:rowOff>5273</xdr:rowOff>
    </xdr:from>
    <xdr:to>
      <xdr:col>6</xdr:col>
      <xdr:colOff>340720</xdr:colOff>
      <xdr:row>22</xdr:row>
      <xdr:rowOff>92154</xdr:rowOff>
    </xdr:to>
    <xdr:sp macro="" textlink="">
      <xdr:nvSpPr>
        <xdr:cNvPr id="52" name="Text Box 249">
          <a:extLst>
            <a:ext uri="{FF2B5EF4-FFF2-40B4-BE49-F238E27FC236}">
              <a16:creationId xmlns:a16="http://schemas.microsoft.com/office/drawing/2014/main" id="{00000000-0008-0000-0100-000034000000}"/>
            </a:ext>
          </a:extLst>
        </xdr:cNvPr>
        <xdr:cNvSpPr txBox="1">
          <a:spLocks noChangeArrowheads="1"/>
        </xdr:cNvSpPr>
      </xdr:nvSpPr>
      <xdr:spPr bwMode="auto">
        <a:xfrm>
          <a:off x="6898911" y="3405698"/>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5</xdr:col>
      <xdr:colOff>1353417</xdr:colOff>
      <xdr:row>22</xdr:row>
      <xdr:rowOff>50849</xdr:rowOff>
    </xdr:from>
    <xdr:to>
      <xdr:col>6</xdr:col>
      <xdr:colOff>432410</xdr:colOff>
      <xdr:row>23</xdr:row>
      <xdr:rowOff>125953</xdr:rowOff>
    </xdr:to>
    <xdr:sp macro="" textlink="">
      <xdr:nvSpPr>
        <xdr:cNvPr id="53" name="Text Box 279">
          <a:extLst>
            <a:ext uri="{FF2B5EF4-FFF2-40B4-BE49-F238E27FC236}">
              <a16:creationId xmlns:a16="http://schemas.microsoft.com/office/drawing/2014/main" id="{00000000-0008-0000-0100-000035000000}"/>
            </a:ext>
          </a:extLst>
        </xdr:cNvPr>
        <xdr:cNvSpPr txBox="1">
          <a:spLocks noChangeArrowheads="1"/>
        </xdr:cNvSpPr>
      </xdr:nvSpPr>
      <xdr:spPr bwMode="auto">
        <a:xfrm>
          <a:off x="6916017" y="3613199"/>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5</xdr:col>
      <xdr:colOff>232907</xdr:colOff>
      <xdr:row>30</xdr:row>
      <xdr:rowOff>62142</xdr:rowOff>
    </xdr:from>
    <xdr:to>
      <xdr:col>5</xdr:col>
      <xdr:colOff>720824</xdr:colOff>
      <xdr:row>31</xdr:row>
      <xdr:rowOff>85347</xdr:rowOff>
    </xdr:to>
    <xdr:sp macro="" textlink="'Variable Management'!B362">
      <xdr:nvSpPr>
        <xdr:cNvPr id="54" name="Text Box 266">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5795507" y="4919892"/>
          <a:ext cx="487917" cy="185130"/>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254916</xdr:colOff>
      <xdr:row>28</xdr:row>
      <xdr:rowOff>156904</xdr:rowOff>
    </xdr:from>
    <xdr:to>
      <xdr:col>5</xdr:col>
      <xdr:colOff>636692</xdr:colOff>
      <xdr:row>30</xdr:row>
      <xdr:rowOff>84367</xdr:rowOff>
    </xdr:to>
    <xdr:sp macro="" textlink="">
      <xdr:nvSpPr>
        <xdr:cNvPr id="55" name="Text Box 233">
          <a:extLst>
            <a:ext uri="{FF2B5EF4-FFF2-40B4-BE49-F238E27FC236}">
              <a16:creationId xmlns:a16="http://schemas.microsoft.com/office/drawing/2014/main" id="{00000000-0008-0000-0100-000037000000}"/>
            </a:ext>
          </a:extLst>
        </xdr:cNvPr>
        <xdr:cNvSpPr txBox="1">
          <a:spLocks noChangeArrowheads="1"/>
        </xdr:cNvSpPr>
      </xdr:nvSpPr>
      <xdr:spPr bwMode="auto">
        <a:xfrm>
          <a:off x="5817516" y="4690804"/>
          <a:ext cx="381776" cy="25131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3</xdr:col>
      <xdr:colOff>848696</xdr:colOff>
      <xdr:row>31</xdr:row>
      <xdr:rowOff>59142</xdr:rowOff>
    </xdr:from>
    <xdr:to>
      <xdr:col>3</xdr:col>
      <xdr:colOff>1286339</xdr:colOff>
      <xdr:row>32</xdr:row>
      <xdr:rowOff>135824</xdr:rowOff>
    </xdr:to>
    <xdr:sp macro="" textlink="'Variable Management'!C381">
      <xdr:nvSpPr>
        <xdr:cNvPr id="56" name="Text Box 281">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915746" y="5078817"/>
          <a:ext cx="437643" cy="23860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Css1</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3</xdr:col>
      <xdr:colOff>1264865</xdr:colOff>
      <xdr:row>31</xdr:row>
      <xdr:rowOff>82588</xdr:rowOff>
    </xdr:from>
    <xdr:to>
      <xdr:col>4</xdr:col>
      <xdr:colOff>359483</xdr:colOff>
      <xdr:row>32</xdr:row>
      <xdr:rowOff>154875</xdr:rowOff>
    </xdr:to>
    <xdr:sp macro="" textlink="'Variable Management'!C382">
      <xdr:nvSpPr>
        <xdr:cNvPr id="57" name="Text Box 281">
          <a:extLst>
            <a:ext uri="{FF2B5EF4-FFF2-40B4-BE49-F238E27FC236}">
              <a16:creationId xmlns:a16="http://schemas.microsoft.com/office/drawing/2014/main" id="{00000000-0008-0000-0100-000039000000}"/>
            </a:ext>
          </a:extLst>
        </xdr:cNvPr>
        <xdr:cNvSpPr txBox="1">
          <a:spLocks noChangeArrowheads="1" noTextEdit="1"/>
        </xdr:cNvSpPr>
      </xdr:nvSpPr>
      <xdr:spPr bwMode="auto">
        <a:xfrm>
          <a:off x="4331915" y="510226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Css2</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857342</xdr:colOff>
      <xdr:row>23</xdr:row>
      <xdr:rowOff>153688</xdr:rowOff>
    </xdr:from>
    <xdr:to>
      <xdr:col>5</xdr:col>
      <xdr:colOff>1318103</xdr:colOff>
      <xdr:row>25</xdr:row>
      <xdr:rowOff>66325</xdr:rowOff>
    </xdr:to>
    <xdr:sp macro="" textlink="'Variable Management'!C353">
      <xdr:nvSpPr>
        <xdr:cNvPr id="58" name="Text Box 263">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6419942" y="3877963"/>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1354107</xdr:colOff>
      <xdr:row>23</xdr:row>
      <xdr:rowOff>122915</xdr:rowOff>
    </xdr:from>
    <xdr:to>
      <xdr:col>6</xdr:col>
      <xdr:colOff>443268</xdr:colOff>
      <xdr:row>25</xdr:row>
      <xdr:rowOff>35552</xdr:rowOff>
    </xdr:to>
    <xdr:sp macro="" textlink="'Variable Management'!C354">
      <xdr:nvSpPr>
        <xdr:cNvPr id="59" name="Text Box 263">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6916707" y="3847190"/>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1147488</xdr:colOff>
      <xdr:row>28</xdr:row>
      <xdr:rowOff>136836</xdr:rowOff>
    </xdr:from>
    <xdr:to>
      <xdr:col>6</xdr:col>
      <xdr:colOff>236649</xdr:colOff>
      <xdr:row>30</xdr:row>
      <xdr:rowOff>49473</xdr:rowOff>
    </xdr:to>
    <xdr:sp macro="" textlink="'Variable Management'!C355">
      <xdr:nvSpPr>
        <xdr:cNvPr id="60" name="Text Box 263">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6710088" y="4670736"/>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twoCellAnchor>
    <xdr:from>
      <xdr:col>3</xdr:col>
      <xdr:colOff>1047750</xdr:colOff>
      <xdr:row>14</xdr:row>
      <xdr:rowOff>38100</xdr:rowOff>
    </xdr:from>
    <xdr:to>
      <xdr:col>4</xdr:col>
      <xdr:colOff>928321</xdr:colOff>
      <xdr:row>20</xdr:row>
      <xdr:rowOff>19050</xdr:rowOff>
    </xdr:to>
    <xdr:sp macro="" textlink="'Variable Management'!X25">
      <xdr:nvSpPr>
        <xdr:cNvPr id="61" name="Text Box 2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4114800" y="2305050"/>
          <a:ext cx="1223596" cy="952500"/>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257175</xdr:colOff>
      <xdr:row>6</xdr:row>
      <xdr:rowOff>114300</xdr:rowOff>
    </xdr:from>
    <xdr:to>
      <xdr:col>12</xdr:col>
      <xdr:colOff>369105</xdr:colOff>
      <xdr:row>43</xdr:row>
      <xdr:rowOff>66675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1619250"/>
          <a:ext cx="7427130" cy="5943600"/>
        </a:xfrm>
        <a:prstGeom prst="rect">
          <a:avLst/>
        </a:prstGeom>
      </xdr:spPr>
    </xdr:pic>
    <xdr:clientData/>
  </xdr:twoCellAnchor>
  <xdr:twoCellAnchor editAs="oneCell">
    <xdr:from>
      <xdr:col>12</xdr:col>
      <xdr:colOff>542925</xdr:colOff>
      <xdr:row>6</xdr:row>
      <xdr:rowOff>114299</xdr:rowOff>
    </xdr:from>
    <xdr:to>
      <xdr:col>24</xdr:col>
      <xdr:colOff>17043</xdr:colOff>
      <xdr:row>43</xdr:row>
      <xdr:rowOff>66674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8125" y="1619249"/>
          <a:ext cx="7408443" cy="594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352425</xdr:colOff>
      <xdr:row>23</xdr:row>
      <xdr:rowOff>104775</xdr:rowOff>
    </xdr:from>
    <xdr:to>
      <xdr:col>19</xdr:col>
      <xdr:colOff>561975</xdr:colOff>
      <xdr:row>54</xdr:row>
      <xdr:rowOff>152400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1925300" y="4057650"/>
          <a:ext cx="6286500" cy="51625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354">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39nF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363">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100kΩ</a:t>
            </a:fld>
            <a:endParaRPr lang="el-GR" sz="1000" b="1" i="0" u="none" strike="noStrike" baseline="0">
              <a:solidFill>
                <a:srgbClr val="000000"/>
              </a:solidFill>
              <a:latin typeface="Arial"/>
              <a:cs typeface="Arial"/>
            </a:endParaRPr>
          </a:p>
        </xdr:txBody>
      </xdr:sp>
      <xdr:sp macro="" textlink="$A$364">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6,34kΩ</a:t>
            </a:fld>
            <a:endParaRPr lang="el-GR" sz="1000" b="1" i="0" u="none" strike="noStrike" baseline="0">
              <a:solidFill>
                <a:srgbClr val="000000"/>
              </a:solidFill>
              <a:latin typeface="Arial"/>
              <a:cs typeface="Arial"/>
            </a:endParaRPr>
          </a:p>
        </xdr:txBody>
      </xdr:sp>
      <xdr:sp macro="" textlink="$A$353">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6,34kΩ</a:t>
            </a:fld>
            <a:endParaRPr lang="el-GR" sz="1000" b="1" i="0" u="none" strike="noStrike" baseline="0">
              <a:solidFill>
                <a:srgbClr val="000000"/>
              </a:solidFill>
              <a:latin typeface="Arial"/>
              <a:cs typeface="Arial"/>
            </a:endParaRPr>
          </a:p>
        </xdr:txBody>
      </xdr:sp>
      <xdr:sp macro="" textlink="$A$343">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10V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357">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358">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359">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30MHz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16</xdr:col>
      <xdr:colOff>381000</xdr:colOff>
      <xdr:row>3</xdr:row>
      <xdr:rowOff>1960</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55244</xdr:colOff>
      <xdr:row>14</xdr:row>
      <xdr:rowOff>163829</xdr:rowOff>
    </xdr:from>
    <xdr:to>
      <xdr:col>12</xdr:col>
      <xdr:colOff>443864</xdr:colOff>
      <xdr:row>43</xdr:row>
      <xdr:rowOff>106679</xdr:rowOff>
    </xdr:to>
    <xdr:graphicFrame macro="">
      <xdr:nvGraphicFramePr>
        <xdr:cNvPr id="2" name="Chart 102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6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89°</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89°</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874395</xdr:colOff>
      <xdr:row>44</xdr:row>
      <xdr:rowOff>38100</xdr:rowOff>
    </xdr:from>
    <xdr:to>
      <xdr:col>41</xdr:col>
      <xdr:colOff>668655</xdr:colOff>
      <xdr:row>73</xdr:row>
      <xdr:rowOff>57150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880110</xdr:colOff>
      <xdr:row>13</xdr:row>
      <xdr:rowOff>78105</xdr:rowOff>
    </xdr:from>
    <xdr:to>
      <xdr:col>40</xdr:col>
      <xdr:colOff>579120</xdr:colOff>
      <xdr:row>42</xdr:row>
      <xdr:rowOff>106680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146685</xdr:colOff>
      <xdr:row>13</xdr:row>
      <xdr:rowOff>101992</xdr:rowOff>
    </xdr:from>
    <xdr:to>
      <xdr:col>29</xdr:col>
      <xdr:colOff>578972</xdr:colOff>
      <xdr:row>42</xdr:row>
      <xdr:rowOff>130567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368">
      <xdr:nvSpPr>
        <xdr:cNvPr id="5" name="Text Box 24">
          <a:extLst>
            <a:ext uri="{FF2B5EF4-FFF2-40B4-BE49-F238E27FC236}">
              <a16:creationId xmlns:a16="http://schemas.microsoft.com/office/drawing/2014/main" id="{00000000-0008-0000-07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#HODNOTA!</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369">
      <xdr:nvSpPr>
        <xdr:cNvPr id="6" name="Text Box 24">
          <a:extLst>
            <a:ext uri="{FF2B5EF4-FFF2-40B4-BE49-F238E27FC236}">
              <a16:creationId xmlns:a16="http://schemas.microsoft.com/office/drawing/2014/main" id="{00000000-0008-0000-07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#HODNOTA!</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18</xdr:col>
      <xdr:colOff>586740</xdr:colOff>
      <xdr:row>44</xdr:row>
      <xdr:rowOff>7620</xdr:rowOff>
    </xdr:from>
    <xdr:to>
      <xdr:col>29</xdr:col>
      <xdr:colOff>575310</xdr:colOff>
      <xdr:row>72</xdr:row>
      <xdr:rowOff>112395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29</xdr:col>
      <xdr:colOff>647700</xdr:colOff>
      <xdr:row>40</xdr:row>
      <xdr:rowOff>38100</xdr:rowOff>
    </xdr:from>
    <xdr:to>
      <xdr:col>40</xdr:col>
      <xdr:colOff>438150</xdr:colOff>
      <xdr:row>69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619125</xdr:colOff>
      <xdr:row>10</xdr:row>
      <xdr:rowOff>19050</xdr:rowOff>
    </xdr:from>
    <xdr:to>
      <xdr:col>39</xdr:col>
      <xdr:colOff>466725</xdr:colOff>
      <xdr:row>39</xdr:row>
      <xdr:rowOff>47625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104775</xdr:colOff>
      <xdr:row>10</xdr:row>
      <xdr:rowOff>2932</xdr:rowOff>
    </xdr:from>
    <xdr:to>
      <xdr:col>29</xdr:col>
      <xdr:colOff>479912</xdr:colOff>
      <xdr:row>39</xdr:row>
      <xdr:rowOff>31507</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174994</xdr:colOff>
      <xdr:row>4</xdr:row>
      <xdr:rowOff>1021934</xdr:rowOff>
    </xdr:from>
    <xdr:to>
      <xdr:col>4</xdr:col>
      <xdr:colOff>519382</xdr:colOff>
      <xdr:row>4</xdr:row>
      <xdr:rowOff>1280181</xdr:rowOff>
    </xdr:to>
    <xdr:sp macro="" textlink="">
      <xdr:nvSpPr>
        <xdr:cNvPr id="6" name="Text Box 225">
          <a:extLst>
            <a:ext uri="{FF2B5EF4-FFF2-40B4-BE49-F238E27FC236}">
              <a16:creationId xmlns:a16="http://schemas.microsoft.com/office/drawing/2014/main" id="{00000000-0008-0000-0A00-000006000000}"/>
            </a:ext>
          </a:extLst>
        </xdr:cNvPr>
        <xdr:cNvSpPr txBox="1">
          <a:spLocks noChangeArrowheads="1"/>
        </xdr:cNvSpPr>
      </xdr:nvSpPr>
      <xdr:spPr bwMode="auto">
        <a:xfrm>
          <a:off x="10727037" y="1684543"/>
          <a:ext cx="344388"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4</xdr:col>
      <xdr:colOff>138496</xdr:colOff>
      <xdr:row>4</xdr:row>
      <xdr:rowOff>1612609</xdr:rowOff>
    </xdr:from>
    <xdr:to>
      <xdr:col>4</xdr:col>
      <xdr:colOff>535387</xdr:colOff>
      <xdr:row>4</xdr:row>
      <xdr:rowOff>1813486</xdr:rowOff>
    </xdr:to>
    <xdr:sp macro="" textlink="">
      <xdr:nvSpPr>
        <xdr:cNvPr id="19" name="Text Box 255">
          <a:extLst>
            <a:ext uri="{FF2B5EF4-FFF2-40B4-BE49-F238E27FC236}">
              <a16:creationId xmlns:a16="http://schemas.microsoft.com/office/drawing/2014/main" id="{00000000-0008-0000-0A00-000013000000}"/>
            </a:ext>
          </a:extLst>
        </xdr:cNvPr>
        <xdr:cNvSpPr txBox="1">
          <a:spLocks noChangeArrowheads="1"/>
        </xdr:cNvSpPr>
      </xdr:nvSpPr>
      <xdr:spPr bwMode="auto">
        <a:xfrm>
          <a:off x="10690539" y="2275218"/>
          <a:ext cx="396891"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4</xdr:col>
      <xdr:colOff>75295</xdr:colOff>
      <xdr:row>4</xdr:row>
      <xdr:rowOff>1815109</xdr:rowOff>
    </xdr:from>
    <xdr:to>
      <xdr:col>4</xdr:col>
      <xdr:colOff>593447</xdr:colOff>
      <xdr:row>4</xdr:row>
      <xdr:rowOff>1990573</xdr:rowOff>
    </xdr:to>
    <xdr:sp macro="" textlink="'Variable Management'!B364">
      <xdr:nvSpPr>
        <xdr:cNvPr id="26" name="Text Box 264">
          <a:extLst>
            <a:ext uri="{FF2B5EF4-FFF2-40B4-BE49-F238E27FC236}">
              <a16:creationId xmlns:a16="http://schemas.microsoft.com/office/drawing/2014/main" id="{00000000-0008-0000-0A00-00001A000000}"/>
            </a:ext>
          </a:extLst>
        </xdr:cNvPr>
        <xdr:cNvSpPr txBox="1">
          <a:spLocks noChangeArrowheads="1" noTextEdit="1"/>
        </xdr:cNvSpPr>
      </xdr:nvSpPr>
      <xdr:spPr bwMode="auto">
        <a:xfrm>
          <a:off x="10627338" y="2477718"/>
          <a:ext cx="518152" cy="175464"/>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6,34kΩ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183706</xdr:colOff>
      <xdr:row>4</xdr:row>
      <xdr:rowOff>1194204</xdr:rowOff>
    </xdr:from>
    <xdr:to>
      <xdr:col>5</xdr:col>
      <xdr:colOff>96224</xdr:colOff>
      <xdr:row>4</xdr:row>
      <xdr:rowOff>1487293</xdr:rowOff>
    </xdr:to>
    <xdr:sp macro="" textlink="'Variable Management'!B363">
      <xdr:nvSpPr>
        <xdr:cNvPr id="30" name="Text Box 268">
          <a:extLst>
            <a:ext uri="{FF2B5EF4-FFF2-40B4-BE49-F238E27FC236}">
              <a16:creationId xmlns:a16="http://schemas.microsoft.com/office/drawing/2014/main" id="{00000000-0008-0000-0A00-00001E000000}"/>
            </a:ext>
          </a:extLst>
        </xdr:cNvPr>
        <xdr:cNvSpPr txBox="1">
          <a:spLocks noChangeArrowheads="1" noTextEdit="1"/>
        </xdr:cNvSpPr>
      </xdr:nvSpPr>
      <xdr:spPr bwMode="auto">
        <a:xfrm>
          <a:off x="10735749" y="1856813"/>
          <a:ext cx="525432"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100kΩ</a:t>
          </a:fld>
          <a:endParaRPr lang="el-GR" sz="1000" b="0" i="0" strike="noStrike">
            <a:solidFill>
              <a:srgbClr val="000000"/>
            </a:solidFill>
            <a:latin typeface="Arial" pitchFamily="34" charset="0"/>
            <a:cs typeface="Arial" pitchFamily="34" charset="0"/>
          </a:endParaRPr>
        </a:p>
      </xdr:txBody>
    </xdr:sp>
    <xdr:clientData/>
  </xdr:twoCellAnchor>
  <xdr:twoCellAnchor editAs="oneCell">
    <xdr:from>
      <xdr:col>0</xdr:col>
      <xdr:colOff>704849</xdr:colOff>
      <xdr:row>7</xdr:row>
      <xdr:rowOff>3810</xdr:rowOff>
    </xdr:from>
    <xdr:to>
      <xdr:col>2</xdr:col>
      <xdr:colOff>8381</xdr:colOff>
      <xdr:row>8</xdr:row>
      <xdr:rowOff>62623</xdr:rowOff>
    </xdr:to>
    <xdr:pic>
      <xdr:nvPicPr>
        <xdr:cNvPr id="248" name="Picture 247">
          <a:extLst>
            <a:ext uri="{FF2B5EF4-FFF2-40B4-BE49-F238E27FC236}">
              <a16:creationId xmlns:a16="http://schemas.microsoft.com/office/drawing/2014/main" id="{00000000-0008-0000-0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457950"/>
          <a:ext cx="8897112" cy="5255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20954</xdr:colOff>
      <xdr:row>5</xdr:row>
      <xdr:rowOff>70049</xdr:rowOff>
    </xdr:to>
    <xdr:pic>
      <xdr:nvPicPr>
        <xdr:cNvPr id="249" name="Picture 248">
          <a:extLst>
            <a:ext uri="{FF2B5EF4-FFF2-40B4-BE49-F238E27FC236}">
              <a16:creationId xmlns:a16="http://schemas.microsoft.com/office/drawing/2014/main" id="{00000000-0008-0000-0A00-0000F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8</xdr:row>
      <xdr:rowOff>161924</xdr:rowOff>
    </xdr:from>
    <xdr:to>
      <xdr:col>2</xdr:col>
      <xdr:colOff>20954</xdr:colOff>
      <xdr:row>10</xdr:row>
      <xdr:rowOff>70049</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49" y="11801474"/>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57"/>
  <sheetViews>
    <sheetView tabSelected="1" topLeftCell="H4" zoomScaleNormal="85" zoomScaleSheetLayoutView="100" workbookViewId="0">
      <selection activeCell="E11" sqref="E11"/>
    </sheetView>
  </sheetViews>
  <sheetFormatPr defaultColWidth="9.140625" defaultRowHeight="12.75" x14ac:dyDescent="0.2"/>
  <cols>
    <col min="1" max="1" width="8.28515625" style="189" customWidth="1"/>
    <col min="2" max="2" width="8.28515625" style="79" customWidth="1"/>
    <col min="3" max="3" width="13.5703125" style="79" customWidth="1"/>
    <col min="4" max="4" width="8.28515625" style="79" customWidth="1"/>
    <col min="5" max="5" width="6.85546875" style="79" customWidth="1"/>
    <col min="6" max="6" width="7.5703125" style="79" customWidth="1"/>
    <col min="7" max="7" width="12.5703125" style="79" customWidth="1"/>
    <col min="8" max="8" width="11.85546875" style="79" customWidth="1"/>
    <col min="9" max="9" width="9.140625" style="79" customWidth="1"/>
    <col min="10" max="10" width="6.85546875" style="79" customWidth="1"/>
    <col min="11" max="11" width="7.5703125" style="79" customWidth="1"/>
    <col min="12" max="12" width="12.42578125" style="79" bestFit="1" customWidth="1"/>
    <col min="13" max="15" width="9.140625" style="79"/>
    <col min="16" max="16" width="10.140625" style="79" customWidth="1"/>
    <col min="17" max="17" width="89" style="79" customWidth="1"/>
    <col min="18" max="18" width="3.140625" style="79" customWidth="1"/>
    <col min="19" max="19" width="10" style="79" bestFit="1" customWidth="1"/>
    <col min="20" max="16384" width="9.140625" style="79"/>
  </cols>
  <sheetData>
    <row r="1" spans="1:18" ht="47.25" customHeight="1" x14ac:dyDescent="0.2">
      <c r="A1" s="669" t="s">
        <v>850</v>
      </c>
      <c r="B1" s="670"/>
      <c r="C1" s="670"/>
      <c r="D1" s="670"/>
      <c r="E1" s="670"/>
      <c r="F1" s="670"/>
      <c r="G1" s="670"/>
      <c r="H1" s="670"/>
      <c r="I1" s="670"/>
      <c r="J1" s="670"/>
      <c r="K1" s="670"/>
      <c r="L1" s="670"/>
      <c r="M1" s="670"/>
      <c r="N1" s="670"/>
      <c r="O1" s="670"/>
      <c r="P1" s="670"/>
      <c r="Q1" s="670"/>
      <c r="R1" s="500"/>
    </row>
    <row r="2" spans="1:18" ht="14.1" customHeight="1" x14ac:dyDescent="0.45">
      <c r="A2" s="503"/>
      <c r="B2" s="504"/>
      <c r="C2" s="504"/>
      <c r="D2" s="504"/>
      <c r="E2" s="504"/>
      <c r="F2" s="504"/>
      <c r="G2" s="504"/>
      <c r="H2" s="504"/>
      <c r="I2" s="504"/>
      <c r="J2" s="504"/>
      <c r="K2" s="504"/>
      <c r="L2" s="504"/>
      <c r="M2" s="504"/>
      <c r="N2" s="504"/>
      <c r="O2" s="518" t="s">
        <v>614</v>
      </c>
      <c r="P2" s="504"/>
      <c r="Q2" s="504"/>
      <c r="R2" s="500"/>
    </row>
    <row r="3" spans="1:18" ht="15.95" customHeight="1" x14ac:dyDescent="0.45">
      <c r="A3" s="505" t="s">
        <v>237</v>
      </c>
      <c r="B3" s="506"/>
      <c r="C3" s="517" t="s">
        <v>238</v>
      </c>
      <c r="D3" s="507"/>
      <c r="E3" s="120"/>
      <c r="F3" s="511" t="s">
        <v>146</v>
      </c>
      <c r="G3" s="512"/>
      <c r="H3" s="504"/>
      <c r="I3" s="504"/>
      <c r="J3" s="512"/>
      <c r="K3" s="513"/>
      <c r="L3" s="514"/>
      <c r="M3" s="500"/>
      <c r="N3" s="500"/>
      <c r="O3" s="668" t="s">
        <v>51</v>
      </c>
      <c r="P3" s="668"/>
      <c r="Q3" s="500" t="s">
        <v>168</v>
      </c>
      <c r="R3" s="500"/>
    </row>
    <row r="4" spans="1:18" ht="13.5" customHeight="1" thickBot="1" x14ac:dyDescent="0.35">
      <c r="A4" s="508"/>
      <c r="B4" s="509"/>
      <c r="C4" s="510"/>
      <c r="D4" s="510"/>
      <c r="E4" s="510"/>
      <c r="F4" s="510"/>
      <c r="G4" s="510"/>
      <c r="H4" s="510"/>
      <c r="I4" s="510"/>
      <c r="J4" s="510"/>
      <c r="K4" s="510"/>
      <c r="L4" s="510"/>
      <c r="M4" s="515"/>
      <c r="N4" s="515"/>
      <c r="O4" s="515"/>
      <c r="P4" s="515"/>
      <c r="Q4" s="516"/>
      <c r="R4" s="500"/>
    </row>
    <row r="5" spans="1:18" ht="20.100000000000001" customHeight="1" thickBot="1" x14ac:dyDescent="0.35">
      <c r="A5" s="184" t="s">
        <v>225</v>
      </c>
      <c r="B5" s="119"/>
      <c r="C5" s="80"/>
      <c r="D5" s="80"/>
      <c r="E5" s="82"/>
      <c r="F5" s="80"/>
      <c r="G5" s="108"/>
      <c r="H5" s="83"/>
      <c r="I5" s="83"/>
      <c r="J5" s="83"/>
      <c r="K5" s="83"/>
      <c r="L5" s="83"/>
      <c r="M5" s="83"/>
      <c r="N5" s="83"/>
      <c r="O5" s="83"/>
      <c r="P5" s="83"/>
      <c r="Q5" s="107"/>
      <c r="R5" s="500"/>
    </row>
    <row r="6" spans="1:18" ht="15.75" customHeight="1" x14ac:dyDescent="0.2">
      <c r="A6" s="267"/>
      <c r="B6" s="268"/>
      <c r="C6" s="561"/>
      <c r="D6" s="561"/>
      <c r="E6" s="561"/>
      <c r="F6" s="562"/>
      <c r="G6" s="130"/>
      <c r="H6" s="128"/>
      <c r="I6" s="83"/>
      <c r="J6" s="83"/>
      <c r="K6" s="83"/>
      <c r="L6" s="83"/>
      <c r="M6" s="83"/>
      <c r="N6" s="83"/>
      <c r="O6" s="83"/>
      <c r="P6" s="83"/>
      <c r="Q6" s="107"/>
      <c r="R6" s="500"/>
    </row>
    <row r="7" spans="1:18" ht="13.5" customHeight="1" x14ac:dyDescent="0.2">
      <c r="A7" s="258"/>
      <c r="B7" s="257"/>
      <c r="C7" s="259"/>
      <c r="D7" s="271" t="s">
        <v>791</v>
      </c>
      <c r="E7" s="272">
        <v>55</v>
      </c>
      <c r="F7" s="273" t="s">
        <v>0</v>
      </c>
      <c r="G7" s="130"/>
      <c r="H7" s="128"/>
      <c r="I7" s="83"/>
      <c r="J7" s="83"/>
      <c r="K7" s="83"/>
      <c r="L7" s="83"/>
      <c r="M7" s="83"/>
      <c r="N7" s="83"/>
      <c r="O7" s="83"/>
      <c r="P7" s="83"/>
      <c r="Q7" s="107"/>
      <c r="R7" s="500"/>
    </row>
    <row r="8" spans="1:18" ht="13.5" customHeight="1" x14ac:dyDescent="0.2">
      <c r="A8" s="258"/>
      <c r="B8" s="257"/>
      <c r="C8" s="259"/>
      <c r="D8" s="271" t="s">
        <v>792</v>
      </c>
      <c r="E8" s="272">
        <v>60</v>
      </c>
      <c r="F8" s="287" t="s">
        <v>0</v>
      </c>
      <c r="G8" s="130"/>
      <c r="H8" s="128"/>
      <c r="I8" s="83"/>
      <c r="J8" s="83"/>
      <c r="K8" s="83"/>
      <c r="L8" s="83"/>
      <c r="M8" s="83"/>
      <c r="N8" s="83"/>
      <c r="O8" s="83"/>
      <c r="P8" s="83"/>
      <c r="Q8" s="107"/>
      <c r="R8" s="500"/>
    </row>
    <row r="9" spans="1:18" ht="13.5" customHeight="1" thickBot="1" x14ac:dyDescent="0.25">
      <c r="A9" s="258"/>
      <c r="B9" s="257"/>
      <c r="C9" s="259"/>
      <c r="D9" s="271" t="s">
        <v>793</v>
      </c>
      <c r="E9" s="272">
        <v>65</v>
      </c>
      <c r="F9" s="273" t="s">
        <v>0</v>
      </c>
      <c r="G9" s="130"/>
      <c r="H9" s="128"/>
      <c r="I9" s="83"/>
      <c r="J9" s="83"/>
      <c r="K9" s="83"/>
      <c r="L9" s="83"/>
      <c r="M9" s="83"/>
      <c r="N9" s="83"/>
      <c r="O9" s="83"/>
      <c r="P9" s="83"/>
      <c r="Q9" s="107"/>
      <c r="R9" s="500"/>
    </row>
    <row r="10" spans="1:18" ht="13.5" customHeight="1" x14ac:dyDescent="0.2">
      <c r="A10" s="258"/>
      <c r="B10" s="257"/>
      <c r="C10" s="259"/>
      <c r="D10" s="271" t="s">
        <v>803</v>
      </c>
      <c r="E10" s="272">
        <v>10</v>
      </c>
      <c r="F10" s="273" t="s">
        <v>0</v>
      </c>
      <c r="G10" s="566"/>
      <c r="H10" s="561"/>
      <c r="I10" s="567" t="s">
        <v>637</v>
      </c>
      <c r="J10" s="568">
        <v>50</v>
      </c>
      <c r="K10" s="569" t="s">
        <v>0</v>
      </c>
      <c r="L10" s="83"/>
      <c r="M10" s="83"/>
      <c r="N10" s="83"/>
      <c r="O10" s="83"/>
      <c r="P10" s="83"/>
      <c r="Q10" s="107"/>
      <c r="R10" s="500"/>
    </row>
    <row r="11" spans="1:18" ht="15.75" customHeight="1" thickBot="1" x14ac:dyDescent="0.25">
      <c r="A11" s="258"/>
      <c r="B11" s="257"/>
      <c r="C11" s="259"/>
      <c r="D11" s="271" t="s">
        <v>804</v>
      </c>
      <c r="E11" s="272">
        <v>10</v>
      </c>
      <c r="F11" s="273" t="s">
        <v>1</v>
      </c>
      <c r="G11" s="564"/>
      <c r="H11" s="570"/>
      <c r="I11" s="571" t="s">
        <v>638</v>
      </c>
      <c r="J11" s="572">
        <v>10</v>
      </c>
      <c r="K11" s="573" t="s">
        <v>1</v>
      </c>
      <c r="L11" s="83"/>
      <c r="M11" s="83"/>
      <c r="N11" s="83"/>
      <c r="O11" s="83"/>
      <c r="P11" s="83"/>
      <c r="Q11" s="107"/>
      <c r="R11" s="500"/>
    </row>
    <row r="12" spans="1:18" ht="13.5" customHeight="1" x14ac:dyDescent="0.2">
      <c r="A12" s="258"/>
      <c r="B12" s="257"/>
      <c r="C12" s="259"/>
      <c r="D12" s="271" t="s">
        <v>794</v>
      </c>
      <c r="E12" s="274">
        <v>600</v>
      </c>
      <c r="F12" s="273" t="s">
        <v>2</v>
      </c>
      <c r="G12" s="130"/>
      <c r="H12" s="128"/>
      <c r="I12" s="83"/>
      <c r="J12" s="83"/>
      <c r="K12" s="83"/>
      <c r="L12" s="83"/>
      <c r="M12" s="83"/>
      <c r="N12" s="83"/>
      <c r="O12" s="83"/>
      <c r="P12" s="83"/>
      <c r="Q12" s="107"/>
      <c r="R12" s="500"/>
    </row>
    <row r="13" spans="1:18" ht="13.5" customHeight="1" x14ac:dyDescent="0.2">
      <c r="A13" s="609"/>
      <c r="B13" s="257"/>
      <c r="C13" s="259"/>
      <c r="D13" s="259" t="s">
        <v>281</v>
      </c>
      <c r="E13" s="259">
        <f>IF('Standard Value Calculator'!O4/1000&gt;288, "N/A",'Standard Value Calculator'!O4/1000)</f>
        <v>36.5</v>
      </c>
      <c r="F13" s="261" t="s">
        <v>50</v>
      </c>
      <c r="G13" s="130"/>
      <c r="H13" s="128"/>
      <c r="I13" s="83"/>
      <c r="J13" s="83"/>
      <c r="K13" s="83"/>
      <c r="L13" s="83"/>
      <c r="M13" s="83"/>
      <c r="N13" s="83"/>
      <c r="O13" s="83"/>
      <c r="P13" s="83"/>
      <c r="Q13" s="107"/>
      <c r="R13" s="500"/>
    </row>
    <row r="14" spans="1:18" ht="17.25" customHeight="1" thickBot="1" x14ac:dyDescent="0.25">
      <c r="A14" s="263"/>
      <c r="B14" s="264"/>
      <c r="C14" s="265"/>
      <c r="D14" s="611" t="s">
        <v>790</v>
      </c>
      <c r="E14" s="646" t="s">
        <v>178</v>
      </c>
      <c r="F14" s="610" t="s">
        <v>226</v>
      </c>
      <c r="G14" s="130"/>
      <c r="H14" s="128"/>
      <c r="I14" s="83"/>
      <c r="J14" s="83"/>
      <c r="K14" s="83"/>
      <c r="L14" s="83"/>
      <c r="M14" s="83"/>
      <c r="N14" s="83"/>
      <c r="O14" s="83"/>
      <c r="P14" s="83"/>
      <c r="Q14" s="107"/>
      <c r="R14" s="500"/>
    </row>
    <row r="15" spans="1:18" ht="17.25" customHeight="1" x14ac:dyDescent="0.2">
      <c r="A15" s="609"/>
      <c r="B15" s="257"/>
      <c r="C15" s="259"/>
      <c r="D15" s="647"/>
      <c r="E15" s="650"/>
      <c r="F15" s="649"/>
      <c r="G15" s="130"/>
      <c r="H15" s="128"/>
      <c r="I15" s="83"/>
      <c r="J15" s="83"/>
      <c r="K15" s="83"/>
      <c r="L15" s="83"/>
      <c r="M15" s="83"/>
      <c r="N15" s="83"/>
      <c r="O15" s="83"/>
      <c r="P15" s="83"/>
      <c r="Q15" s="107"/>
      <c r="R15" s="500"/>
    </row>
    <row r="16" spans="1:18" ht="20.100000000000001" customHeight="1" thickBot="1" x14ac:dyDescent="0.35">
      <c r="A16" s="184" t="s">
        <v>818</v>
      </c>
      <c r="B16" s="132"/>
      <c r="C16" s="128"/>
      <c r="D16" s="128"/>
      <c r="E16" s="128"/>
      <c r="F16" s="128"/>
      <c r="G16" s="130"/>
      <c r="H16" s="128"/>
      <c r="I16" s="83"/>
      <c r="J16" s="83"/>
      <c r="K16" s="83"/>
      <c r="L16" s="83"/>
      <c r="M16" s="83"/>
      <c r="N16" s="83"/>
      <c r="O16" s="83"/>
      <c r="P16" s="83"/>
      <c r="Q16" s="107"/>
      <c r="R16" s="500"/>
    </row>
    <row r="17" spans="1:18" ht="15" customHeight="1" x14ac:dyDescent="0.25">
      <c r="A17" s="267"/>
      <c r="B17" s="154"/>
      <c r="C17" s="154"/>
      <c r="D17" s="156" t="s">
        <v>653</v>
      </c>
      <c r="E17" s="302">
        <f>1.4*E11</f>
        <v>14</v>
      </c>
      <c r="F17" s="157" t="s">
        <v>1</v>
      </c>
      <c r="G17" s="566"/>
      <c r="H17" s="175"/>
      <c r="I17" s="156" t="s">
        <v>653</v>
      </c>
      <c r="J17" s="302">
        <f>1.4*J11</f>
        <v>14</v>
      </c>
      <c r="K17" s="157" t="s">
        <v>1</v>
      </c>
      <c r="L17" s="83"/>
      <c r="M17" s="83"/>
      <c r="N17" s="83"/>
      <c r="O17" s="83"/>
      <c r="P17" s="83"/>
      <c r="Q17" s="107"/>
      <c r="R17" s="500"/>
    </row>
    <row r="18" spans="1:18" ht="15" customHeight="1" x14ac:dyDescent="0.2">
      <c r="A18" s="258"/>
      <c r="B18" s="128"/>
      <c r="C18" s="128"/>
      <c r="D18" s="125" t="s">
        <v>308</v>
      </c>
      <c r="E18" s="304">
        <f>Rs_ideal*1000</f>
        <v>4.9640743991167229</v>
      </c>
      <c r="F18" s="163" t="s">
        <v>49</v>
      </c>
      <c r="G18" s="130"/>
      <c r="H18" s="128"/>
      <c r="I18" s="125" t="s">
        <v>308</v>
      </c>
      <c r="J18" s="304">
        <f>Rs2_ideal*1000</f>
        <v>4.9672618766583891</v>
      </c>
      <c r="K18" s="163" t="s">
        <v>49</v>
      </c>
      <c r="L18" s="83"/>
      <c r="M18" s="83"/>
      <c r="N18" s="83"/>
      <c r="O18" s="83"/>
      <c r="P18" s="83"/>
      <c r="Q18" s="107"/>
      <c r="R18" s="500"/>
    </row>
    <row r="19" spans="1:18" ht="13.7" customHeight="1" x14ac:dyDescent="0.25">
      <c r="A19" s="258"/>
      <c r="B19" s="128"/>
      <c r="C19" s="128"/>
      <c r="D19" s="153" t="s">
        <v>307</v>
      </c>
      <c r="E19" s="129">
        <v>5</v>
      </c>
      <c r="F19" s="158" t="s">
        <v>49</v>
      </c>
      <c r="G19" s="130"/>
      <c r="H19" s="128"/>
      <c r="I19" s="153" t="s">
        <v>676</v>
      </c>
      <c r="J19" s="129">
        <v>5</v>
      </c>
      <c r="K19" s="158" t="s">
        <v>49</v>
      </c>
      <c r="L19" s="83"/>
      <c r="M19" s="83"/>
      <c r="N19" s="83"/>
      <c r="O19" s="83"/>
      <c r="P19" s="83"/>
      <c r="Q19" s="107"/>
      <c r="R19" s="500"/>
    </row>
    <row r="20" spans="1:18" ht="13.5" customHeight="1" x14ac:dyDescent="0.3">
      <c r="A20" s="258"/>
      <c r="B20" s="128"/>
      <c r="C20" s="128"/>
      <c r="D20" s="529" t="s">
        <v>693</v>
      </c>
      <c r="E20" s="555">
        <f>'Variable Management'!B95</f>
        <v>14.6</v>
      </c>
      <c r="F20" s="163" t="s">
        <v>1</v>
      </c>
      <c r="G20" s="130"/>
      <c r="H20" s="128"/>
      <c r="I20" s="529" t="s">
        <v>673</v>
      </c>
      <c r="J20" s="555">
        <f>'Variable Management'!D95</f>
        <v>14.6</v>
      </c>
      <c r="K20" s="163" t="s">
        <v>1</v>
      </c>
      <c r="L20" s="83"/>
      <c r="M20" s="83"/>
      <c r="N20" s="83"/>
      <c r="O20" s="83"/>
      <c r="P20" s="83"/>
      <c r="Q20" s="107"/>
      <c r="R20" s="500"/>
    </row>
    <row r="21" spans="1:18" ht="13.7" customHeight="1" x14ac:dyDescent="0.3">
      <c r="A21" s="258"/>
      <c r="B21" s="128"/>
      <c r="C21" s="128"/>
      <c r="D21" s="529" t="s">
        <v>668</v>
      </c>
      <c r="E21" s="530">
        <f>'Variable Management'!B105</f>
        <v>0.96785384441194156</v>
      </c>
      <c r="F21" s="163" t="s">
        <v>116</v>
      </c>
      <c r="G21" s="130"/>
      <c r="H21" s="128"/>
      <c r="I21" s="529" t="s">
        <v>674</v>
      </c>
      <c r="J21" s="530">
        <f>'Variable Management'!D105</f>
        <v>1.0113206419211067</v>
      </c>
      <c r="K21" s="163" t="s">
        <v>116</v>
      </c>
      <c r="L21" s="83"/>
      <c r="M21" s="83"/>
      <c r="N21" s="83"/>
      <c r="O21" s="83"/>
      <c r="P21" s="83"/>
      <c r="Q21" s="107"/>
      <c r="R21" s="500"/>
    </row>
    <row r="22" spans="1:18" ht="13.7" customHeight="1" x14ac:dyDescent="0.3">
      <c r="A22" s="258"/>
      <c r="B22" s="128"/>
      <c r="C22" s="113"/>
      <c r="D22" s="303" t="s">
        <v>285</v>
      </c>
      <c r="E22" s="260">
        <f>'Variable Management'!B97</f>
        <v>13.907220708446866</v>
      </c>
      <c r="F22" s="261" t="s">
        <v>1</v>
      </c>
      <c r="G22" s="130"/>
      <c r="H22" s="128"/>
      <c r="I22" s="303" t="s">
        <v>285</v>
      </c>
      <c r="J22" s="260">
        <f>'Variable Management'!D97</f>
        <v>14.220269452013321</v>
      </c>
      <c r="K22" s="261" t="s">
        <v>1</v>
      </c>
      <c r="L22" s="83"/>
      <c r="M22" s="83"/>
      <c r="N22" s="83"/>
      <c r="O22" s="83"/>
      <c r="P22" s="83"/>
      <c r="Q22" s="107"/>
      <c r="R22" s="500"/>
    </row>
    <row r="23" spans="1:18" ht="13.7" customHeight="1" x14ac:dyDescent="0.3">
      <c r="A23" s="258"/>
      <c r="B23" s="128"/>
      <c r="C23" s="125" t="s">
        <v>517</v>
      </c>
      <c r="D23" s="303" t="s">
        <v>286</v>
      </c>
      <c r="E23" s="260">
        <f>'Variable Management'!B98</f>
        <v>13.894338051623647</v>
      </c>
      <c r="F23" s="261" t="s">
        <v>1</v>
      </c>
      <c r="G23" s="130"/>
      <c r="H23" s="125" t="s">
        <v>672</v>
      </c>
      <c r="I23" s="303" t="s">
        <v>286</v>
      </c>
      <c r="J23" s="260">
        <f>'Variable Management'!D98</f>
        <v>13.903774632250901</v>
      </c>
      <c r="K23" s="261" t="s">
        <v>1</v>
      </c>
      <c r="L23" s="83"/>
      <c r="M23" s="83"/>
      <c r="N23" s="83"/>
      <c r="O23" s="83"/>
      <c r="P23" s="83"/>
      <c r="Q23" s="107"/>
      <c r="R23" s="500"/>
    </row>
    <row r="24" spans="1:18" ht="13.5" customHeight="1" thickBot="1" x14ac:dyDescent="0.35">
      <c r="A24" s="282"/>
      <c r="B24" s="176"/>
      <c r="C24" s="176"/>
      <c r="D24" s="574" t="s">
        <v>287</v>
      </c>
      <c r="E24" s="575">
        <f>'Variable Management'!B99</f>
        <v>13.883435818601075</v>
      </c>
      <c r="F24" s="284" t="s">
        <v>1</v>
      </c>
      <c r="G24" s="564"/>
      <c r="H24" s="176"/>
      <c r="I24" s="574" t="s">
        <v>287</v>
      </c>
      <c r="J24" s="575">
        <f>'Variable Management'!D99</f>
        <v>13.635933897002305</v>
      </c>
      <c r="K24" s="284" t="s">
        <v>1</v>
      </c>
      <c r="L24" s="83"/>
      <c r="M24" s="83"/>
      <c r="N24" s="83"/>
      <c r="O24" s="83"/>
      <c r="P24" s="83"/>
      <c r="Q24" s="107"/>
      <c r="R24" s="500"/>
    </row>
    <row r="25" spans="1:18" ht="17.25" customHeight="1" x14ac:dyDescent="0.2">
      <c r="A25" s="609"/>
      <c r="B25" s="257"/>
      <c r="C25" s="259"/>
      <c r="D25" s="647"/>
      <c r="E25" s="650"/>
      <c r="F25" s="649"/>
      <c r="G25" s="130"/>
      <c r="H25" s="128"/>
      <c r="I25" s="83"/>
      <c r="J25" s="83"/>
      <c r="K25" s="83"/>
      <c r="L25" s="83"/>
      <c r="M25" s="83"/>
      <c r="N25" s="83"/>
      <c r="O25" s="83"/>
      <c r="P25" s="83"/>
      <c r="Q25" s="107"/>
      <c r="R25" s="500"/>
    </row>
    <row r="26" spans="1:18" ht="19.5" customHeight="1" thickBot="1" x14ac:dyDescent="0.35">
      <c r="A26" s="184" t="s">
        <v>819</v>
      </c>
      <c r="B26" s="132"/>
      <c r="C26" s="133"/>
      <c r="D26" s="133"/>
      <c r="E26" s="134"/>
      <c r="F26" s="133"/>
      <c r="G26" s="130"/>
      <c r="H26" s="128"/>
      <c r="I26" s="83"/>
      <c r="J26" s="83"/>
      <c r="K26" s="83"/>
      <c r="L26" s="83"/>
      <c r="M26" s="83"/>
      <c r="N26" s="83"/>
      <c r="O26" s="83"/>
      <c r="P26" s="83"/>
      <c r="Q26" s="107"/>
      <c r="R26" s="500"/>
    </row>
    <row r="27" spans="1:18" ht="13.5" customHeight="1" x14ac:dyDescent="0.2">
      <c r="A27" s="185"/>
      <c r="B27" s="154"/>
      <c r="C27" s="155"/>
      <c r="D27" s="155" t="s">
        <v>702</v>
      </c>
      <c r="E27" s="560">
        <f>Lopt*1000000</f>
        <v>3.4722222222222223</v>
      </c>
      <c r="F27" s="162" t="s">
        <v>217</v>
      </c>
      <c r="G27" s="563"/>
      <c r="H27" s="175"/>
      <c r="I27" s="155" t="s">
        <v>632</v>
      </c>
      <c r="J27" s="560">
        <f>Lopt2*1000000</f>
        <v>17.361111111111111</v>
      </c>
      <c r="K27" s="162" t="s">
        <v>217</v>
      </c>
      <c r="L27" s="83"/>
      <c r="M27" s="83"/>
      <c r="N27" s="83"/>
      <c r="O27" s="83"/>
      <c r="P27" s="83"/>
      <c r="Q27" s="107"/>
      <c r="R27" s="500"/>
    </row>
    <row r="28" spans="1:18" ht="13.5" customHeight="1" x14ac:dyDescent="0.25">
      <c r="A28" s="127"/>
      <c r="B28" s="128"/>
      <c r="C28" s="125"/>
      <c r="D28" s="153" t="s">
        <v>634</v>
      </c>
      <c r="E28" s="129">
        <v>10</v>
      </c>
      <c r="F28" s="158" t="s">
        <v>217</v>
      </c>
      <c r="G28" s="130"/>
      <c r="H28" s="125"/>
      <c r="I28" s="153" t="s">
        <v>633</v>
      </c>
      <c r="J28" s="129">
        <v>10</v>
      </c>
      <c r="K28" s="158" t="s">
        <v>217</v>
      </c>
      <c r="L28" s="83"/>
      <c r="M28" s="83"/>
      <c r="N28" s="83"/>
      <c r="O28" s="83"/>
      <c r="P28" s="83"/>
      <c r="Q28" s="107"/>
      <c r="R28" s="500"/>
    </row>
    <row r="29" spans="1:18" ht="13.5" customHeight="1" x14ac:dyDescent="0.2">
      <c r="A29" s="127"/>
      <c r="B29" s="128"/>
      <c r="C29" s="125"/>
      <c r="D29" s="153" t="s">
        <v>635</v>
      </c>
      <c r="E29" s="129">
        <v>12</v>
      </c>
      <c r="F29" s="158" t="s">
        <v>49</v>
      </c>
      <c r="G29" s="130"/>
      <c r="H29" s="125"/>
      <c r="I29" s="153" t="s">
        <v>636</v>
      </c>
      <c r="J29" s="129">
        <v>12</v>
      </c>
      <c r="K29" s="158" t="s">
        <v>49</v>
      </c>
      <c r="L29" s="83"/>
      <c r="M29" s="83"/>
      <c r="N29" s="83"/>
      <c r="O29" s="83"/>
      <c r="P29" s="83"/>
      <c r="Q29" s="107"/>
      <c r="R29" s="500"/>
    </row>
    <row r="30" spans="1:18" ht="16.5" customHeight="1" thickBot="1" x14ac:dyDescent="0.25">
      <c r="A30" s="282"/>
      <c r="B30" s="283"/>
      <c r="C30" s="281"/>
      <c r="D30" s="281" t="s">
        <v>306</v>
      </c>
      <c r="E30" s="565">
        <f>'Variable Management'!B68*100</f>
        <v>14.113238967527058</v>
      </c>
      <c r="F30" s="284" t="s">
        <v>156</v>
      </c>
      <c r="G30" s="564"/>
      <c r="H30" s="176"/>
      <c r="I30" s="281" t="s">
        <v>675</v>
      </c>
      <c r="J30" s="565">
        <f>'Variable Management'!D68*100</f>
        <v>13.924507354981957</v>
      </c>
      <c r="K30" s="284" t="s">
        <v>156</v>
      </c>
      <c r="L30" s="83"/>
      <c r="M30" s="83"/>
      <c r="N30" s="83"/>
      <c r="O30" s="83"/>
      <c r="P30" s="83"/>
      <c r="Q30" s="107"/>
      <c r="R30" s="500"/>
    </row>
    <row r="31" spans="1:18" ht="14.1" customHeight="1" x14ac:dyDescent="0.2">
      <c r="A31" s="127"/>
      <c r="B31" s="128"/>
      <c r="C31" s="135"/>
      <c r="D31" s="135"/>
      <c r="E31" s="135"/>
      <c r="F31" s="135"/>
      <c r="G31" s="128"/>
      <c r="H31" s="128"/>
      <c r="I31" s="83"/>
      <c r="J31" s="83"/>
      <c r="K31" s="83"/>
      <c r="L31" s="83"/>
      <c r="M31" s="83"/>
      <c r="N31" s="83"/>
      <c r="O31" s="83"/>
      <c r="P31" s="83"/>
      <c r="Q31" s="107"/>
      <c r="R31" s="500"/>
    </row>
    <row r="32" spans="1:18" ht="19.5" thickBot="1" x14ac:dyDescent="0.35">
      <c r="A32" s="184" t="s">
        <v>616</v>
      </c>
      <c r="B32" s="132"/>
      <c r="C32" s="133"/>
      <c r="D32" s="133"/>
      <c r="E32" s="134"/>
      <c r="F32" s="133"/>
      <c r="G32" s="128"/>
      <c r="H32" s="128"/>
      <c r="I32" s="83"/>
      <c r="J32" s="83"/>
      <c r="K32" s="83"/>
      <c r="L32" s="83"/>
      <c r="M32" s="83"/>
      <c r="N32" s="83"/>
      <c r="O32" s="83"/>
      <c r="P32" s="83"/>
      <c r="Q32" s="107"/>
      <c r="R32" s="500"/>
    </row>
    <row r="33" spans="1:18" ht="15.75" customHeight="1" x14ac:dyDescent="0.25">
      <c r="A33" s="173"/>
      <c r="B33" s="164"/>
      <c r="C33" s="155"/>
      <c r="D33" s="165" t="str">
        <f>IF(MODE=1, "Ch1 Output Voltage Ripple Spec", "Output Voltage Ripple Spec")</f>
        <v>Ch1 Output Voltage Ripple Spec</v>
      </c>
      <c r="E33" s="166">
        <v>50</v>
      </c>
      <c r="F33" s="157" t="s">
        <v>230</v>
      </c>
      <c r="G33" s="585"/>
      <c r="H33" s="175"/>
      <c r="I33" s="165" t="s">
        <v>696</v>
      </c>
      <c r="J33" s="166">
        <v>50</v>
      </c>
      <c r="K33" s="157" t="s">
        <v>230</v>
      </c>
      <c r="L33" s="83"/>
      <c r="M33" s="83"/>
      <c r="N33" s="83"/>
      <c r="O33" s="83"/>
      <c r="P33" s="83"/>
      <c r="Q33" s="107"/>
      <c r="R33" s="500"/>
    </row>
    <row r="34" spans="1:18" ht="14.1" customHeight="1" x14ac:dyDescent="0.2">
      <c r="A34" s="127"/>
      <c r="B34" s="128"/>
      <c r="C34" s="125"/>
      <c r="D34" s="125" t="str">
        <f>IF(MODE=1, "Ch1 Minimum Output Capacitance", "Minimum Output Capacitance")</f>
        <v>Ch1 Minimum Output Capacitance</v>
      </c>
      <c r="E34" s="527">
        <f>'Variable Management'!B121</f>
        <v>5.8805162364696084</v>
      </c>
      <c r="F34" s="163" t="s">
        <v>218</v>
      </c>
      <c r="G34" s="128"/>
      <c r="H34" s="128"/>
      <c r="I34" s="125" t="s">
        <v>697</v>
      </c>
      <c r="J34" s="527">
        <f>'Variable Management'!D121</f>
        <v>5.8018780645758161</v>
      </c>
      <c r="K34" s="163" t="s">
        <v>218</v>
      </c>
      <c r="L34" s="83"/>
      <c r="M34" s="83"/>
      <c r="N34" s="83"/>
      <c r="O34" s="83"/>
      <c r="P34" s="83"/>
      <c r="Q34" s="107"/>
      <c r="R34" s="500"/>
    </row>
    <row r="35" spans="1:18" ht="14.1" customHeight="1" x14ac:dyDescent="0.25">
      <c r="A35" s="127"/>
      <c r="B35" s="128"/>
      <c r="C35" s="125"/>
      <c r="D35" s="124" t="s">
        <v>848</v>
      </c>
      <c r="E35" s="131">
        <v>200</v>
      </c>
      <c r="F35" s="158" t="s">
        <v>218</v>
      </c>
      <c r="G35" s="130"/>
      <c r="H35" s="128"/>
      <c r="I35" s="124" t="s">
        <v>849</v>
      </c>
      <c r="J35" s="131">
        <v>200</v>
      </c>
      <c r="K35" s="158" t="s">
        <v>218</v>
      </c>
      <c r="L35" s="673"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M35" s="674"/>
      <c r="N35" s="674"/>
      <c r="O35" s="674"/>
      <c r="P35" s="674"/>
      <c r="Q35" s="675"/>
      <c r="R35" s="500"/>
    </row>
    <row r="36" spans="1:18" ht="14.1" customHeight="1" x14ac:dyDescent="0.2">
      <c r="A36" s="127"/>
      <c r="B36" s="128"/>
      <c r="C36" s="125"/>
      <c r="D36" s="125" t="str">
        <f>IF(MODE=1, "Ch1 Maximum Permitted ESR", "Maximum Permitted ESR")</f>
        <v>Ch1 Maximum Permitted ESR</v>
      </c>
      <c r="E36" s="595">
        <f>'Variable Management'!B125</f>
        <v>35.412411458022376</v>
      </c>
      <c r="F36" s="163" t="s">
        <v>49</v>
      </c>
      <c r="G36" s="130"/>
      <c r="H36" s="128"/>
      <c r="I36" s="125" t="s">
        <v>695</v>
      </c>
      <c r="J36" s="595">
        <f>'Variable Management'!D125</f>
        <v>35.892800857940422</v>
      </c>
      <c r="K36" s="163" t="s">
        <v>49</v>
      </c>
      <c r="L36" s="673"/>
      <c r="M36" s="674"/>
      <c r="N36" s="674"/>
      <c r="O36" s="674"/>
      <c r="P36" s="674"/>
      <c r="Q36" s="675"/>
      <c r="R36" s="500"/>
    </row>
    <row r="37" spans="1:18" ht="14.1" customHeight="1" x14ac:dyDescent="0.2">
      <c r="A37" s="127"/>
      <c r="B37" s="128"/>
      <c r="C37" s="125"/>
      <c r="D37" s="124" t="str">
        <f>IF(MODE=1, "Ch1 Output Capacitor ESR", "Output Capacitor ESR")</f>
        <v>Ch1 Output Capacitor ESR</v>
      </c>
      <c r="E37" s="131">
        <v>2</v>
      </c>
      <c r="F37" s="158" t="s">
        <v>49</v>
      </c>
      <c r="G37" s="130"/>
      <c r="H37" s="128"/>
      <c r="I37" s="124" t="s">
        <v>694</v>
      </c>
      <c r="J37" s="131">
        <v>2</v>
      </c>
      <c r="K37" s="158" t="s">
        <v>49</v>
      </c>
      <c r="L37" s="644" t="str">
        <f>CHOOSE(SCH_MODE,  "", "** Tie VCCX to GND if not used **", "** Slave controller (CNTRL2) not shown **","** Slave controller (CNTRL2) not shown **")</f>
        <v/>
      </c>
      <c r="M37" s="133"/>
      <c r="N37" s="83"/>
      <c r="O37" s="83"/>
      <c r="P37" s="83"/>
      <c r="Q37" s="645" t="str">
        <f>IF(SCH_MODE=1,  "** Tie VCCX to GND if not used **", "")</f>
        <v>** Tie VCCX to GND if not used **</v>
      </c>
      <c r="R37" s="500"/>
    </row>
    <row r="38" spans="1:18" ht="14.1" customHeight="1" x14ac:dyDescent="0.3">
      <c r="A38" s="127"/>
      <c r="B38" s="128"/>
      <c r="C38" s="128"/>
      <c r="D38" s="125" t="s">
        <v>559</v>
      </c>
      <c r="E38" s="152">
        <f>'Variable Management'!B127*1000</f>
        <v>3.1825492952415346</v>
      </c>
      <c r="F38" s="163" t="s">
        <v>233</v>
      </c>
      <c r="G38" s="130"/>
      <c r="H38" s="128"/>
      <c r="I38" s="125" t="s">
        <v>559</v>
      </c>
      <c r="J38" s="152">
        <f>'Variable Management'!D127*1000</f>
        <v>3.1399901306247351</v>
      </c>
      <c r="K38" s="163" t="s">
        <v>233</v>
      </c>
      <c r="L38" s="279" t="str">
        <f>IF(OR(SCH_MODE=3, SCH_MODE=4),"** Tie VCCX to GND if not used **", "")</f>
        <v/>
      </c>
      <c r="M38" s="113"/>
      <c r="N38" s="83"/>
      <c r="O38" s="83"/>
      <c r="P38" s="83"/>
      <c r="Q38" s="107"/>
      <c r="R38" s="500"/>
    </row>
    <row r="39" spans="1:18" ht="14.1" customHeight="1" thickBot="1" x14ac:dyDescent="0.25">
      <c r="A39" s="159"/>
      <c r="B39" s="160"/>
      <c r="C39" s="160"/>
      <c r="D39" s="126" t="s">
        <v>560</v>
      </c>
      <c r="E39" s="590">
        <f>'Variable Management'!B114</f>
        <v>0.41370852302231248</v>
      </c>
      <c r="F39" s="161" t="s">
        <v>145</v>
      </c>
      <c r="G39" s="586"/>
      <c r="H39" s="176"/>
      <c r="I39" s="126" t="s">
        <v>560</v>
      </c>
      <c r="J39" s="590">
        <f>'Variable Management'!D114</f>
        <v>0.55660382408231224</v>
      </c>
      <c r="K39" s="161" t="s">
        <v>145</v>
      </c>
      <c r="L39" s="113"/>
      <c r="M39" s="83"/>
      <c r="N39" s="83"/>
      <c r="O39" s="83"/>
      <c r="P39" s="83"/>
      <c r="Q39" s="607"/>
      <c r="R39" s="500"/>
    </row>
    <row r="40" spans="1:18" ht="13.5" customHeight="1" x14ac:dyDescent="0.2">
      <c r="A40" s="186"/>
      <c r="B40" s="135"/>
      <c r="C40" s="135"/>
      <c r="D40" s="135"/>
      <c r="E40" s="135"/>
      <c r="F40" s="135"/>
      <c r="G40" s="128"/>
      <c r="H40" s="128"/>
      <c r="I40" s="83"/>
      <c r="J40" s="83"/>
      <c r="K40" s="83"/>
      <c r="L40" s="83"/>
      <c r="M40" s="113"/>
      <c r="N40" s="113"/>
      <c r="O40" s="113"/>
      <c r="P40" s="113"/>
      <c r="Q40" s="107"/>
      <c r="R40" s="500"/>
    </row>
    <row r="41" spans="1:18" ht="19.5" thickBot="1" x14ac:dyDescent="0.35">
      <c r="A41" s="184" t="s">
        <v>617</v>
      </c>
      <c r="B41" s="132"/>
      <c r="C41" s="133"/>
      <c r="D41" s="133"/>
      <c r="E41" s="128"/>
      <c r="F41" s="128"/>
      <c r="G41" s="128"/>
      <c r="H41" s="128"/>
      <c r="I41" s="83"/>
      <c r="J41" s="83"/>
      <c r="K41" s="83"/>
      <c r="L41" s="109"/>
      <c r="M41" s="113"/>
      <c r="N41" s="113"/>
      <c r="O41" s="83"/>
      <c r="P41" s="83"/>
      <c r="Q41" s="107"/>
      <c r="R41" s="500"/>
    </row>
    <row r="42" spans="1:18" ht="14.1" customHeight="1" x14ac:dyDescent="0.25">
      <c r="A42" s="173"/>
      <c r="B42" s="164"/>
      <c r="C42" s="154"/>
      <c r="D42" s="156" t="s">
        <v>565</v>
      </c>
      <c r="E42" s="166">
        <v>1000</v>
      </c>
      <c r="F42" s="157" t="s">
        <v>230</v>
      </c>
      <c r="G42" s="128"/>
      <c r="H42" s="128"/>
      <c r="I42" s="83"/>
      <c r="J42" s="110"/>
      <c r="K42" s="83"/>
      <c r="L42" s="83"/>
      <c r="M42" s="83"/>
      <c r="N42" s="83"/>
      <c r="O42" s="83"/>
      <c r="P42" s="83"/>
      <c r="Q42" s="107"/>
      <c r="R42" s="500"/>
    </row>
    <row r="43" spans="1:18" ht="14.1" customHeight="1" x14ac:dyDescent="0.2">
      <c r="A43" s="136"/>
      <c r="B43" s="133"/>
      <c r="C43" s="128"/>
      <c r="D43" s="125" t="s">
        <v>566</v>
      </c>
      <c r="E43" s="595">
        <f>'Variable Management'!B145</f>
        <v>10</v>
      </c>
      <c r="F43" s="163" t="s">
        <v>218</v>
      </c>
      <c r="G43" s="128"/>
      <c r="H43" s="128"/>
      <c r="I43" s="83"/>
      <c r="J43" s="110"/>
      <c r="K43" s="83"/>
      <c r="L43" s="83"/>
      <c r="M43" s="271"/>
      <c r="N43" s="299"/>
      <c r="O43" s="83"/>
      <c r="P43" s="83"/>
      <c r="Q43" s="107"/>
      <c r="R43" s="500"/>
    </row>
    <row r="44" spans="1:18" ht="14.1" customHeight="1" x14ac:dyDescent="0.25">
      <c r="A44" s="127"/>
      <c r="B44" s="128"/>
      <c r="C44" s="133"/>
      <c r="D44" s="153" t="s">
        <v>282</v>
      </c>
      <c r="E44" s="129">
        <v>50</v>
      </c>
      <c r="F44" s="158" t="s">
        <v>218</v>
      </c>
      <c r="G44" s="128"/>
      <c r="H44" s="128"/>
      <c r="I44" s="83"/>
      <c r="J44" s="110"/>
      <c r="K44" s="83"/>
      <c r="L44" s="83"/>
      <c r="M44" s="83"/>
      <c r="N44" s="83"/>
      <c r="O44" s="83"/>
      <c r="P44" s="83"/>
      <c r="Q44" s="107"/>
      <c r="R44" s="500"/>
    </row>
    <row r="45" spans="1:18" ht="14.1" customHeight="1" x14ac:dyDescent="0.2">
      <c r="A45" s="127"/>
      <c r="B45" s="128"/>
      <c r="C45" s="133"/>
      <c r="D45" s="125" t="s">
        <v>833</v>
      </c>
      <c r="E45" s="526">
        <f>'Variable Management'!B150</f>
        <v>85.537365441971929</v>
      </c>
      <c r="F45" s="163" t="s">
        <v>49</v>
      </c>
      <c r="G45" s="128"/>
      <c r="H45" s="128"/>
      <c r="I45" s="83"/>
      <c r="J45" s="111"/>
      <c r="K45" s="83"/>
      <c r="L45" s="83"/>
      <c r="M45" s="83"/>
      <c r="N45" s="83"/>
      <c r="O45" s="83"/>
      <c r="P45" s="83"/>
      <c r="Q45" s="107" t="s">
        <v>178</v>
      </c>
      <c r="R45" s="500"/>
    </row>
    <row r="46" spans="1:18" ht="14.1" customHeight="1" x14ac:dyDescent="0.2">
      <c r="A46" s="127"/>
      <c r="B46" s="128"/>
      <c r="C46" s="133"/>
      <c r="D46" s="153" t="s">
        <v>480</v>
      </c>
      <c r="E46" s="129">
        <v>1</v>
      </c>
      <c r="F46" s="158" t="s">
        <v>49</v>
      </c>
      <c r="G46" s="128"/>
      <c r="H46" s="128"/>
      <c r="I46" s="83"/>
      <c r="J46" s="111"/>
      <c r="K46" s="83"/>
      <c r="L46" s="83"/>
      <c r="M46" s="83"/>
      <c r="N46" s="83"/>
      <c r="O46" s="83"/>
      <c r="P46" s="83"/>
      <c r="Q46" s="107"/>
      <c r="R46" s="500"/>
    </row>
    <row r="47" spans="1:18" ht="14.1" customHeight="1" x14ac:dyDescent="0.3">
      <c r="A47" s="127"/>
      <c r="B47" s="128"/>
      <c r="C47" s="133"/>
      <c r="D47" s="259" t="s">
        <v>834</v>
      </c>
      <c r="E47" s="152">
        <f>'Variable Management'!B155*1000</f>
        <v>94.049897514732251</v>
      </c>
      <c r="F47" s="163" t="s">
        <v>233</v>
      </c>
      <c r="G47" s="128"/>
      <c r="H47" s="128"/>
      <c r="I47" s="83"/>
      <c r="J47" s="111"/>
      <c r="K47" s="83"/>
      <c r="L47" s="83"/>
      <c r="M47" s="83"/>
      <c r="N47" s="83"/>
      <c r="O47" s="83"/>
      <c r="P47" s="83"/>
      <c r="Q47" s="107"/>
      <c r="R47" s="500"/>
    </row>
    <row r="48" spans="1:18" ht="15.75" customHeight="1" thickBot="1" x14ac:dyDescent="0.25">
      <c r="A48" s="159"/>
      <c r="B48" s="160"/>
      <c r="C48" s="160"/>
      <c r="D48" s="265" t="s">
        <v>561</v>
      </c>
      <c r="E48" s="660">
        <f>'Variable Management'!B138</f>
        <v>4.2286082285909288</v>
      </c>
      <c r="F48" s="266" t="s">
        <v>145</v>
      </c>
      <c r="G48" s="128"/>
      <c r="H48" s="128"/>
      <c r="I48" s="83"/>
      <c r="J48" s="83"/>
      <c r="K48" s="83"/>
      <c r="L48" s="83"/>
      <c r="M48" s="83"/>
      <c r="N48" s="83"/>
      <c r="O48" s="83"/>
      <c r="P48" s="83"/>
      <c r="Q48" s="107"/>
      <c r="R48" s="500"/>
    </row>
    <row r="49" spans="1:35" ht="14.1" customHeight="1" x14ac:dyDescent="0.2">
      <c r="A49" s="127"/>
      <c r="B49" s="128"/>
      <c r="C49" s="128"/>
      <c r="D49" s="125"/>
      <c r="E49" s="128"/>
      <c r="F49" s="128"/>
      <c r="G49" s="128"/>
      <c r="H49" s="128"/>
      <c r="I49" s="83"/>
      <c r="J49" s="83"/>
      <c r="K49" s="83"/>
      <c r="L49" s="83"/>
      <c r="M49" s="83"/>
      <c r="N49" s="83"/>
      <c r="O49" s="83"/>
      <c r="P49" s="83"/>
      <c r="Q49" s="107"/>
      <c r="R49" s="500"/>
    </row>
    <row r="50" spans="1:35" ht="19.5" thickBot="1" x14ac:dyDescent="0.35">
      <c r="A50" s="184" t="s">
        <v>692</v>
      </c>
      <c r="B50" s="132"/>
      <c r="C50" s="128"/>
      <c r="D50" s="125"/>
      <c r="E50" s="128"/>
      <c r="F50" s="128"/>
      <c r="G50" s="128"/>
      <c r="H50" s="137"/>
      <c r="I50" s="113"/>
      <c r="J50" s="113"/>
      <c r="K50" s="113"/>
      <c r="L50" s="113"/>
      <c r="M50" s="113"/>
      <c r="N50" s="83"/>
      <c r="O50" s="83"/>
      <c r="P50" s="83"/>
      <c r="Q50" s="107"/>
      <c r="R50" s="500"/>
    </row>
    <row r="51" spans="1:35" ht="13.7" customHeight="1" x14ac:dyDescent="0.2">
      <c r="A51" s="267"/>
      <c r="B51" s="268"/>
      <c r="C51" s="268"/>
      <c r="D51" s="275" t="s">
        <v>284</v>
      </c>
      <c r="E51" s="276">
        <v>3</v>
      </c>
      <c r="F51" s="270" t="s">
        <v>149</v>
      </c>
      <c r="G51" s="128"/>
      <c r="H51" s="135"/>
      <c r="I51" s="113"/>
      <c r="J51" s="113"/>
      <c r="K51" s="113"/>
      <c r="L51" s="113"/>
      <c r="M51" s="113"/>
      <c r="N51" s="83"/>
      <c r="O51" s="83"/>
      <c r="P51" s="83"/>
      <c r="Q51" s="107"/>
      <c r="R51" s="500"/>
    </row>
    <row r="52" spans="1:35" ht="13.7" customHeight="1" x14ac:dyDescent="0.2">
      <c r="A52" s="258"/>
      <c r="B52" s="257"/>
      <c r="C52" s="257"/>
      <c r="D52" s="259" t="s">
        <v>283</v>
      </c>
      <c r="E52" s="277">
        <f>IF(Tss&gt;0.5/1000,Css_u*1000000000,"N/A")</f>
        <v>100</v>
      </c>
      <c r="F52" s="261" t="s">
        <v>141</v>
      </c>
      <c r="G52" s="128"/>
      <c r="H52" s="135"/>
      <c r="I52" s="113"/>
      <c r="J52" s="113"/>
      <c r="K52" s="113"/>
      <c r="L52" s="113"/>
      <c r="M52" s="113"/>
      <c r="N52" s="83"/>
      <c r="O52" s="83"/>
      <c r="P52" s="83"/>
      <c r="Q52" s="107"/>
      <c r="R52" s="500"/>
    </row>
    <row r="53" spans="1:35" ht="13.7" customHeight="1" x14ac:dyDescent="0.2">
      <c r="A53" s="258"/>
      <c r="B53" s="257"/>
      <c r="C53" s="279"/>
      <c r="D53" s="278" t="s">
        <v>698</v>
      </c>
      <c r="E53" s="272">
        <v>30</v>
      </c>
      <c r="F53" s="273" t="s">
        <v>149</v>
      </c>
      <c r="G53" s="128"/>
      <c r="H53" s="135"/>
      <c r="I53" s="113"/>
      <c r="J53" s="113"/>
      <c r="K53" s="113"/>
      <c r="L53" s="113"/>
      <c r="M53" s="113"/>
      <c r="N53" s="83"/>
      <c r="O53" s="83"/>
      <c r="P53" s="83"/>
      <c r="Q53" s="107"/>
      <c r="R53" s="500"/>
    </row>
    <row r="54" spans="1:35" ht="13.7" customHeight="1" x14ac:dyDescent="0.2">
      <c r="A54" s="258"/>
      <c r="B54" s="257"/>
      <c r="C54" s="257"/>
      <c r="D54" s="259" t="s">
        <v>684</v>
      </c>
      <c r="E54" s="277">
        <f>IF(Tres&gt;1/1000,Cres_u*1000000000,"N/A")</f>
        <v>470</v>
      </c>
      <c r="F54" s="261" t="s">
        <v>141</v>
      </c>
      <c r="G54" s="128"/>
      <c r="H54" s="135"/>
      <c r="I54" s="113"/>
      <c r="J54" s="113"/>
      <c r="K54" s="113"/>
      <c r="L54" s="113"/>
      <c r="M54" s="113"/>
      <c r="N54" s="83"/>
      <c r="O54" s="83"/>
      <c r="P54" s="83"/>
      <c r="Q54" s="107"/>
      <c r="R54" s="500"/>
    </row>
    <row r="55" spans="1:35" ht="15.75" customHeight="1" x14ac:dyDescent="0.2">
      <c r="A55" s="258"/>
      <c r="B55" s="257"/>
      <c r="C55" s="257"/>
      <c r="D55" s="278" t="s">
        <v>613</v>
      </c>
      <c r="E55" s="554">
        <v>9</v>
      </c>
      <c r="F55" s="273" t="str">
        <f>IF(DITHER=1, "kHz", "")</f>
        <v/>
      </c>
      <c r="G55" s="128"/>
      <c r="H55" s="128"/>
      <c r="I55" s="83"/>
      <c r="J55" s="81"/>
      <c r="K55" s="123"/>
      <c r="L55" s="83"/>
      <c r="M55" s="113"/>
      <c r="N55" s="83"/>
      <c r="O55" s="83"/>
      <c r="P55" s="83"/>
      <c r="Q55" s="107"/>
      <c r="R55" s="500"/>
    </row>
    <row r="56" spans="1:35" ht="13.7" customHeight="1" x14ac:dyDescent="0.2">
      <c r="A56" s="258"/>
      <c r="B56" s="257"/>
      <c r="C56" s="257"/>
      <c r="D56" s="259" t="str">
        <f>IF(DITHER=1, "DITH Capacitance, Cd", "*Tie DITH to VDDA")</f>
        <v>*Tie DITH to VDDA</v>
      </c>
      <c r="E56" s="259" t="str">
        <f>IF(DITHER=1,IF(E55&gt;0,'Standard Value Calculator'!O22*1000000000,"N/A"),"")</f>
        <v/>
      </c>
      <c r="F56" s="261" t="str">
        <f>IF(DITHER=1, "nF", "")</f>
        <v/>
      </c>
      <c r="G56" s="128"/>
      <c r="H56" s="128"/>
      <c r="I56" s="83"/>
      <c r="J56" s="81"/>
      <c r="K56" s="123"/>
      <c r="L56" s="83"/>
      <c r="M56" s="113"/>
      <c r="N56" s="83"/>
      <c r="O56" s="83"/>
      <c r="P56" s="83"/>
      <c r="Q56" s="107"/>
      <c r="R56" s="500"/>
    </row>
    <row r="57" spans="1:35" ht="15.75" customHeight="1" x14ac:dyDescent="0.2">
      <c r="A57" s="258"/>
      <c r="B57" s="257"/>
      <c r="C57" s="279"/>
      <c r="D57" s="588" t="str">
        <f>IF(DEMB=1, "* Tie DEMB to VDDA", "*Tie DEMB to AGND")</f>
        <v>* Tie DEMB to VDDA</v>
      </c>
      <c r="E57" s="647"/>
      <c r="F57" s="261"/>
      <c r="G57" s="128"/>
      <c r="H57" s="128"/>
      <c r="I57" s="83"/>
      <c r="J57" s="81"/>
      <c r="K57" s="123"/>
      <c r="L57" s="83"/>
      <c r="M57" s="113"/>
      <c r="N57" s="83"/>
      <c r="O57" s="83"/>
      <c r="P57" s="83"/>
      <c r="Q57" s="107"/>
      <c r="R57" s="500"/>
    </row>
    <row r="58" spans="1:35" ht="15" customHeight="1" thickBot="1" x14ac:dyDescent="0.25">
      <c r="A58" s="282"/>
      <c r="B58" s="283"/>
      <c r="C58" s="283"/>
      <c r="D58" s="593" t="str">
        <f>IF(MODE=2, "* Tie MODE to VDDA", "* Tie MODE to AGND")</f>
        <v>* Tie MODE to AGND</v>
      </c>
      <c r="E58" s="587"/>
      <c r="F58" s="284"/>
      <c r="G58" s="128"/>
      <c r="H58" s="128"/>
      <c r="I58" s="83"/>
      <c r="J58" s="81"/>
      <c r="K58" s="123"/>
      <c r="L58" s="83"/>
      <c r="M58" s="113"/>
      <c r="N58" s="83"/>
      <c r="O58" s="83"/>
      <c r="P58" s="83"/>
      <c r="Q58" s="107"/>
      <c r="R58" s="500"/>
    </row>
    <row r="59" spans="1:35" ht="14.1" customHeight="1" x14ac:dyDescent="0.2">
      <c r="A59" s="127"/>
      <c r="B59" s="128"/>
      <c r="C59" s="128"/>
      <c r="D59" s="125"/>
      <c r="E59" s="138"/>
      <c r="F59" s="128"/>
      <c r="G59" s="128"/>
      <c r="H59" s="128"/>
      <c r="I59" s="83"/>
      <c r="J59" s="81"/>
      <c r="K59" s="123"/>
      <c r="L59" s="83"/>
      <c r="M59" s="113"/>
      <c r="N59" s="83"/>
      <c r="O59" s="83"/>
      <c r="P59" s="83"/>
      <c r="Q59" s="107"/>
      <c r="R59" s="500"/>
    </row>
    <row r="60" spans="1:35" ht="19.5" customHeight="1" thickBot="1" x14ac:dyDescent="0.25">
      <c r="A60" s="184" t="s">
        <v>235</v>
      </c>
      <c r="B60" s="140"/>
      <c r="C60" s="133"/>
      <c r="D60" s="556"/>
      <c r="E60" s="134"/>
      <c r="F60" s="133"/>
      <c r="G60" s="128"/>
      <c r="H60" s="128"/>
      <c r="I60" s="83"/>
      <c r="J60" s="83"/>
      <c r="K60" s="83"/>
      <c r="L60" s="83"/>
      <c r="M60" s="83"/>
      <c r="N60" s="83"/>
      <c r="O60" s="83"/>
      <c r="P60" s="83"/>
      <c r="Q60" s="107"/>
      <c r="R60" s="499"/>
      <c r="S60" s="54"/>
      <c r="T60" s="54"/>
      <c r="W60" s="54"/>
      <c r="X60" s="54"/>
      <c r="Y60" s="54"/>
      <c r="AB60" s="54"/>
      <c r="AC60" s="54"/>
      <c r="AD60" s="54"/>
      <c r="AG60" s="54"/>
      <c r="AH60" s="54"/>
      <c r="AI60" s="54"/>
    </row>
    <row r="61" spans="1:35" ht="15" customHeight="1" x14ac:dyDescent="0.2">
      <c r="A61" s="267"/>
      <c r="B61" s="268"/>
      <c r="C61" s="269"/>
      <c r="D61" s="269" t="str">
        <f>IF(MODE=1, "Ch1 Load Pole Frequency", "Load Pole Frequency")</f>
        <v>Ch1 Load Pole Frequency</v>
      </c>
      <c r="E61" s="368">
        <f>Fp_dominant</f>
        <v>903.72463971154241</v>
      </c>
      <c r="F61" s="285" t="s">
        <v>9</v>
      </c>
      <c r="G61" s="585"/>
      <c r="H61" s="175"/>
      <c r="I61" s="269" t="s">
        <v>704</v>
      </c>
      <c r="J61" s="368">
        <f>Fp_dominant_Ch2</f>
        <v>178.14226092657441</v>
      </c>
      <c r="K61" s="285" t="s">
        <v>9</v>
      </c>
      <c r="L61" s="83"/>
      <c r="M61" s="83"/>
      <c r="N61" s="83"/>
      <c r="O61" s="83"/>
      <c r="P61" s="83"/>
      <c r="Q61" s="107"/>
      <c r="R61" s="499"/>
      <c r="S61" s="54"/>
      <c r="T61" s="54"/>
      <c r="W61" s="54"/>
      <c r="X61" s="54"/>
      <c r="Y61" s="54"/>
      <c r="AB61" s="54"/>
      <c r="AC61" s="54"/>
      <c r="AD61" s="54"/>
      <c r="AG61" s="54"/>
      <c r="AH61" s="54"/>
      <c r="AI61" s="54"/>
    </row>
    <row r="62" spans="1:35" ht="15" customHeight="1" x14ac:dyDescent="0.2">
      <c r="A62" s="258"/>
      <c r="B62" s="257"/>
      <c r="C62" s="259"/>
      <c r="D62" s="259" t="str">
        <f>IF(MODE=1, "Ch1 ESR Zero Frequency", "ESR Zero Frequency")</f>
        <v>Ch1 ESR Zero Frequency</v>
      </c>
      <c r="E62" s="262">
        <f>Fesr/1000</f>
        <v>397.88735818439096</v>
      </c>
      <c r="F62" s="261" t="s">
        <v>2</v>
      </c>
      <c r="G62" s="128"/>
      <c r="H62" s="128"/>
      <c r="I62" s="259" t="s">
        <v>707</v>
      </c>
      <c r="J62" s="262">
        <f>Fesr_Ch2/1000</f>
        <v>397.88735818439096</v>
      </c>
      <c r="K62" s="261" t="s">
        <v>2</v>
      </c>
      <c r="L62" s="83"/>
      <c r="M62" s="83"/>
      <c r="N62" s="83"/>
      <c r="O62" s="83"/>
      <c r="P62" s="83"/>
      <c r="Q62" s="107"/>
      <c r="R62" s="499"/>
      <c r="S62" s="54"/>
      <c r="T62" s="54"/>
      <c r="W62" s="54"/>
      <c r="X62" s="54"/>
      <c r="Y62" s="54"/>
      <c r="AB62" s="54"/>
      <c r="AC62" s="54"/>
      <c r="AD62" s="54"/>
      <c r="AG62" s="54"/>
      <c r="AH62" s="54"/>
      <c r="AI62" s="54"/>
    </row>
    <row r="63" spans="1:35" ht="15" customHeight="1" x14ac:dyDescent="0.2">
      <c r="A63" s="258"/>
      <c r="B63" s="257"/>
      <c r="C63" s="259"/>
      <c r="D63" s="280" t="str">
        <f>IF(MODE=1, "Ch1 Desired Crossover Frequency", "Desired Crossover Frequency")</f>
        <v>Ch1 Desired Crossover Frequency</v>
      </c>
      <c r="E63" s="286">
        <v>6</v>
      </c>
      <c r="F63" s="287" t="str">
        <f>"     kHz "</f>
        <v xml:space="preserve">     kHz </v>
      </c>
      <c r="G63" s="128"/>
      <c r="H63" s="128"/>
      <c r="I63" s="280" t="s">
        <v>706</v>
      </c>
      <c r="J63" s="286">
        <v>6</v>
      </c>
      <c r="K63" s="287" t="str">
        <f>"     kHz "</f>
        <v xml:space="preserve">     kHz </v>
      </c>
      <c r="L63" s="83"/>
      <c r="M63" s="83"/>
      <c r="N63" s="83"/>
      <c r="O63" s="83"/>
      <c r="P63" s="83"/>
      <c r="Q63" s="107"/>
      <c r="R63" s="499"/>
      <c r="S63" s="54"/>
      <c r="T63" s="54"/>
      <c r="W63" s="54"/>
      <c r="X63" s="54"/>
      <c r="Y63" s="54"/>
      <c r="AB63" s="54"/>
      <c r="AC63" s="54"/>
      <c r="AD63" s="54"/>
      <c r="AG63" s="54"/>
      <c r="AH63" s="54"/>
      <c r="AI63" s="54"/>
    </row>
    <row r="64" spans="1:35" ht="15" customHeight="1" x14ac:dyDescent="0.2">
      <c r="A64" s="258"/>
      <c r="B64" s="257"/>
      <c r="C64" s="259"/>
      <c r="D64" s="259" t="str">
        <f>IF(MODE=1, "Ch1 Error Amp Pole Frequency", "Error Amp Pole Frequency")</f>
        <v>Ch1 Error Amp Pole Frequency</v>
      </c>
      <c r="E64" s="260">
        <f>Fp1_u</f>
        <v>6.3757683713494134E-2</v>
      </c>
      <c r="F64" s="261" t="s">
        <v>9</v>
      </c>
      <c r="G64" s="128"/>
      <c r="H64" s="128"/>
      <c r="I64" s="259" t="s">
        <v>705</v>
      </c>
      <c r="J64" s="260">
        <f>Fp1_u_Ch2</f>
        <v>0.30311813891311201</v>
      </c>
      <c r="K64" s="261" t="s">
        <v>9</v>
      </c>
      <c r="L64" s="83"/>
      <c r="M64" s="83"/>
      <c r="N64" s="83"/>
      <c r="O64" s="83"/>
      <c r="P64" s="83"/>
      <c r="Q64" s="107"/>
      <c r="R64" s="499"/>
      <c r="S64" s="54"/>
      <c r="T64" s="54"/>
      <c r="W64" s="54"/>
      <c r="X64" s="54"/>
      <c r="Y64" s="54"/>
      <c r="AB64" s="54"/>
      <c r="AC64" s="54"/>
      <c r="AD64" s="54"/>
      <c r="AG64" s="54"/>
      <c r="AH64" s="54"/>
      <c r="AI64" s="54"/>
    </row>
    <row r="65" spans="1:35" ht="15" customHeight="1" x14ac:dyDescent="0.2">
      <c r="A65" s="258"/>
      <c r="B65" s="257"/>
      <c r="C65" s="259"/>
      <c r="D65" s="280" t="str">
        <f>CHOOSE(Ch1_VOUT, "* Tie FB1 to VDDA for Ch1 3.3V Out", "* Tie FB1 to AGND for Ch1 5V Out", IF(MODE=1, "Ch1 Upper Feedback Resistor", "Upper Feedback Resistor"))</f>
        <v>Ch1 Upper Feedback Resistor</v>
      </c>
      <c r="E65" s="288">
        <v>100</v>
      </c>
      <c r="F65" s="273" t="s">
        <v>50</v>
      </c>
      <c r="G65" s="128"/>
      <c r="H65" s="128"/>
      <c r="I65" s="280" t="str">
        <f>CHOOSE(Ch2_VOUT, "* Tie FB2 to VDDA for Ch2 3.3V Out", "* Tie FB2 to AGND for Ch2 5V Out", "Ch2 Upper Feedback Resistor")</f>
        <v>Ch2 Upper Feedback Resistor</v>
      </c>
      <c r="J65" s="288">
        <v>100</v>
      </c>
      <c r="K65" s="273" t="s">
        <v>50</v>
      </c>
      <c r="L65" s="83"/>
      <c r="M65" s="83"/>
      <c r="N65" s="83"/>
      <c r="O65" s="83"/>
      <c r="P65" s="83"/>
      <c r="Q65" s="107"/>
      <c r="R65" s="499"/>
      <c r="S65" s="54"/>
      <c r="T65" s="54"/>
      <c r="W65" s="54"/>
      <c r="X65" s="54"/>
      <c r="Y65" s="54"/>
      <c r="AB65" s="54"/>
      <c r="AC65" s="54"/>
      <c r="AD65" s="54"/>
      <c r="AG65" s="54"/>
      <c r="AH65" s="54"/>
      <c r="AI65" s="54"/>
    </row>
    <row r="66" spans="1:35" ht="17.25" customHeight="1" thickBot="1" x14ac:dyDescent="0.25">
      <c r="A66" s="263"/>
      <c r="B66" s="264"/>
      <c r="C66" s="265"/>
      <c r="D66" s="281" t="str">
        <f>IF(Ch1_VOUT=3, IF(MODE=1,"Ch1 Lower Feedback Resistor","Lower Feedback Resistor"),"")</f>
        <v>Ch1 Lower Feedback Resistor</v>
      </c>
      <c r="E66" s="265">
        <f>IF(Vout=Vref,"OPEN",Rfb2_u/1000)</f>
        <v>6.34</v>
      </c>
      <c r="F66" s="266" t="str">
        <f>IF(Vout=Vref,"","kΩ")</f>
        <v>kΩ</v>
      </c>
      <c r="G66" s="195"/>
      <c r="H66" s="176"/>
      <c r="I66" s="281" t="str">
        <f>IF(Ch2_VOUT=3, "Ch2 Lower Feedback Resistor","")</f>
        <v>Ch2 Lower Feedback Resistor</v>
      </c>
      <c r="J66" s="265">
        <f>IF(Vout2=Vref,"OPEN",Rfb4_u/1000)</f>
        <v>1.21</v>
      </c>
      <c r="K66" s="266" t="str">
        <f>IF(Vout=Vref,"","kΩ")</f>
        <v>kΩ</v>
      </c>
      <c r="L66" s="83"/>
      <c r="M66" s="83"/>
      <c r="N66" s="83"/>
      <c r="O66" s="83"/>
      <c r="P66" s="83"/>
      <c r="Q66" s="107"/>
      <c r="R66" s="499"/>
      <c r="S66" s="54"/>
      <c r="T66" s="54"/>
      <c r="W66" s="54"/>
      <c r="X66" s="54"/>
      <c r="Y66" s="54"/>
      <c r="AB66" s="54"/>
      <c r="AC66" s="54"/>
      <c r="AD66" s="54"/>
      <c r="AG66" s="54"/>
      <c r="AH66" s="54"/>
      <c r="AI66" s="54"/>
    </row>
    <row r="67" spans="1:35" ht="13.5" customHeight="1" x14ac:dyDescent="0.2">
      <c r="A67" s="187"/>
      <c r="B67" s="549"/>
      <c r="C67" s="146"/>
      <c r="D67" s="135"/>
      <c r="E67" s="135"/>
      <c r="F67" s="135"/>
      <c r="G67" s="145"/>
      <c r="H67" s="144"/>
      <c r="I67" s="83"/>
      <c r="J67" s="83"/>
      <c r="K67" s="83"/>
      <c r="L67" s="83"/>
      <c r="M67" s="83"/>
      <c r="N67" s="83"/>
      <c r="O67" s="83"/>
      <c r="P67" s="83"/>
      <c r="Q67" s="107"/>
      <c r="R67" s="499"/>
      <c r="S67" s="54"/>
      <c r="T67" s="54"/>
      <c r="W67" s="54"/>
      <c r="X67" s="54"/>
      <c r="Y67" s="54"/>
      <c r="AB67" s="54"/>
      <c r="AC67" s="54"/>
      <c r="AD67" s="54"/>
      <c r="AG67" s="54"/>
      <c r="AH67" s="54"/>
      <c r="AI67" s="54"/>
    </row>
    <row r="68" spans="1:35" ht="15.75" customHeight="1" x14ac:dyDescent="0.25">
      <c r="A68" s="475" t="s">
        <v>228</v>
      </c>
      <c r="B68" s="147"/>
      <c r="C68" s="125"/>
      <c r="D68" s="141"/>
      <c r="E68" s="142"/>
      <c r="F68" s="143"/>
      <c r="G68" s="148"/>
      <c r="H68" s="128"/>
      <c r="I68" s="83"/>
      <c r="J68" s="83"/>
      <c r="K68" s="83"/>
      <c r="L68" s="83"/>
      <c r="M68" s="83"/>
      <c r="N68" s="83"/>
      <c r="O68" s="83"/>
      <c r="P68" s="83"/>
      <c r="Q68" s="107"/>
      <c r="R68" s="499"/>
      <c r="S68" s="190"/>
      <c r="T68" s="190"/>
      <c r="U68" s="191"/>
      <c r="V68" s="191"/>
      <c r="W68" s="190"/>
      <c r="X68" s="190"/>
      <c r="Y68" s="190"/>
      <c r="Z68" s="191"/>
      <c r="AA68" s="191"/>
      <c r="AB68" s="190"/>
      <c r="AC68" s="190"/>
      <c r="AD68" s="190"/>
      <c r="AE68" s="191"/>
      <c r="AF68" s="191"/>
      <c r="AG68" s="54"/>
      <c r="AH68" s="54"/>
      <c r="AI68" s="54"/>
    </row>
    <row r="69" spans="1:35" s="203" customFormat="1" ht="13.5" customHeight="1" thickBot="1" x14ac:dyDescent="0.25">
      <c r="A69" s="208"/>
      <c r="B69" s="209" t="s">
        <v>236</v>
      </c>
      <c r="C69" s="210" t="s">
        <v>227</v>
      </c>
      <c r="D69" s="612" t="str">
        <f t="shared" ref="D69" si="0">C69</f>
        <v>Std Values</v>
      </c>
      <c r="E69" s="556"/>
      <c r="F69" s="667" t="s">
        <v>229</v>
      </c>
      <c r="G69" s="667"/>
      <c r="H69" s="667"/>
      <c r="I69" s="198"/>
      <c r="J69" s="198"/>
      <c r="K69" s="198"/>
      <c r="L69" s="198"/>
      <c r="M69" s="198"/>
      <c r="N69" s="198"/>
      <c r="O69" s="198"/>
      <c r="P69" s="198"/>
      <c r="Q69" s="199"/>
      <c r="R69" s="501"/>
      <c r="S69" s="200"/>
      <c r="T69" s="200"/>
      <c r="U69" s="201"/>
      <c r="V69" s="201"/>
      <c r="W69" s="200"/>
      <c r="X69" s="200"/>
      <c r="Y69" s="200"/>
      <c r="Z69" s="201"/>
      <c r="AA69" s="201"/>
      <c r="AB69" s="200"/>
      <c r="AC69" s="200"/>
      <c r="AD69" s="200"/>
      <c r="AE69" s="201"/>
      <c r="AF69" s="201"/>
      <c r="AG69" s="202"/>
      <c r="AH69" s="202"/>
      <c r="AI69" s="202"/>
    </row>
    <row r="70" spans="1:35" ht="15.75" x14ac:dyDescent="0.3">
      <c r="A70" s="171" t="s">
        <v>708</v>
      </c>
      <c r="B70" s="182">
        <f>Rcea1/1000</f>
        <v>6.2831853000000013</v>
      </c>
      <c r="C70" s="167">
        <f>'Standard Value Calculator'!O30</f>
        <v>6.34</v>
      </c>
      <c r="D70" s="168">
        <f t="shared" ref="D70:D75" si="1">C70</f>
        <v>6.34</v>
      </c>
      <c r="E70" s="169" t="s">
        <v>50</v>
      </c>
      <c r="F70" s="519">
        <f>Fp1_u</f>
        <v>6.3757683713494134E-2</v>
      </c>
      <c r="G70" s="431" t="s">
        <v>720</v>
      </c>
      <c r="H70" s="135"/>
      <c r="I70" s="125"/>
      <c r="J70" s="494"/>
      <c r="K70" s="128"/>
      <c r="L70" s="83"/>
      <c r="M70" s="83"/>
      <c r="N70" s="83"/>
      <c r="O70" s="83"/>
      <c r="P70" s="83"/>
      <c r="Q70" s="107"/>
      <c r="R70" s="499"/>
      <c r="S70" s="190"/>
      <c r="T70" s="190"/>
      <c r="U70" s="191"/>
      <c r="V70" s="191"/>
      <c r="W70" s="190"/>
      <c r="X70" s="190"/>
      <c r="Y70" s="190"/>
      <c r="Z70" s="191"/>
      <c r="AA70" s="191"/>
      <c r="AB70" s="190"/>
      <c r="AC70" s="190"/>
      <c r="AD70" s="190"/>
      <c r="AE70" s="191"/>
      <c r="AF70" s="191"/>
      <c r="AG70" s="54"/>
      <c r="AH70" s="54"/>
      <c r="AI70" s="54"/>
    </row>
    <row r="71" spans="1:35" ht="15.75" x14ac:dyDescent="0.3">
      <c r="A71" s="172" t="s">
        <v>231</v>
      </c>
      <c r="B71" s="484">
        <f>Cc1ea*1000000000</f>
        <v>42.217159947454348</v>
      </c>
      <c r="C71" s="144">
        <f>'Standard Value Calculator'!O31</f>
        <v>39</v>
      </c>
      <c r="D71" s="149">
        <f t="shared" si="1"/>
        <v>39</v>
      </c>
      <c r="E71" s="170" t="s">
        <v>141</v>
      </c>
      <c r="F71" s="432">
        <f>Fz1_u/1000</f>
        <v>0.64367444501236082</v>
      </c>
      <c r="G71" s="433" t="s">
        <v>511</v>
      </c>
      <c r="H71" s="135"/>
      <c r="I71" s="125"/>
      <c r="J71" s="494"/>
      <c r="K71" s="128"/>
      <c r="L71" s="83"/>
      <c r="M71" s="83"/>
      <c r="N71" s="83"/>
      <c r="O71" s="83"/>
      <c r="P71" s="83"/>
      <c r="Q71" s="107"/>
      <c r="R71" s="499"/>
      <c r="S71" s="190"/>
      <c r="T71" s="190"/>
      <c r="U71" s="191"/>
      <c r="V71" s="191"/>
      <c r="W71" s="190"/>
      <c r="X71" s="190"/>
      <c r="Y71" s="190"/>
      <c r="Z71" s="191"/>
      <c r="AA71" s="191"/>
      <c r="AB71" s="190"/>
      <c r="AC71" s="190"/>
      <c r="AD71" s="190"/>
      <c r="AE71" s="191"/>
      <c r="AF71" s="191"/>
      <c r="AG71" s="54"/>
      <c r="AH71" s="54"/>
      <c r="AI71" s="54"/>
    </row>
    <row r="72" spans="1:35" ht="16.5" thickBot="1" x14ac:dyDescent="0.35">
      <c r="A72" s="369" t="s">
        <v>232</v>
      </c>
      <c r="B72" s="183">
        <f>IF(Cc2ea&lt;0, "N/A", Cc2ea*1000000000000)</f>
        <v>78.068122163958435</v>
      </c>
      <c r="C72" s="179">
        <f>'Standard Value Calculator'!O32</f>
        <v>82</v>
      </c>
      <c r="D72" s="180">
        <f t="shared" si="1"/>
        <v>82</v>
      </c>
      <c r="E72" s="181" t="s">
        <v>30</v>
      </c>
      <c r="F72" s="436">
        <f>Fp2_u/1000</f>
        <v>284.08264698583554</v>
      </c>
      <c r="G72" s="434" t="s">
        <v>512</v>
      </c>
      <c r="H72" s="135"/>
      <c r="I72" s="83"/>
      <c r="J72" s="83"/>
      <c r="K72" s="83"/>
      <c r="L72" s="83"/>
      <c r="M72" s="83"/>
      <c r="N72" s="83"/>
      <c r="O72" s="83"/>
      <c r="P72" s="83"/>
      <c r="Q72" s="107"/>
      <c r="R72" s="499"/>
      <c r="S72" s="190"/>
      <c r="T72" s="190"/>
      <c r="U72" s="191"/>
      <c r="V72" s="191"/>
      <c r="W72" s="190"/>
      <c r="X72" s="190"/>
      <c r="Y72" s="190"/>
      <c r="Z72" s="191"/>
      <c r="AA72" s="191"/>
      <c r="AB72" s="190"/>
      <c r="AC72" s="190"/>
      <c r="AD72" s="190"/>
      <c r="AE72" s="191"/>
      <c r="AF72" s="191"/>
      <c r="AG72" s="54"/>
      <c r="AH72" s="54"/>
      <c r="AI72" s="54"/>
    </row>
    <row r="73" spans="1:35" ht="15.75" x14ac:dyDescent="0.3">
      <c r="A73" s="171" t="s">
        <v>709</v>
      </c>
      <c r="B73" s="182">
        <f>Rcea2/1000</f>
        <v>31.415926500000001</v>
      </c>
      <c r="C73" s="144">
        <f>'Standard Value Calculator'!O34</f>
        <v>31.6</v>
      </c>
      <c r="D73" s="149">
        <f t="shared" si="1"/>
        <v>31.6</v>
      </c>
      <c r="E73" s="169" t="s">
        <v>50</v>
      </c>
      <c r="F73" s="519">
        <f>Fp1_u_Ch2</f>
        <v>0.30311813891311201</v>
      </c>
      <c r="G73" s="431" t="s">
        <v>719</v>
      </c>
      <c r="H73" s="135"/>
      <c r="I73" s="83"/>
      <c r="J73" s="83"/>
      <c r="K73" s="83"/>
      <c r="L73" s="83"/>
      <c r="M73" s="83"/>
      <c r="N73" s="83"/>
      <c r="O73" s="83"/>
      <c r="P73" s="83"/>
      <c r="Q73" s="107"/>
      <c r="R73" s="499"/>
      <c r="S73" s="190"/>
      <c r="T73" s="190"/>
      <c r="U73" s="191"/>
      <c r="V73" s="191"/>
      <c r="W73" s="190"/>
      <c r="X73" s="190"/>
      <c r="Y73" s="190"/>
      <c r="Z73" s="191"/>
      <c r="AA73" s="191"/>
      <c r="AB73" s="190"/>
      <c r="AC73" s="190"/>
      <c r="AD73" s="190"/>
      <c r="AE73" s="191"/>
      <c r="AF73" s="191"/>
      <c r="AG73" s="54"/>
      <c r="AH73" s="54"/>
      <c r="AI73" s="54"/>
    </row>
    <row r="74" spans="1:35" ht="15.75" x14ac:dyDescent="0.3">
      <c r="A74" s="172" t="s">
        <v>710</v>
      </c>
      <c r="B74" s="484">
        <f>Cc3ea*1000000000</f>
        <v>8.44343198949087</v>
      </c>
      <c r="C74" s="144">
        <f>'Standard Value Calculator'!O35</f>
        <v>8.2000000000000011</v>
      </c>
      <c r="D74" s="149">
        <f t="shared" si="1"/>
        <v>8.2000000000000011</v>
      </c>
      <c r="E74" s="170" t="s">
        <v>141</v>
      </c>
      <c r="F74" s="432">
        <f>Fz1_u_Ch2/1000</f>
        <v>0.61421327289964622</v>
      </c>
      <c r="G74" s="433" t="s">
        <v>717</v>
      </c>
      <c r="H74" s="135"/>
      <c r="I74" s="83"/>
      <c r="J74" s="83"/>
      <c r="K74" s="83"/>
      <c r="L74" s="83"/>
      <c r="M74" s="83"/>
      <c r="N74" s="83"/>
      <c r="O74" s="83"/>
      <c r="P74" s="83"/>
      <c r="Q74" s="107"/>
      <c r="R74" s="499"/>
      <c r="S74" s="190"/>
      <c r="T74" s="190"/>
      <c r="U74" s="191"/>
      <c r="V74" s="191"/>
      <c r="W74" s="190"/>
      <c r="X74" s="190"/>
      <c r="Y74" s="190"/>
      <c r="Z74" s="191"/>
      <c r="AA74" s="191"/>
      <c r="AB74" s="190"/>
      <c r="AC74" s="190"/>
      <c r="AD74" s="190"/>
      <c r="AE74" s="191"/>
      <c r="AF74" s="191"/>
      <c r="AG74" s="54"/>
      <c r="AH74" s="54"/>
      <c r="AI74" s="54"/>
    </row>
    <row r="75" spans="1:35" ht="16.5" thickBot="1" x14ac:dyDescent="0.35">
      <c r="A75" s="369" t="s">
        <v>711</v>
      </c>
      <c r="B75" s="183">
        <f>IF(Cc4ea&lt;0, "N/A", Cc4ea*1000000000000)</f>
        <v>10.520666248031485</v>
      </c>
      <c r="C75" s="179">
        <f>IF(1, 'Standard Value Calculator'!O36)</f>
        <v>10</v>
      </c>
      <c r="D75" s="180">
        <f t="shared" si="1"/>
        <v>10</v>
      </c>
      <c r="E75" s="181" t="s">
        <v>30</v>
      </c>
      <c r="F75" s="436">
        <f>Fp2_u_Ch2/1000</f>
        <v>307.74092556956219</v>
      </c>
      <c r="G75" s="434" t="s">
        <v>718</v>
      </c>
      <c r="H75" s="135"/>
      <c r="I75" s="83"/>
      <c r="J75" s="83"/>
      <c r="K75" s="83"/>
      <c r="L75" s="83"/>
      <c r="M75" s="83"/>
      <c r="N75" s="124" t="s">
        <v>750</v>
      </c>
      <c r="O75" s="129">
        <v>0.3</v>
      </c>
      <c r="P75" s="133" t="s">
        <v>116</v>
      </c>
      <c r="Q75" s="107"/>
      <c r="R75" s="499"/>
      <c r="S75" s="190"/>
      <c r="T75" s="190"/>
      <c r="U75" s="191"/>
      <c r="V75" s="191"/>
      <c r="W75" s="190"/>
      <c r="X75" s="190"/>
      <c r="Y75" s="190"/>
      <c r="Z75" s="191"/>
      <c r="AA75" s="191"/>
      <c r="AB75" s="190"/>
      <c r="AC75" s="190"/>
      <c r="AD75" s="190"/>
      <c r="AE75" s="191"/>
      <c r="AF75" s="191"/>
      <c r="AG75" s="54"/>
      <c r="AH75" s="54"/>
      <c r="AI75" s="54"/>
    </row>
    <row r="76" spans="1:35" ht="13.5" thickBot="1" x14ac:dyDescent="0.25">
      <c r="A76" s="127"/>
      <c r="B76" s="125"/>
      <c r="C76" s="125"/>
      <c r="D76" s="128"/>
      <c r="E76" s="128"/>
      <c r="F76" s="128"/>
      <c r="G76" s="128"/>
      <c r="H76" s="128"/>
      <c r="I76" s="83"/>
      <c r="J76" s="83"/>
      <c r="K76" s="83"/>
      <c r="L76" s="83"/>
      <c r="M76" s="83"/>
      <c r="N76" s="83"/>
      <c r="O76" s="83"/>
      <c r="P76" s="83"/>
      <c r="Q76" s="107"/>
      <c r="R76" s="499"/>
      <c r="S76" s="190"/>
      <c r="T76" s="190"/>
      <c r="U76" s="191"/>
      <c r="V76" s="191"/>
      <c r="W76" s="190"/>
      <c r="X76" s="190"/>
      <c r="Y76" s="190"/>
      <c r="Z76" s="191"/>
      <c r="AA76" s="191"/>
      <c r="AB76" s="190"/>
      <c r="AC76" s="190"/>
      <c r="AD76" s="190"/>
      <c r="AE76" s="191"/>
      <c r="AF76" s="191"/>
      <c r="AG76" s="54"/>
      <c r="AH76" s="54"/>
      <c r="AI76" s="54"/>
    </row>
    <row r="77" spans="1:35" s="86" customFormat="1" ht="18.75" thickBot="1" x14ac:dyDescent="0.3">
      <c r="A77" s="188" t="s">
        <v>234</v>
      </c>
      <c r="B77" s="139"/>
      <c r="C77" s="150"/>
      <c r="D77" s="150"/>
      <c r="E77" s="150"/>
      <c r="F77" s="150"/>
      <c r="G77" s="150"/>
      <c r="H77" s="150"/>
      <c r="I77" s="84"/>
      <c r="J77" s="84"/>
      <c r="K77" s="84"/>
      <c r="L77" s="84"/>
      <c r="M77" s="84"/>
      <c r="N77" s="84"/>
      <c r="O77" s="84"/>
      <c r="P77" s="84"/>
      <c r="Q77" s="85"/>
      <c r="R77" s="502"/>
      <c r="S77" s="192"/>
      <c r="T77" s="192"/>
      <c r="U77" s="193"/>
      <c r="V77" s="193"/>
      <c r="W77" s="192"/>
      <c r="X77" s="192"/>
      <c r="Y77" s="192"/>
      <c r="Z77" s="193"/>
      <c r="AA77" s="193"/>
      <c r="AB77" s="192"/>
      <c r="AC77" s="192"/>
      <c r="AD77" s="192"/>
      <c r="AE77" s="193"/>
      <c r="AF77" s="193"/>
      <c r="AG77" s="55"/>
      <c r="AH77" s="55"/>
      <c r="AI77" s="55"/>
    </row>
    <row r="78" spans="1:35" x14ac:dyDescent="0.2">
      <c r="A78" s="186"/>
      <c r="B78" s="135"/>
      <c r="C78" s="128"/>
      <c r="D78" s="128"/>
      <c r="E78" s="128"/>
      <c r="F78" s="128"/>
      <c r="G78" s="128"/>
      <c r="H78" s="128"/>
      <c r="I78" s="83"/>
      <c r="J78" s="83"/>
      <c r="K78" s="83"/>
      <c r="L78" s="83"/>
      <c r="M78" s="83"/>
      <c r="N78" s="83"/>
      <c r="O78" s="83"/>
      <c r="P78" s="83"/>
      <c r="Q78" s="107"/>
      <c r="R78" s="499"/>
      <c r="S78" s="190"/>
      <c r="T78" s="190"/>
      <c r="U78" s="191"/>
      <c r="V78" s="191"/>
      <c r="W78" s="190"/>
      <c r="X78" s="190"/>
      <c r="Y78" s="190"/>
      <c r="Z78" s="191"/>
      <c r="AA78" s="191"/>
      <c r="AB78" s="190"/>
      <c r="AC78" s="190"/>
      <c r="AD78" s="190"/>
      <c r="AE78" s="191"/>
      <c r="AF78" s="191"/>
      <c r="AG78" s="54"/>
      <c r="AH78" s="54"/>
      <c r="AI78" s="54"/>
    </row>
    <row r="79" spans="1:35" ht="19.5" thickBot="1" x14ac:dyDescent="0.35">
      <c r="A79" s="151" t="s">
        <v>193</v>
      </c>
      <c r="B79" s="132"/>
      <c r="C79" s="128"/>
      <c r="D79" s="128"/>
      <c r="E79" s="128"/>
      <c r="F79" s="128"/>
      <c r="G79" s="128"/>
      <c r="H79" s="128"/>
      <c r="I79" s="83"/>
      <c r="J79" s="83"/>
      <c r="K79" s="83"/>
      <c r="L79" s="83"/>
      <c r="M79" s="83"/>
      <c r="N79" s="83"/>
      <c r="O79" s="83"/>
      <c r="P79" s="83"/>
      <c r="Q79" s="107"/>
      <c r="R79" s="499"/>
      <c r="S79" s="190"/>
      <c r="T79" s="190"/>
      <c r="U79" s="191"/>
      <c r="V79" s="191"/>
      <c r="W79" s="190"/>
      <c r="X79" s="190"/>
      <c r="Y79" s="190"/>
      <c r="Z79" s="191"/>
      <c r="AA79" s="191"/>
      <c r="AB79" s="190"/>
      <c r="AC79" s="190"/>
      <c r="AD79" s="190"/>
      <c r="AE79" s="191"/>
      <c r="AF79" s="191"/>
      <c r="AG79" s="54"/>
      <c r="AH79" s="54"/>
      <c r="AI79" s="54"/>
    </row>
    <row r="80" spans="1:35" ht="18" customHeight="1" x14ac:dyDescent="0.25">
      <c r="A80" s="173"/>
      <c r="B80" s="174"/>
      <c r="C80" s="561"/>
      <c r="D80" s="561"/>
      <c r="E80" s="561"/>
      <c r="F80" s="204" t="str">
        <f>IF(MODE=1, "Ch1 Power MOSFETs", "Power MOSFETs")</f>
        <v>Ch1 Power MOSFETs</v>
      </c>
      <c r="G80" s="636" t="s">
        <v>778</v>
      </c>
      <c r="H80" s="561"/>
      <c r="I80" s="204" t="str">
        <f>IF(MODE=1, "Ch2 Power MOSFETs ", "Power MOSFETs ")</f>
        <v xml:space="preserve">Ch2 Power MOSFETs </v>
      </c>
      <c r="J80" s="637" t="s">
        <v>779</v>
      </c>
      <c r="K80" s="83"/>
      <c r="L80" s="83"/>
      <c r="M80" s="83"/>
      <c r="N80" s="83"/>
      <c r="O80" s="83"/>
      <c r="P80" s="83"/>
      <c r="Q80" s="107"/>
      <c r="R80" s="499"/>
      <c r="S80" s="190"/>
      <c r="T80" s="121"/>
      <c r="U80" s="121"/>
      <c r="V80" s="191"/>
      <c r="W80" s="190"/>
      <c r="X80" s="190"/>
      <c r="Y80" s="190"/>
      <c r="Z80" s="191"/>
      <c r="AA80" s="191"/>
      <c r="AB80" s="190"/>
      <c r="AC80" s="190"/>
      <c r="AD80" s="190"/>
      <c r="AE80" s="191"/>
      <c r="AF80" s="191"/>
      <c r="AG80" s="54"/>
      <c r="AH80" s="54"/>
      <c r="AI80" s="54"/>
    </row>
    <row r="81" spans="1:35" ht="14.25" customHeight="1" x14ac:dyDescent="0.2">
      <c r="A81" s="632"/>
      <c r="B81" s="133"/>
      <c r="C81" s="633"/>
      <c r="D81" s="634"/>
      <c r="E81" s="635" t="s">
        <v>862</v>
      </c>
      <c r="F81" s="128"/>
      <c r="G81" s="163"/>
      <c r="H81" s="665" t="s">
        <v>862</v>
      </c>
      <c r="I81" s="666"/>
      <c r="J81" s="163"/>
      <c r="K81" s="83"/>
      <c r="L81" s="83"/>
      <c r="M81" s="83"/>
      <c r="N81" s="83"/>
      <c r="O81" s="83"/>
      <c r="P81" s="83"/>
      <c r="Q81" s="107"/>
      <c r="R81" s="499"/>
      <c r="S81" s="190"/>
      <c r="T81" s="121"/>
      <c r="U81" s="121"/>
      <c r="V81" s="191"/>
      <c r="W81" s="190"/>
      <c r="X81" s="190"/>
      <c r="Y81" s="190"/>
      <c r="Z81" s="191"/>
      <c r="AA81" s="191"/>
      <c r="AB81" s="190"/>
      <c r="AC81" s="190"/>
      <c r="AD81" s="190"/>
      <c r="AE81" s="191"/>
      <c r="AF81" s="191"/>
      <c r="AG81" s="54"/>
      <c r="AH81" s="54"/>
      <c r="AI81" s="54"/>
    </row>
    <row r="82" spans="1:35" ht="14.45" customHeight="1" x14ac:dyDescent="0.2">
      <c r="A82" s="482"/>
      <c r="B82" s="113"/>
      <c r="C82" s="113"/>
      <c r="D82" s="113"/>
      <c r="E82" s="483" t="s">
        <v>754</v>
      </c>
      <c r="F82" s="671" t="s">
        <v>547</v>
      </c>
      <c r="G82" s="672"/>
      <c r="H82" s="491" t="s">
        <v>754</v>
      </c>
      <c r="I82" s="490" t="s">
        <v>547</v>
      </c>
      <c r="J82" s="261"/>
      <c r="K82" s="83"/>
      <c r="L82" s="83"/>
      <c r="M82" s="83"/>
      <c r="N82" s="83"/>
      <c r="O82" s="83"/>
      <c r="P82" s="83"/>
      <c r="Q82" s="107"/>
      <c r="R82" s="499"/>
      <c r="S82" s="190"/>
      <c r="T82" s="121"/>
      <c r="U82" s="121"/>
      <c r="V82" s="191"/>
      <c r="W82" s="190"/>
      <c r="X82" s="190"/>
      <c r="Y82" s="190"/>
      <c r="Z82" s="191"/>
      <c r="AA82" s="191"/>
      <c r="AB82" s="190"/>
      <c r="AC82" s="190"/>
      <c r="AD82" s="190"/>
      <c r="AE82" s="191"/>
      <c r="AF82" s="191"/>
      <c r="AG82" s="54"/>
      <c r="AH82" s="54"/>
      <c r="AI82" s="54"/>
    </row>
    <row r="83" spans="1:35" ht="14.45" customHeight="1" x14ac:dyDescent="0.25">
      <c r="A83" s="127"/>
      <c r="B83" s="128"/>
      <c r="C83" s="133"/>
      <c r="D83" s="124" t="s">
        <v>272</v>
      </c>
      <c r="E83" s="254">
        <v>6</v>
      </c>
      <c r="F83" s="254">
        <v>2.5</v>
      </c>
      <c r="G83" s="163" t="s">
        <v>49</v>
      </c>
      <c r="H83" s="129">
        <v>6</v>
      </c>
      <c r="I83" s="129">
        <v>2.5</v>
      </c>
      <c r="J83" s="163" t="s">
        <v>49</v>
      </c>
      <c r="K83" s="83"/>
      <c r="L83" s="83"/>
      <c r="M83" s="83"/>
      <c r="N83" s="83"/>
      <c r="O83" s="83"/>
      <c r="P83" s="83"/>
      <c r="Q83" s="107"/>
      <c r="R83" s="499"/>
      <c r="S83" s="190"/>
      <c r="T83" s="121"/>
      <c r="U83" s="121"/>
      <c r="V83" s="191"/>
      <c r="W83" s="190"/>
      <c r="X83" s="190"/>
      <c r="Y83" s="190"/>
      <c r="Z83" s="191"/>
      <c r="AA83" s="191"/>
      <c r="AB83" s="190"/>
      <c r="AC83" s="190"/>
      <c r="AD83" s="190"/>
      <c r="AE83" s="191"/>
      <c r="AF83" s="191"/>
      <c r="AG83" s="54"/>
      <c r="AH83" s="54"/>
      <c r="AI83" s="54"/>
    </row>
    <row r="84" spans="1:35" ht="14.45" customHeight="1" x14ac:dyDescent="0.25">
      <c r="A84" s="127"/>
      <c r="B84" s="128"/>
      <c r="C84" s="133"/>
      <c r="D84" s="124" t="s">
        <v>273</v>
      </c>
      <c r="E84" s="129">
        <v>8</v>
      </c>
      <c r="F84" s="129">
        <v>25</v>
      </c>
      <c r="G84" s="163" t="s">
        <v>65</v>
      </c>
      <c r="H84" s="129">
        <v>8</v>
      </c>
      <c r="I84" s="129">
        <v>25</v>
      </c>
      <c r="J84" s="163" t="s">
        <v>65</v>
      </c>
      <c r="K84" s="83"/>
      <c r="L84" s="83"/>
      <c r="M84" s="83"/>
      <c r="N84" s="83"/>
      <c r="O84" s="83"/>
      <c r="P84" s="83"/>
      <c r="Q84" s="107"/>
      <c r="R84" s="499"/>
      <c r="S84" s="190"/>
      <c r="T84" s="121"/>
      <c r="U84" s="121"/>
      <c r="V84" s="191"/>
      <c r="W84" s="190"/>
      <c r="X84" s="190"/>
      <c r="Y84" s="190"/>
      <c r="Z84" s="191"/>
      <c r="AA84" s="191"/>
      <c r="AB84" s="190"/>
      <c r="AC84" s="190"/>
      <c r="AD84" s="190"/>
      <c r="AE84" s="191"/>
      <c r="AF84" s="191"/>
      <c r="AG84" s="54"/>
      <c r="AH84" s="54"/>
      <c r="AI84" s="54"/>
    </row>
    <row r="85" spans="1:35" ht="14.45" customHeight="1" x14ac:dyDescent="0.25">
      <c r="A85" s="127"/>
      <c r="B85" s="128"/>
      <c r="C85" s="133"/>
      <c r="D85" s="124" t="s">
        <v>274</v>
      </c>
      <c r="E85" s="129">
        <v>1.4</v>
      </c>
      <c r="F85" s="129">
        <v>4.5</v>
      </c>
      <c r="G85" s="163" t="s">
        <v>65</v>
      </c>
      <c r="H85" s="129">
        <v>1.4</v>
      </c>
      <c r="I85" s="129">
        <v>4.5</v>
      </c>
      <c r="J85" s="163" t="s">
        <v>65</v>
      </c>
      <c r="K85" s="83"/>
      <c r="L85" s="83"/>
      <c r="M85" s="83"/>
      <c r="N85" s="83"/>
      <c r="O85" s="83"/>
      <c r="P85" s="83"/>
      <c r="Q85" s="107"/>
      <c r="R85" s="499"/>
      <c r="S85" s="190"/>
      <c r="T85" s="121"/>
      <c r="U85" s="121"/>
      <c r="V85" s="191"/>
      <c r="W85" s="190"/>
      <c r="X85" s="190"/>
      <c r="Y85" s="190"/>
      <c r="Z85" s="191"/>
      <c r="AA85" s="191"/>
      <c r="AB85" s="190"/>
      <c r="AC85" s="190"/>
      <c r="AD85" s="190"/>
      <c r="AE85" s="191"/>
      <c r="AF85" s="191"/>
      <c r="AG85" s="54"/>
      <c r="AH85" s="54"/>
      <c r="AI85" s="54"/>
    </row>
    <row r="86" spans="1:35" ht="14.45" customHeight="1" x14ac:dyDescent="0.25">
      <c r="A86" s="127"/>
      <c r="B86" s="128"/>
      <c r="C86" s="133"/>
      <c r="D86" s="124" t="s">
        <v>275</v>
      </c>
      <c r="E86" s="129">
        <v>3.8</v>
      </c>
      <c r="F86" s="129">
        <v>12</v>
      </c>
      <c r="G86" s="163" t="s">
        <v>65</v>
      </c>
      <c r="H86" s="129">
        <v>3.8</v>
      </c>
      <c r="I86" s="129">
        <v>12</v>
      </c>
      <c r="J86" s="163" t="s">
        <v>65</v>
      </c>
      <c r="K86" s="83"/>
      <c r="L86" s="83"/>
      <c r="M86" s="83"/>
      <c r="N86" s="83"/>
      <c r="O86" s="83"/>
      <c r="P86" s="83"/>
      <c r="Q86" s="107"/>
      <c r="R86" s="499"/>
      <c r="S86" s="190"/>
      <c r="T86" s="121"/>
      <c r="U86" s="121"/>
      <c r="V86" s="191"/>
      <c r="W86" s="190"/>
      <c r="X86" s="190"/>
      <c r="Y86" s="190"/>
      <c r="Z86" s="191"/>
      <c r="AA86" s="191"/>
      <c r="AB86" s="190"/>
      <c r="AC86" s="190"/>
      <c r="AD86" s="190"/>
      <c r="AE86" s="191"/>
      <c r="AF86" s="191"/>
      <c r="AG86" s="54"/>
      <c r="AH86" s="54"/>
      <c r="AI86" s="54"/>
    </row>
    <row r="87" spans="1:35" ht="14.45" customHeight="1" x14ac:dyDescent="0.25">
      <c r="A87" s="482"/>
      <c r="B87" s="113"/>
      <c r="C87" s="113"/>
      <c r="D87" s="124" t="s">
        <v>821</v>
      </c>
      <c r="E87" s="639"/>
      <c r="F87" s="129">
        <v>30</v>
      </c>
      <c r="G87" s="163" t="s">
        <v>65</v>
      </c>
      <c r="H87" s="639"/>
      <c r="I87" s="129">
        <v>30</v>
      </c>
      <c r="J87" s="163" t="s">
        <v>65</v>
      </c>
      <c r="K87" s="83"/>
      <c r="L87" s="83"/>
      <c r="M87" s="83"/>
      <c r="N87" s="83"/>
      <c r="O87" s="83"/>
      <c r="P87" s="83"/>
      <c r="Q87" s="107"/>
      <c r="R87" s="499"/>
      <c r="S87" s="190"/>
      <c r="T87" s="121"/>
      <c r="U87" s="121"/>
      <c r="V87" s="191"/>
      <c r="W87" s="190"/>
      <c r="X87" s="190"/>
      <c r="Y87" s="190"/>
      <c r="Z87" s="191"/>
      <c r="AA87" s="191"/>
      <c r="AB87" s="190"/>
      <c r="AC87" s="190"/>
      <c r="AD87" s="190"/>
      <c r="AE87" s="191"/>
      <c r="AF87" s="191"/>
      <c r="AG87" s="54"/>
      <c r="AH87" s="54"/>
      <c r="AI87" s="54"/>
    </row>
    <row r="88" spans="1:35" ht="14.45" customHeight="1" x14ac:dyDescent="0.25">
      <c r="A88" s="482"/>
      <c r="B88" s="113"/>
      <c r="C88" s="113"/>
      <c r="D88" s="124" t="s">
        <v>820</v>
      </c>
      <c r="E88" s="129">
        <v>213</v>
      </c>
      <c r="F88" s="129">
        <v>1700</v>
      </c>
      <c r="G88" s="163" t="s">
        <v>30</v>
      </c>
      <c r="H88" s="129">
        <v>213</v>
      </c>
      <c r="I88" s="129">
        <v>1700</v>
      </c>
      <c r="J88" s="163" t="s">
        <v>30</v>
      </c>
      <c r="K88" s="83"/>
      <c r="L88" s="83"/>
      <c r="M88" s="83"/>
      <c r="N88" s="83"/>
      <c r="O88" s="83"/>
      <c r="P88" s="83"/>
      <c r="Q88" s="107"/>
      <c r="R88" s="499"/>
      <c r="S88" s="190"/>
      <c r="T88" s="121"/>
      <c r="U88" s="121"/>
      <c r="V88" s="191"/>
      <c r="W88" s="190"/>
      <c r="X88" s="190"/>
      <c r="Y88" s="190"/>
      <c r="Z88" s="191"/>
      <c r="AA88" s="191"/>
      <c r="AB88" s="190"/>
      <c r="AC88" s="190"/>
      <c r="AD88" s="190"/>
      <c r="AE88" s="191"/>
      <c r="AF88" s="191"/>
      <c r="AG88" s="54"/>
      <c r="AH88" s="54"/>
      <c r="AI88" s="54"/>
    </row>
    <row r="89" spans="1:35" ht="14.45" customHeight="1" x14ac:dyDescent="0.25">
      <c r="A89" s="127"/>
      <c r="B89" s="128"/>
      <c r="C89" s="133"/>
      <c r="D89" s="124" t="s">
        <v>276</v>
      </c>
      <c r="E89" s="129">
        <v>0.5</v>
      </c>
      <c r="F89" s="129">
        <v>0.5</v>
      </c>
      <c r="G89" s="163" t="s">
        <v>138</v>
      </c>
      <c r="H89" s="129">
        <v>0.5</v>
      </c>
      <c r="I89" s="129">
        <v>0.5</v>
      </c>
      <c r="J89" s="163" t="s">
        <v>138</v>
      </c>
      <c r="K89" s="83"/>
      <c r="L89" s="83"/>
      <c r="M89" s="83"/>
      <c r="N89" s="83"/>
      <c r="O89" s="83"/>
      <c r="P89" s="83"/>
      <c r="Q89" s="107"/>
      <c r="R89" s="499"/>
      <c r="S89" s="190"/>
      <c r="T89" s="121"/>
      <c r="U89" s="121"/>
      <c r="V89" s="191"/>
      <c r="W89" s="190"/>
      <c r="X89" s="190"/>
      <c r="Y89" s="190"/>
      <c r="Z89" s="191"/>
      <c r="AA89" s="191"/>
      <c r="AB89" s="190"/>
      <c r="AC89" s="190"/>
      <c r="AD89" s="190"/>
      <c r="AE89" s="191"/>
      <c r="AF89" s="191"/>
      <c r="AG89" s="54"/>
      <c r="AH89" s="54"/>
      <c r="AI89" s="54"/>
    </row>
    <row r="90" spans="1:35" ht="14.45" customHeight="1" x14ac:dyDescent="0.25">
      <c r="A90" s="127"/>
      <c r="B90" s="128"/>
      <c r="C90" s="133"/>
      <c r="D90" s="124" t="s">
        <v>277</v>
      </c>
      <c r="E90" s="129">
        <v>64</v>
      </c>
      <c r="F90" s="129">
        <v>280</v>
      </c>
      <c r="G90" s="163" t="s">
        <v>66</v>
      </c>
      <c r="H90" s="129">
        <v>64</v>
      </c>
      <c r="I90" s="129">
        <v>280</v>
      </c>
      <c r="J90" s="163" t="s">
        <v>66</v>
      </c>
      <c r="K90" s="83"/>
      <c r="L90" s="83"/>
      <c r="M90" s="83"/>
      <c r="N90" s="83"/>
      <c r="O90" s="83"/>
      <c r="P90" s="83"/>
      <c r="Q90" s="107"/>
      <c r="R90" s="499"/>
      <c r="S90" s="190"/>
      <c r="T90" s="121"/>
      <c r="U90" s="121"/>
      <c r="V90" s="191"/>
      <c r="W90" s="190"/>
      <c r="X90" s="190"/>
      <c r="Y90" s="190"/>
      <c r="Z90" s="191"/>
      <c r="AA90" s="191"/>
      <c r="AB90" s="190"/>
      <c r="AC90" s="190"/>
      <c r="AD90" s="190"/>
      <c r="AE90" s="191"/>
      <c r="AF90" s="191"/>
      <c r="AG90" s="54"/>
      <c r="AH90" s="54"/>
      <c r="AI90" s="54"/>
    </row>
    <row r="91" spans="1:35" ht="14.45" customHeight="1" x14ac:dyDescent="0.25">
      <c r="A91" s="127"/>
      <c r="B91" s="128"/>
      <c r="C91" s="133"/>
      <c r="D91" s="124" t="s">
        <v>545</v>
      </c>
      <c r="E91" s="129">
        <v>2.9</v>
      </c>
      <c r="F91" s="129">
        <v>3</v>
      </c>
      <c r="G91" s="163" t="s">
        <v>0</v>
      </c>
      <c r="H91" s="129">
        <v>2.9</v>
      </c>
      <c r="I91" s="129">
        <v>3</v>
      </c>
      <c r="J91" s="163" t="s">
        <v>0</v>
      </c>
      <c r="K91" s="83"/>
      <c r="L91" s="83"/>
      <c r="M91" s="83"/>
      <c r="N91" s="83"/>
      <c r="O91" s="83"/>
      <c r="P91" s="83"/>
      <c r="Q91" s="107"/>
      <c r="R91" s="499"/>
      <c r="S91" s="190"/>
      <c r="T91" s="121"/>
      <c r="U91" s="121"/>
      <c r="V91" s="191"/>
      <c r="W91" s="190"/>
      <c r="X91" s="190"/>
      <c r="Y91" s="190"/>
      <c r="Z91" s="191"/>
      <c r="AA91" s="191"/>
      <c r="AB91" s="190"/>
      <c r="AC91" s="190"/>
      <c r="AD91" s="190"/>
      <c r="AE91" s="191"/>
      <c r="AF91" s="191"/>
      <c r="AG91" s="54"/>
      <c r="AH91" s="54"/>
      <c r="AI91" s="54"/>
    </row>
    <row r="92" spans="1:35" ht="14.45" customHeight="1" x14ac:dyDescent="0.25">
      <c r="A92" s="127"/>
      <c r="B92" s="128"/>
      <c r="C92" s="133"/>
      <c r="D92" s="124" t="s">
        <v>542</v>
      </c>
      <c r="E92" s="129">
        <v>0.7</v>
      </c>
      <c r="F92" s="129">
        <v>0.7</v>
      </c>
      <c r="G92" s="163" t="s">
        <v>0</v>
      </c>
      <c r="H92" s="129">
        <v>0.7</v>
      </c>
      <c r="I92" s="129">
        <v>0.7</v>
      </c>
      <c r="J92" s="163" t="s">
        <v>0</v>
      </c>
      <c r="K92" s="83"/>
      <c r="L92" s="83"/>
      <c r="M92" s="83"/>
      <c r="N92" s="83"/>
      <c r="O92" s="83"/>
      <c r="P92" s="83"/>
      <c r="Q92" s="107"/>
      <c r="R92" s="499"/>
      <c r="S92" s="190"/>
      <c r="T92" s="121"/>
      <c r="U92" s="121"/>
      <c r="V92" s="191"/>
      <c r="W92" s="190"/>
      <c r="X92" s="190"/>
      <c r="Y92" s="190"/>
      <c r="Z92" s="191"/>
      <c r="AA92" s="191"/>
      <c r="AB92" s="190"/>
      <c r="AC92" s="190"/>
      <c r="AD92" s="190"/>
      <c r="AE92" s="191"/>
      <c r="AF92" s="191"/>
      <c r="AG92" s="54"/>
      <c r="AH92" s="54"/>
      <c r="AI92" s="54"/>
    </row>
    <row r="93" spans="1:35" ht="14.25" customHeight="1" x14ac:dyDescent="0.25">
      <c r="A93" s="127"/>
      <c r="B93" s="128"/>
      <c r="C93" s="128"/>
      <c r="D93" s="124" t="s">
        <v>544</v>
      </c>
      <c r="E93" s="2"/>
      <c r="F93" s="129">
        <v>60</v>
      </c>
      <c r="G93" s="163" t="s">
        <v>65</v>
      </c>
      <c r="H93" s="113"/>
      <c r="I93" s="129">
        <v>60</v>
      </c>
      <c r="J93" s="163" t="s">
        <v>65</v>
      </c>
      <c r="K93" s="83"/>
      <c r="L93" s="83"/>
      <c r="M93" s="83"/>
      <c r="N93" s="83"/>
      <c r="O93" s="83"/>
      <c r="P93" s="83"/>
      <c r="Q93" s="107"/>
      <c r="R93" s="499"/>
      <c r="S93" s="190"/>
      <c r="T93" s="121"/>
      <c r="U93" s="121"/>
      <c r="V93" s="191"/>
      <c r="W93" s="190"/>
      <c r="X93" s="190"/>
      <c r="Y93" s="190"/>
      <c r="Z93" s="191"/>
      <c r="AA93" s="191"/>
      <c r="AB93" s="190"/>
      <c r="AC93" s="190"/>
      <c r="AD93" s="190"/>
      <c r="AE93" s="191"/>
      <c r="AF93" s="191"/>
      <c r="AG93" s="54"/>
      <c r="AH93" s="54"/>
      <c r="AI93" s="54"/>
    </row>
    <row r="94" spans="1:35" ht="14.45" customHeight="1" thickBot="1" x14ac:dyDescent="0.3">
      <c r="A94" s="195"/>
      <c r="B94" s="176"/>
      <c r="C94" s="196"/>
      <c r="D94" s="177" t="s">
        <v>278</v>
      </c>
      <c r="E94" s="250">
        <v>50</v>
      </c>
      <c r="F94" s="250">
        <v>38</v>
      </c>
      <c r="G94" s="178" t="s">
        <v>205</v>
      </c>
      <c r="H94" s="250">
        <v>50</v>
      </c>
      <c r="I94" s="250">
        <v>38</v>
      </c>
      <c r="J94" s="178" t="s">
        <v>205</v>
      </c>
      <c r="K94" s="83"/>
      <c r="L94" s="83"/>
      <c r="M94" s="83"/>
      <c r="N94" s="83"/>
      <c r="O94" s="83"/>
      <c r="P94" s="83"/>
      <c r="Q94" s="107"/>
      <c r="R94" s="499"/>
      <c r="S94" s="190"/>
      <c r="T94" s="121"/>
      <c r="U94" s="121"/>
      <c r="V94" s="191"/>
      <c r="W94" s="190"/>
      <c r="X94" s="190"/>
      <c r="Y94" s="190"/>
      <c r="Z94" s="191"/>
      <c r="AA94" s="191"/>
      <c r="AB94" s="190"/>
      <c r="AC94" s="190"/>
      <c r="AD94" s="190"/>
      <c r="AE94" s="191"/>
      <c r="AF94" s="191"/>
      <c r="AG94" s="54"/>
      <c r="AH94" s="54"/>
      <c r="AI94" s="54"/>
    </row>
    <row r="95" spans="1:35" ht="14.45" customHeight="1" thickBot="1" x14ac:dyDescent="0.25">
      <c r="A95" s="127"/>
      <c r="B95" s="128"/>
      <c r="C95" s="133"/>
      <c r="D95" s="124"/>
      <c r="E95" s="194"/>
      <c r="F95" s="197"/>
      <c r="G95" s="128"/>
      <c r="H95" s="128"/>
      <c r="I95" s="83"/>
      <c r="J95" s="83"/>
      <c r="K95" s="83"/>
      <c r="L95" s="83"/>
      <c r="M95" s="83"/>
      <c r="N95" s="83"/>
      <c r="O95" s="83"/>
      <c r="P95" s="83"/>
      <c r="Q95" s="107"/>
      <c r="R95" s="499"/>
      <c r="S95" s="190"/>
      <c r="T95" s="121"/>
      <c r="U95" s="121"/>
      <c r="V95" s="191"/>
      <c r="W95" s="190"/>
      <c r="X95" s="190"/>
      <c r="Y95" s="190"/>
      <c r="Z95" s="191"/>
      <c r="AA95" s="191"/>
      <c r="AB95" s="190"/>
      <c r="AC95" s="190"/>
      <c r="AD95" s="190"/>
      <c r="AE95" s="191"/>
      <c r="AF95" s="191"/>
      <c r="AG95" s="54"/>
      <c r="AH95" s="54"/>
      <c r="AI95" s="54"/>
    </row>
    <row r="96" spans="1:35" ht="14.45" customHeight="1" x14ac:dyDescent="0.2">
      <c r="A96" s="608" t="s">
        <v>510</v>
      </c>
      <c r="B96" s="472"/>
      <c r="C96" s="473"/>
      <c r="D96" s="485"/>
      <c r="E96" s="601" t="str">
        <f>CHOOSE(MODE, "Ch1", "")</f>
        <v>Ch1</v>
      </c>
      <c r="F96" s="602" t="str">
        <f>CHOOSE(MODE, "Ch2", "")</f>
        <v>Ch2</v>
      </c>
      <c r="G96" s="474"/>
      <c r="H96" s="128"/>
      <c r="I96" s="83"/>
      <c r="J96" s="83"/>
      <c r="K96" s="83"/>
      <c r="L96" s="83"/>
      <c r="M96" s="83"/>
      <c r="N96" s="83"/>
      <c r="O96" s="83"/>
      <c r="P96" s="83"/>
      <c r="Q96" s="107"/>
      <c r="R96" s="499"/>
      <c r="S96" s="190"/>
      <c r="T96" s="121"/>
      <c r="U96" s="121"/>
      <c r="V96" s="191"/>
      <c r="W96" s="190"/>
      <c r="X96" s="190"/>
      <c r="Y96" s="190"/>
      <c r="Z96" s="191"/>
      <c r="AA96" s="191"/>
      <c r="AB96" s="190"/>
      <c r="AC96" s="190"/>
      <c r="AD96" s="190"/>
      <c r="AE96" s="191"/>
      <c r="AF96" s="191"/>
      <c r="AG96" s="54"/>
      <c r="AH96" s="54"/>
      <c r="AI96" s="54"/>
    </row>
    <row r="97" spans="1:35" ht="14.45" customHeight="1" x14ac:dyDescent="0.25">
      <c r="A97" s="127"/>
      <c r="B97" s="128"/>
      <c r="C97" s="128"/>
      <c r="D97" s="124" t="s">
        <v>546</v>
      </c>
      <c r="E97" s="251">
        <v>0</v>
      </c>
      <c r="F97" s="251">
        <v>0</v>
      </c>
      <c r="G97" s="163" t="s">
        <v>0</v>
      </c>
      <c r="H97" s="128"/>
      <c r="I97" s="83"/>
      <c r="J97" s="83"/>
      <c r="K97" s="83"/>
      <c r="L97" s="83"/>
      <c r="M97" s="83"/>
      <c r="N97" s="83"/>
      <c r="O97" s="83"/>
      <c r="P97" s="83"/>
      <c r="Q97" s="107"/>
      <c r="R97" s="499"/>
      <c r="S97" s="190"/>
      <c r="T97" s="121"/>
      <c r="U97" s="121"/>
      <c r="V97" s="191"/>
      <c r="W97" s="190"/>
      <c r="X97" s="190"/>
      <c r="Y97" s="190"/>
      <c r="Z97" s="191"/>
      <c r="AA97" s="191"/>
      <c r="AB97" s="190"/>
      <c r="AC97" s="190"/>
      <c r="AD97" s="190"/>
      <c r="AE97" s="191"/>
      <c r="AF97" s="191"/>
      <c r="AG97" s="54"/>
      <c r="AH97" s="54"/>
      <c r="AI97" s="54"/>
    </row>
    <row r="98" spans="1:35" ht="14.45" customHeight="1" thickBot="1" x14ac:dyDescent="0.3">
      <c r="A98" s="195"/>
      <c r="B98" s="176"/>
      <c r="C98" s="176"/>
      <c r="D98" s="177" t="s">
        <v>543</v>
      </c>
      <c r="E98" s="252">
        <v>0</v>
      </c>
      <c r="F98" s="252">
        <v>0</v>
      </c>
      <c r="G98" s="178" t="s">
        <v>65</v>
      </c>
      <c r="H98" s="128"/>
      <c r="I98" s="83"/>
      <c r="J98" s="83"/>
      <c r="K98" s="83"/>
      <c r="L98" s="83"/>
      <c r="M98" s="83"/>
      <c r="N98" s="83"/>
      <c r="O98" s="83"/>
      <c r="P98" s="83"/>
      <c r="Q98" s="107"/>
      <c r="R98" s="499"/>
      <c r="S98" s="190"/>
      <c r="T98" s="121"/>
      <c r="U98" s="121"/>
      <c r="V98" s="191"/>
      <c r="W98" s="190"/>
      <c r="X98" s="190"/>
      <c r="Y98" s="190"/>
      <c r="Z98" s="191"/>
      <c r="AA98" s="191"/>
      <c r="AB98" s="190"/>
      <c r="AC98" s="190"/>
      <c r="AD98" s="190"/>
      <c r="AE98" s="191"/>
      <c r="AF98" s="191"/>
      <c r="AG98" s="54"/>
      <c r="AH98" s="54"/>
      <c r="AI98" s="54"/>
    </row>
    <row r="99" spans="1:35" ht="14.45" customHeight="1" x14ac:dyDescent="0.2">
      <c r="A99" s="186"/>
      <c r="B99" s="135"/>
      <c r="C99" s="135"/>
      <c r="D99" s="638"/>
      <c r="E99" s="113"/>
      <c r="F99" s="113"/>
      <c r="G99" s="113"/>
      <c r="H99" s="128"/>
      <c r="I99" s="83"/>
      <c r="J99" s="83"/>
      <c r="K99" s="83"/>
      <c r="L99" s="83"/>
      <c r="M99" s="83"/>
      <c r="N99" s="83"/>
      <c r="O99" s="83"/>
      <c r="P99" s="83"/>
      <c r="Q99" s="107"/>
      <c r="R99" s="499"/>
      <c r="S99" s="190"/>
      <c r="T99" s="121"/>
      <c r="U99" s="121"/>
      <c r="V99" s="191"/>
      <c r="W99" s="190"/>
      <c r="X99" s="190"/>
      <c r="Y99" s="190"/>
      <c r="Z99" s="191"/>
      <c r="AA99" s="191"/>
      <c r="AB99" s="190"/>
      <c r="AC99" s="190"/>
      <c r="AD99" s="190"/>
      <c r="AE99" s="191"/>
      <c r="AF99" s="191"/>
      <c r="AG99" s="54"/>
      <c r="AH99" s="54"/>
      <c r="AI99" s="54"/>
    </row>
    <row r="100" spans="1:35" ht="19.5" customHeight="1" x14ac:dyDescent="0.2">
      <c r="A100" s="186"/>
      <c r="B100" s="135"/>
      <c r="C100" s="639"/>
      <c r="D100" s="638"/>
      <c r="E100" s="113"/>
      <c r="F100" s="113"/>
      <c r="G100" s="113"/>
      <c r="H100" s="128"/>
      <c r="I100" s="83"/>
      <c r="J100" s="83"/>
      <c r="K100" s="83"/>
      <c r="L100" s="83"/>
      <c r="M100" s="83"/>
      <c r="N100" s="83"/>
      <c r="O100" s="83"/>
      <c r="P100" s="83"/>
      <c r="Q100" s="107"/>
      <c r="R100" s="499"/>
      <c r="S100" s="190"/>
      <c r="T100" s="121"/>
      <c r="U100" s="121"/>
      <c r="V100" s="191"/>
      <c r="W100" s="190"/>
      <c r="X100" s="190"/>
      <c r="Y100" s="190"/>
      <c r="Z100" s="191"/>
      <c r="AA100" s="191"/>
      <c r="AB100" s="190"/>
      <c r="AC100" s="190"/>
      <c r="AD100" s="190"/>
      <c r="AE100" s="191"/>
      <c r="AF100" s="191"/>
      <c r="AG100" s="54"/>
      <c r="AH100" s="54"/>
      <c r="AI100" s="54"/>
    </row>
    <row r="101" spans="1:35" ht="15" customHeight="1" x14ac:dyDescent="0.2">
      <c r="A101" s="186"/>
      <c r="B101" s="135"/>
      <c r="C101" s="639"/>
      <c r="D101" s="638"/>
      <c r="E101" s="113"/>
      <c r="F101" s="113"/>
      <c r="G101" s="113"/>
      <c r="H101" s="128"/>
      <c r="I101" s="83"/>
      <c r="J101" s="83"/>
      <c r="K101" s="83"/>
      <c r="L101" s="83"/>
      <c r="M101" s="83"/>
      <c r="N101" s="83"/>
      <c r="O101" s="83"/>
      <c r="P101" s="83"/>
      <c r="Q101" s="107"/>
      <c r="R101" s="499"/>
      <c r="S101" s="54"/>
      <c r="T101" s="6"/>
      <c r="U101" s="6"/>
      <c r="W101" s="54"/>
      <c r="X101" s="54"/>
      <c r="Y101" s="54"/>
      <c r="AB101" s="54"/>
      <c r="AC101" s="54"/>
      <c r="AD101" s="54"/>
      <c r="AG101" s="54"/>
      <c r="AH101" s="54"/>
      <c r="AI101" s="54"/>
    </row>
    <row r="102" spans="1:35" ht="19.5" customHeight="1" thickBot="1" x14ac:dyDescent="0.3">
      <c r="A102" s="151" t="s">
        <v>805</v>
      </c>
      <c r="B102" s="135"/>
      <c r="C102" s="639"/>
      <c r="D102" s="638"/>
      <c r="E102" s="113"/>
      <c r="F102" s="113"/>
      <c r="G102" s="113"/>
      <c r="H102" s="128"/>
      <c r="I102" s="83"/>
      <c r="J102" s="83"/>
      <c r="K102" s="83"/>
      <c r="L102" s="83"/>
      <c r="M102" s="83"/>
      <c r="N102" s="83"/>
      <c r="O102" s="83"/>
      <c r="P102" s="83"/>
      <c r="Q102" s="107"/>
      <c r="R102" s="499"/>
      <c r="S102" s="54"/>
      <c r="T102" s="54"/>
      <c r="W102" s="54"/>
      <c r="X102" s="54"/>
      <c r="Y102" s="54"/>
      <c r="AB102" s="54"/>
      <c r="AC102" s="54"/>
      <c r="AD102" s="54"/>
      <c r="AG102" s="54"/>
      <c r="AH102" s="54"/>
      <c r="AI102" s="54"/>
    </row>
    <row r="103" spans="1:35" ht="15.75" customHeight="1" x14ac:dyDescent="0.2">
      <c r="A103" s="185"/>
      <c r="B103" s="154"/>
      <c r="C103" s="155"/>
      <c r="D103" s="155" t="s">
        <v>817</v>
      </c>
      <c r="E103" s="560">
        <f>'Variable Management'!B322</f>
        <v>0.19799999999999998</v>
      </c>
      <c r="F103" s="162" t="s">
        <v>116</v>
      </c>
      <c r="G103" s="113"/>
      <c r="H103" s="128"/>
      <c r="I103" s="83"/>
      <c r="J103" s="83"/>
      <c r="K103" s="83"/>
      <c r="L103" s="83"/>
      <c r="M103" s="83"/>
      <c r="N103" s="83"/>
      <c r="O103" s="83"/>
      <c r="P103" s="83"/>
      <c r="Q103" s="107"/>
      <c r="R103" s="499"/>
      <c r="S103" s="54"/>
      <c r="T103" s="54"/>
      <c r="W103" s="54"/>
      <c r="X103" s="54"/>
      <c r="Y103" s="54"/>
      <c r="AB103" s="54"/>
      <c r="AC103" s="54"/>
      <c r="AD103" s="54"/>
      <c r="AG103" s="54"/>
      <c r="AH103" s="54"/>
      <c r="AI103" s="54"/>
    </row>
    <row r="104" spans="1:35" ht="14.45" customHeight="1" thickBot="1" x14ac:dyDescent="0.25">
      <c r="A104" s="159"/>
      <c r="B104" s="160"/>
      <c r="C104" s="160"/>
      <c r="D104" s="265" t="s">
        <v>806</v>
      </c>
      <c r="E104" s="597" t="e">
        <f>'Variable Management'!B324</f>
        <v>#VALUE!</v>
      </c>
      <c r="F104" s="284" t="s">
        <v>226</v>
      </c>
      <c r="G104" s="113"/>
      <c r="H104" s="128"/>
      <c r="I104" s="83"/>
      <c r="J104" s="83"/>
      <c r="K104" s="83"/>
      <c r="L104" s="83"/>
      <c r="M104" s="83"/>
      <c r="N104" s="83"/>
      <c r="O104" s="83"/>
      <c r="P104" s="83"/>
      <c r="Q104" s="107"/>
      <c r="R104" s="499"/>
      <c r="S104" s="54"/>
      <c r="T104" s="54"/>
      <c r="W104" s="54"/>
      <c r="X104" s="54"/>
      <c r="Y104" s="54"/>
      <c r="AB104" s="54"/>
      <c r="AC104" s="54"/>
      <c r="AD104" s="54"/>
      <c r="AG104" s="54"/>
      <c r="AH104" s="54"/>
      <c r="AI104" s="54"/>
    </row>
    <row r="105" spans="1:35" ht="14.25" customHeight="1" x14ac:dyDescent="0.2">
      <c r="A105" s="640"/>
      <c r="B105" s="135"/>
      <c r="C105" s="135"/>
      <c r="D105" s="638"/>
      <c r="E105" s="113"/>
      <c r="F105" s="113"/>
      <c r="G105" s="113"/>
      <c r="H105" s="128"/>
      <c r="I105" s="83"/>
      <c r="J105" s="83"/>
      <c r="K105" s="83"/>
      <c r="L105" s="83"/>
      <c r="M105" s="83"/>
      <c r="N105" s="83"/>
      <c r="O105" s="83"/>
      <c r="P105" s="83"/>
      <c r="Q105" s="107"/>
      <c r="R105" s="499"/>
      <c r="S105" s="54"/>
      <c r="T105" s="54"/>
      <c r="W105" s="54"/>
      <c r="X105" s="54"/>
      <c r="Y105" s="54"/>
      <c r="AB105" s="54"/>
      <c r="AC105" s="54"/>
      <c r="AD105" s="54"/>
      <c r="AG105" s="54"/>
      <c r="AH105" s="54"/>
      <c r="AI105" s="54"/>
    </row>
    <row r="106" spans="1:35" ht="14.45" customHeight="1" x14ac:dyDescent="0.2">
      <c r="A106" s="641"/>
      <c r="B106" s="128"/>
      <c r="C106" s="128"/>
      <c r="D106" s="124"/>
      <c r="E106" s="471"/>
      <c r="F106" s="128"/>
      <c r="G106" s="128"/>
      <c r="H106" s="128"/>
      <c r="I106" s="87"/>
      <c r="J106" s="88"/>
      <c r="K106" s="83"/>
      <c r="L106" s="83"/>
      <c r="M106" s="83"/>
      <c r="N106" s="83"/>
      <c r="O106" s="83"/>
      <c r="P106" s="83"/>
      <c r="Q106" s="107"/>
      <c r="R106" s="499"/>
      <c r="S106" s="54"/>
      <c r="T106" s="54"/>
      <c r="W106" s="54"/>
      <c r="X106" s="54"/>
      <c r="Y106" s="54"/>
      <c r="AB106" s="54"/>
      <c r="AC106" s="54"/>
      <c r="AD106" s="54"/>
      <c r="AG106" s="54"/>
      <c r="AH106" s="54"/>
      <c r="AI106" s="54"/>
    </row>
    <row r="107" spans="1:35" ht="14.45" customHeight="1" x14ac:dyDescent="0.2">
      <c r="A107" s="648"/>
      <c r="B107" s="113"/>
      <c r="C107" s="113"/>
      <c r="D107" s="113"/>
      <c r="E107" s="113"/>
      <c r="F107" s="113"/>
      <c r="G107" s="113"/>
      <c r="H107" s="128"/>
      <c r="I107" s="83"/>
      <c r="J107" s="83"/>
      <c r="K107" s="83"/>
      <c r="L107" s="83"/>
      <c r="M107" s="83"/>
      <c r="N107" s="83"/>
      <c r="O107" s="83"/>
      <c r="P107" s="83"/>
      <c r="Q107" s="107"/>
      <c r="R107" s="499"/>
      <c r="S107" s="54"/>
      <c r="T107" s="54"/>
      <c r="W107" s="54"/>
      <c r="X107" s="54"/>
      <c r="Y107" s="54"/>
      <c r="AB107" s="54"/>
      <c r="AC107" s="54"/>
      <c r="AD107" s="54"/>
      <c r="AG107" s="54"/>
      <c r="AH107" s="54"/>
      <c r="AI107" s="54"/>
    </row>
    <row r="108" spans="1:35" ht="14.45" customHeight="1" x14ac:dyDescent="0.2">
      <c r="A108" s="648"/>
      <c r="B108" s="113"/>
      <c r="C108" s="113"/>
      <c r="D108" s="113"/>
      <c r="E108" s="113"/>
      <c r="F108" s="113"/>
      <c r="G108" s="113"/>
      <c r="H108" s="128"/>
      <c r="I108" s="83"/>
      <c r="J108" s="83"/>
      <c r="K108" s="83"/>
      <c r="L108" s="83"/>
      <c r="M108" s="83"/>
      <c r="N108" s="83"/>
      <c r="O108" s="83"/>
      <c r="P108" s="83"/>
      <c r="Q108" s="107"/>
      <c r="R108" s="499"/>
      <c r="S108" s="54"/>
      <c r="T108" s="54"/>
      <c r="W108" s="54"/>
      <c r="X108" s="54"/>
      <c r="Y108" s="54"/>
      <c r="AB108" s="54"/>
      <c r="AC108" s="54"/>
      <c r="AD108" s="54"/>
      <c r="AG108" s="54"/>
      <c r="AH108" s="54"/>
      <c r="AI108" s="54"/>
    </row>
    <row r="109" spans="1:35" ht="13.5" thickBot="1" x14ac:dyDescent="0.25">
      <c r="A109" s="159"/>
      <c r="B109" s="160"/>
      <c r="C109" s="160"/>
      <c r="D109" s="160"/>
      <c r="E109" s="205"/>
      <c r="F109" s="160"/>
      <c r="G109" s="160"/>
      <c r="H109" s="160"/>
      <c r="I109" s="206"/>
      <c r="J109" s="206"/>
      <c r="K109" s="206"/>
      <c r="L109" s="206"/>
      <c r="M109" s="206"/>
      <c r="N109" s="206"/>
      <c r="O109" s="206"/>
      <c r="P109" s="206"/>
      <c r="Q109" s="207"/>
      <c r="R109" s="499"/>
      <c r="S109" s="54"/>
      <c r="T109" s="54"/>
      <c r="W109" s="54"/>
      <c r="X109" s="54"/>
      <c r="Y109" s="54"/>
      <c r="AB109" s="54"/>
      <c r="AC109" s="54"/>
      <c r="AD109" s="54"/>
      <c r="AG109" s="54"/>
      <c r="AH109" s="54"/>
      <c r="AI109" s="54"/>
    </row>
    <row r="110" spans="1:35" x14ac:dyDescent="0.2">
      <c r="A110" s="496"/>
      <c r="B110" s="497"/>
      <c r="C110" s="498"/>
      <c r="D110" s="498"/>
      <c r="E110" s="498"/>
      <c r="F110" s="498"/>
      <c r="G110" s="498"/>
      <c r="H110" s="498"/>
      <c r="I110" s="498"/>
      <c r="J110" s="498"/>
      <c r="K110" s="498"/>
      <c r="L110" s="498"/>
      <c r="M110" s="498"/>
      <c r="N110" s="498"/>
      <c r="O110" s="498"/>
      <c r="P110" s="498"/>
      <c r="Q110" s="498"/>
      <c r="R110" s="499"/>
      <c r="S110" s="54"/>
      <c r="T110" s="54"/>
      <c r="W110" s="54"/>
      <c r="X110" s="54"/>
      <c r="Y110" s="54"/>
      <c r="AB110" s="54"/>
      <c r="AC110" s="54"/>
      <c r="AD110" s="54"/>
      <c r="AG110" s="54"/>
      <c r="AH110" s="54"/>
      <c r="AI110" s="54"/>
    </row>
    <row r="111" spans="1:35" x14ac:dyDescent="0.2">
      <c r="A111" s="79"/>
      <c r="R111" s="54"/>
      <c r="S111" s="54"/>
      <c r="T111" s="54"/>
      <c r="W111" s="54"/>
      <c r="X111" s="54"/>
      <c r="Y111" s="54"/>
      <c r="AB111" s="54"/>
      <c r="AC111" s="54"/>
      <c r="AD111" s="54"/>
      <c r="AG111" s="54"/>
      <c r="AH111" s="54"/>
      <c r="AI111" s="54"/>
    </row>
    <row r="112" spans="1:35" x14ac:dyDescent="0.2">
      <c r="R112" s="54"/>
      <c r="S112" s="54"/>
      <c r="T112" s="54"/>
      <c r="W112" s="54"/>
      <c r="X112" s="54"/>
      <c r="Y112" s="54"/>
      <c r="AB112" s="54"/>
      <c r="AC112" s="54"/>
      <c r="AD112" s="54"/>
      <c r="AG112" s="54"/>
      <c r="AH112" s="54"/>
      <c r="AI112" s="54"/>
    </row>
    <row r="113" spans="18:35" x14ac:dyDescent="0.2">
      <c r="R113" s="54"/>
      <c r="S113" s="54"/>
      <c r="T113" s="54"/>
      <c r="W113" s="54"/>
      <c r="X113" s="54"/>
      <c r="Y113" s="54"/>
      <c r="AB113" s="54"/>
      <c r="AC113" s="54"/>
      <c r="AD113" s="54"/>
      <c r="AG113" s="54"/>
      <c r="AH113" s="54"/>
      <c r="AI113" s="54"/>
    </row>
    <row r="114" spans="18:35" x14ac:dyDescent="0.2">
      <c r="R114" s="54"/>
      <c r="S114" s="54"/>
      <c r="T114" s="54"/>
      <c r="W114" s="54"/>
      <c r="X114" s="54"/>
      <c r="Y114" s="54"/>
      <c r="AB114" s="54"/>
      <c r="AC114" s="54"/>
      <c r="AD114" s="54"/>
      <c r="AG114" s="54"/>
      <c r="AH114" s="54"/>
      <c r="AI114" s="54"/>
    </row>
    <row r="115" spans="18:35" x14ac:dyDescent="0.2">
      <c r="R115" s="54"/>
      <c r="S115" s="54"/>
      <c r="T115" s="54"/>
      <c r="W115" s="54"/>
      <c r="X115" s="54"/>
      <c r="Y115" s="54"/>
      <c r="AB115" s="54"/>
      <c r="AC115" s="54"/>
      <c r="AD115" s="54"/>
      <c r="AG115" s="54"/>
      <c r="AH115" s="54"/>
      <c r="AI115" s="54"/>
    </row>
    <row r="116" spans="18:35" x14ac:dyDescent="0.2">
      <c r="R116" s="54"/>
      <c r="S116" s="54"/>
      <c r="T116" s="54"/>
      <c r="W116" s="54"/>
      <c r="X116" s="54"/>
      <c r="Y116" s="54"/>
      <c r="AB116" s="54"/>
      <c r="AC116" s="54"/>
      <c r="AD116" s="54"/>
      <c r="AG116" s="54"/>
      <c r="AH116" s="54"/>
      <c r="AI116" s="54"/>
    </row>
    <row r="117" spans="18:35" x14ac:dyDescent="0.2">
      <c r="R117" s="54"/>
      <c r="S117" s="54"/>
      <c r="T117" s="54"/>
      <c r="W117" s="54"/>
      <c r="X117" s="54"/>
      <c r="Y117" s="54"/>
      <c r="AB117" s="54"/>
      <c r="AC117" s="54"/>
      <c r="AD117" s="54"/>
      <c r="AG117" s="54"/>
      <c r="AH117" s="54"/>
      <c r="AI117" s="54"/>
    </row>
    <row r="118" spans="18:35" x14ac:dyDescent="0.2">
      <c r="R118" s="54"/>
      <c r="S118" s="54"/>
      <c r="T118" s="54"/>
      <c r="W118" s="54"/>
      <c r="X118" s="54"/>
      <c r="Y118" s="54"/>
      <c r="AB118" s="54"/>
      <c r="AC118" s="54"/>
      <c r="AD118" s="54"/>
      <c r="AG118" s="54"/>
      <c r="AH118" s="54"/>
      <c r="AI118" s="54"/>
    </row>
    <row r="119" spans="18:35" x14ac:dyDescent="0.2">
      <c r="R119" s="54"/>
      <c r="S119" s="54"/>
      <c r="T119" s="54"/>
      <c r="W119" s="54"/>
      <c r="X119" s="54"/>
      <c r="Y119" s="54"/>
      <c r="AB119" s="54"/>
      <c r="AC119" s="54"/>
      <c r="AD119" s="54"/>
      <c r="AG119" s="54"/>
      <c r="AH119" s="54"/>
      <c r="AI119" s="54"/>
    </row>
    <row r="120" spans="18:35" x14ac:dyDescent="0.2">
      <c r="R120" s="54"/>
      <c r="S120" s="54"/>
      <c r="T120" s="54"/>
      <c r="W120" s="54"/>
      <c r="X120" s="54"/>
      <c r="Y120" s="54"/>
      <c r="AB120" s="54"/>
      <c r="AC120" s="54"/>
      <c r="AD120" s="54"/>
      <c r="AG120" s="54"/>
      <c r="AH120" s="54"/>
      <c r="AI120" s="54"/>
    </row>
    <row r="121" spans="18:35" x14ac:dyDescent="0.2">
      <c r="R121" s="54"/>
      <c r="S121" s="54"/>
      <c r="T121" s="54"/>
      <c r="W121" s="54"/>
      <c r="X121" s="54"/>
      <c r="Y121" s="54"/>
      <c r="AB121" s="54"/>
      <c r="AC121" s="54"/>
      <c r="AD121" s="54"/>
      <c r="AG121" s="54"/>
      <c r="AH121" s="54"/>
      <c r="AI121" s="54"/>
    </row>
    <row r="122" spans="18:35" x14ac:dyDescent="0.2">
      <c r="R122" s="54"/>
      <c r="S122" s="54"/>
      <c r="T122" s="54"/>
      <c r="W122" s="54"/>
      <c r="X122" s="54"/>
      <c r="Y122" s="54"/>
      <c r="AB122" s="54"/>
      <c r="AC122" s="54"/>
      <c r="AD122" s="54"/>
      <c r="AG122" s="54"/>
      <c r="AH122" s="54"/>
      <c r="AI122" s="54"/>
    </row>
    <row r="123" spans="18:35" x14ac:dyDescent="0.2">
      <c r="R123" s="54"/>
      <c r="S123" s="54"/>
      <c r="T123" s="54"/>
      <c r="W123" s="54"/>
      <c r="X123" s="54"/>
      <c r="Y123" s="54"/>
      <c r="AB123" s="54"/>
      <c r="AC123" s="54"/>
      <c r="AD123" s="54"/>
      <c r="AG123" s="54"/>
      <c r="AH123" s="54"/>
      <c r="AI123" s="54"/>
    </row>
    <row r="124" spans="18:35" x14ac:dyDescent="0.2">
      <c r="R124" s="54"/>
      <c r="S124" s="54"/>
      <c r="T124" s="54"/>
      <c r="W124" s="54"/>
      <c r="X124" s="54"/>
      <c r="Y124" s="54"/>
      <c r="AB124" s="54"/>
      <c r="AC124" s="54"/>
      <c r="AD124" s="54"/>
      <c r="AG124" s="54"/>
      <c r="AH124" s="54"/>
      <c r="AI124" s="54"/>
    </row>
    <row r="125" spans="18:35" x14ac:dyDescent="0.2">
      <c r="R125" s="54"/>
      <c r="S125" s="54"/>
      <c r="T125" s="54"/>
      <c r="W125" s="54"/>
      <c r="X125" s="54"/>
      <c r="Y125" s="54"/>
      <c r="AB125" s="54"/>
      <c r="AC125" s="54"/>
      <c r="AD125" s="54"/>
      <c r="AG125" s="54"/>
      <c r="AH125" s="54"/>
      <c r="AI125" s="54"/>
    </row>
    <row r="126" spans="18:35" x14ac:dyDescent="0.2">
      <c r="R126" s="54"/>
      <c r="S126" s="54"/>
      <c r="T126" s="54"/>
      <c r="W126" s="54"/>
      <c r="X126" s="54"/>
      <c r="Y126" s="54"/>
      <c r="AB126" s="54"/>
      <c r="AC126" s="54"/>
      <c r="AD126" s="54"/>
      <c r="AG126" s="54"/>
      <c r="AH126" s="54"/>
      <c r="AI126" s="54"/>
    </row>
    <row r="127" spans="18:35" x14ac:dyDescent="0.2">
      <c r="R127" s="54"/>
      <c r="S127" s="54"/>
      <c r="T127" s="54"/>
      <c r="W127" s="54"/>
      <c r="X127" s="54"/>
      <c r="Y127" s="54"/>
      <c r="AB127" s="54"/>
      <c r="AC127" s="54"/>
      <c r="AD127" s="54"/>
      <c r="AG127" s="54"/>
      <c r="AH127" s="54"/>
      <c r="AI127" s="54"/>
    </row>
    <row r="128" spans="18:35" x14ac:dyDescent="0.2">
      <c r="R128" s="54"/>
      <c r="S128" s="54"/>
      <c r="T128" s="54"/>
      <c r="W128" s="54"/>
      <c r="X128" s="54"/>
      <c r="Y128" s="54"/>
      <c r="AB128" s="54"/>
      <c r="AC128" s="54"/>
      <c r="AD128" s="54"/>
      <c r="AG128" s="54"/>
      <c r="AH128" s="54"/>
      <c r="AI128" s="54"/>
    </row>
    <row r="129" spans="18:35" x14ac:dyDescent="0.2">
      <c r="R129" s="54"/>
      <c r="S129" s="54"/>
      <c r="T129" s="54"/>
      <c r="W129" s="54"/>
      <c r="X129" s="54"/>
      <c r="Y129" s="54"/>
      <c r="AB129" s="54"/>
      <c r="AC129" s="54"/>
      <c r="AD129" s="54"/>
      <c r="AG129" s="54"/>
      <c r="AH129" s="54"/>
      <c r="AI129" s="54"/>
    </row>
    <row r="130" spans="18:35" x14ac:dyDescent="0.2">
      <c r="R130" s="54"/>
      <c r="S130" s="54"/>
      <c r="T130" s="54"/>
      <c r="W130" s="54"/>
      <c r="X130" s="54"/>
      <c r="Y130" s="54"/>
      <c r="AB130" s="54"/>
      <c r="AC130" s="54"/>
      <c r="AD130" s="54"/>
      <c r="AG130" s="54"/>
      <c r="AH130" s="54"/>
      <c r="AI130" s="54"/>
    </row>
    <row r="131" spans="18:35" x14ac:dyDescent="0.2">
      <c r="R131" s="54"/>
      <c r="S131" s="54"/>
      <c r="T131" s="54"/>
      <c r="W131" s="54"/>
      <c r="X131" s="54"/>
      <c r="Y131" s="54"/>
      <c r="AB131" s="54"/>
      <c r="AC131" s="54"/>
      <c r="AD131" s="54"/>
      <c r="AG131" s="54"/>
      <c r="AH131" s="54"/>
      <c r="AI131" s="54"/>
    </row>
    <row r="132" spans="18:35" x14ac:dyDescent="0.2">
      <c r="R132" s="54"/>
      <c r="S132" s="54"/>
      <c r="T132" s="54"/>
      <c r="W132" s="54"/>
      <c r="X132" s="54"/>
      <c r="Y132" s="54"/>
      <c r="AB132" s="54"/>
      <c r="AC132" s="54"/>
      <c r="AD132" s="54"/>
      <c r="AG132" s="54"/>
      <c r="AH132" s="54"/>
      <c r="AI132" s="54"/>
    </row>
    <row r="133" spans="18:35" x14ac:dyDescent="0.2">
      <c r="R133" s="54"/>
      <c r="S133" s="54"/>
      <c r="T133" s="54"/>
      <c r="W133" s="54"/>
      <c r="X133" s="54"/>
      <c r="Y133" s="54"/>
      <c r="AB133" s="54"/>
      <c r="AC133" s="54"/>
      <c r="AD133" s="54"/>
      <c r="AG133" s="54"/>
      <c r="AH133" s="54"/>
      <c r="AI133" s="54"/>
    </row>
    <row r="134" spans="18:35" x14ac:dyDescent="0.2">
      <c r="R134" s="54"/>
      <c r="S134" s="54"/>
      <c r="T134" s="54"/>
      <c r="W134" s="54"/>
      <c r="X134" s="54"/>
      <c r="Y134" s="54"/>
      <c r="AB134" s="54"/>
      <c r="AC134" s="54"/>
      <c r="AD134" s="54"/>
      <c r="AG134" s="54"/>
      <c r="AH134" s="54"/>
      <c r="AI134" s="54"/>
    </row>
    <row r="135" spans="18:35" x14ac:dyDescent="0.2">
      <c r="R135" s="54"/>
      <c r="S135" s="54"/>
      <c r="T135" s="54"/>
      <c r="W135" s="54"/>
      <c r="X135" s="54"/>
      <c r="Y135" s="54"/>
      <c r="AB135" s="54"/>
      <c r="AC135" s="54"/>
      <c r="AD135" s="54"/>
      <c r="AG135" s="54"/>
      <c r="AH135" s="54"/>
      <c r="AI135" s="54"/>
    </row>
    <row r="136" spans="18:35" x14ac:dyDescent="0.2">
      <c r="R136" s="54"/>
      <c r="S136" s="54"/>
      <c r="T136" s="54"/>
      <c r="W136" s="54"/>
      <c r="X136" s="54"/>
      <c r="Y136" s="54"/>
      <c r="AB136" s="54"/>
      <c r="AC136" s="54"/>
      <c r="AD136" s="54"/>
      <c r="AG136" s="54"/>
      <c r="AH136" s="54"/>
      <c r="AI136" s="54"/>
    </row>
    <row r="137" spans="18:35" x14ac:dyDescent="0.2">
      <c r="R137" s="54"/>
      <c r="S137" s="54"/>
      <c r="T137" s="54"/>
      <c r="W137" s="54"/>
      <c r="X137" s="54"/>
      <c r="Y137" s="54"/>
      <c r="AB137" s="54"/>
      <c r="AC137" s="54"/>
      <c r="AD137" s="54"/>
      <c r="AG137" s="54"/>
      <c r="AH137" s="54"/>
      <c r="AI137" s="54"/>
    </row>
    <row r="138" spans="18:35" x14ac:dyDescent="0.2">
      <c r="R138" s="54"/>
      <c r="S138" s="54"/>
      <c r="T138" s="54"/>
      <c r="W138" s="54"/>
      <c r="X138" s="54"/>
      <c r="Y138" s="54"/>
      <c r="AB138" s="54"/>
      <c r="AC138" s="54"/>
      <c r="AD138" s="54"/>
      <c r="AG138" s="54"/>
      <c r="AH138" s="54"/>
      <c r="AI138" s="54"/>
    </row>
    <row r="139" spans="18:35" x14ac:dyDescent="0.2">
      <c r="R139" s="54"/>
      <c r="S139" s="54"/>
      <c r="T139" s="54"/>
      <c r="W139" s="54"/>
      <c r="X139" s="54"/>
      <c r="Y139" s="54"/>
      <c r="AB139" s="54"/>
      <c r="AC139" s="54"/>
      <c r="AD139" s="54"/>
      <c r="AG139" s="54"/>
      <c r="AH139" s="54"/>
      <c r="AI139" s="54"/>
    </row>
    <row r="140" spans="18:35" x14ac:dyDescent="0.2">
      <c r="R140" s="54"/>
      <c r="S140" s="54"/>
      <c r="T140" s="54"/>
      <c r="W140" s="54"/>
      <c r="X140" s="54"/>
      <c r="Y140" s="54"/>
      <c r="AB140" s="54"/>
      <c r="AC140" s="54"/>
      <c r="AD140" s="54"/>
      <c r="AG140" s="54"/>
      <c r="AH140" s="54"/>
      <c r="AI140" s="54"/>
    </row>
    <row r="141" spans="18:35" x14ac:dyDescent="0.2">
      <c r="R141" s="54"/>
      <c r="S141" s="54"/>
      <c r="T141" s="54"/>
      <c r="W141" s="54"/>
      <c r="X141" s="54"/>
      <c r="Y141" s="54"/>
      <c r="AB141" s="54"/>
      <c r="AC141" s="54"/>
      <c r="AD141" s="54"/>
      <c r="AG141" s="54"/>
      <c r="AH141" s="54"/>
      <c r="AI141" s="54"/>
    </row>
    <row r="142" spans="18:35" x14ac:dyDescent="0.2">
      <c r="R142" s="54"/>
      <c r="S142" s="54"/>
      <c r="T142" s="54"/>
      <c r="W142" s="54"/>
      <c r="X142" s="54"/>
      <c r="Y142" s="54"/>
      <c r="AB142" s="54"/>
      <c r="AC142" s="54"/>
      <c r="AD142" s="54"/>
      <c r="AG142" s="54"/>
      <c r="AH142" s="54"/>
      <c r="AI142" s="54"/>
    </row>
    <row r="143" spans="18:35" x14ac:dyDescent="0.2">
      <c r="R143" s="54"/>
      <c r="S143" s="54"/>
      <c r="T143" s="54"/>
      <c r="W143" s="54"/>
      <c r="X143" s="54"/>
      <c r="Y143" s="54"/>
      <c r="AB143" s="54"/>
      <c r="AC143" s="54"/>
      <c r="AD143" s="54"/>
      <c r="AG143" s="54"/>
      <c r="AH143" s="54"/>
      <c r="AI143" s="54"/>
    </row>
    <row r="144" spans="18:35" x14ac:dyDescent="0.2">
      <c r="R144" s="54"/>
      <c r="S144" s="54"/>
      <c r="T144" s="54"/>
      <c r="W144" s="54"/>
      <c r="X144" s="54"/>
      <c r="Y144" s="54"/>
      <c r="AB144" s="54"/>
      <c r="AC144" s="54"/>
      <c r="AD144" s="54"/>
      <c r="AG144" s="54"/>
      <c r="AH144" s="54"/>
      <c r="AI144" s="54"/>
    </row>
    <row r="145" spans="18:35" x14ac:dyDescent="0.2">
      <c r="R145" s="54"/>
      <c r="S145" s="54"/>
      <c r="T145" s="54"/>
      <c r="W145" s="54"/>
      <c r="X145" s="54"/>
      <c r="Y145" s="54"/>
      <c r="AB145" s="54"/>
      <c r="AC145" s="54"/>
      <c r="AD145" s="54"/>
      <c r="AG145" s="54"/>
      <c r="AH145" s="54"/>
      <c r="AI145" s="54"/>
    </row>
    <row r="146" spans="18:35" x14ac:dyDescent="0.2">
      <c r="R146" s="54"/>
      <c r="S146" s="54"/>
      <c r="T146" s="54"/>
      <c r="W146" s="54"/>
      <c r="X146" s="54"/>
      <c r="Y146" s="54"/>
      <c r="AB146" s="54"/>
      <c r="AC146" s="54"/>
      <c r="AD146" s="54"/>
      <c r="AG146" s="54"/>
      <c r="AH146" s="54"/>
      <c r="AI146" s="54"/>
    </row>
    <row r="147" spans="18:35" x14ac:dyDescent="0.2">
      <c r="R147" s="54"/>
      <c r="S147" s="54"/>
      <c r="T147" s="54"/>
      <c r="W147" s="54"/>
      <c r="X147" s="54"/>
      <c r="Y147" s="54"/>
      <c r="AB147" s="54"/>
      <c r="AC147" s="54"/>
      <c r="AD147" s="54"/>
      <c r="AG147" s="54"/>
      <c r="AH147" s="54"/>
      <c r="AI147" s="54"/>
    </row>
    <row r="148" spans="18:35" x14ac:dyDescent="0.2">
      <c r="R148" s="54"/>
      <c r="S148" s="54"/>
      <c r="T148" s="54"/>
      <c r="W148" s="54"/>
      <c r="X148" s="54"/>
      <c r="Y148" s="54"/>
      <c r="AB148" s="54"/>
      <c r="AC148" s="54"/>
      <c r="AD148" s="54"/>
      <c r="AG148" s="54"/>
      <c r="AH148" s="54"/>
      <c r="AI148" s="54"/>
    </row>
    <row r="149" spans="18:35" x14ac:dyDescent="0.2">
      <c r="R149" s="54"/>
      <c r="S149" s="54"/>
      <c r="T149" s="54"/>
      <c r="W149" s="54"/>
      <c r="X149" s="54"/>
      <c r="Y149" s="54"/>
      <c r="AB149" s="54"/>
      <c r="AC149" s="54"/>
      <c r="AD149" s="54"/>
      <c r="AG149" s="54"/>
      <c r="AH149" s="54"/>
      <c r="AI149" s="54"/>
    </row>
    <row r="150" spans="18:35" x14ac:dyDescent="0.2">
      <c r="R150" s="54"/>
      <c r="S150" s="54"/>
      <c r="T150" s="54"/>
      <c r="W150" s="54"/>
      <c r="X150" s="54"/>
      <c r="Y150" s="54"/>
      <c r="AB150" s="54"/>
      <c r="AC150" s="54"/>
      <c r="AD150" s="54"/>
      <c r="AG150" s="54"/>
      <c r="AH150" s="54"/>
      <c r="AI150" s="54"/>
    </row>
    <row r="151" spans="18:35" x14ac:dyDescent="0.2">
      <c r="R151" s="54"/>
      <c r="S151" s="54"/>
      <c r="T151" s="54"/>
      <c r="W151" s="54"/>
      <c r="X151" s="54"/>
      <c r="Y151" s="54"/>
      <c r="AB151" s="54"/>
      <c r="AC151" s="54"/>
      <c r="AD151" s="54"/>
      <c r="AG151" s="54"/>
      <c r="AH151" s="54"/>
      <c r="AI151" s="54"/>
    </row>
    <row r="152" spans="18:35" x14ac:dyDescent="0.2">
      <c r="R152" s="54"/>
      <c r="S152" s="54"/>
      <c r="T152" s="54"/>
      <c r="W152" s="54"/>
      <c r="X152" s="54"/>
      <c r="Y152" s="54"/>
      <c r="AB152" s="54"/>
      <c r="AC152" s="54"/>
      <c r="AD152" s="54"/>
      <c r="AG152" s="54"/>
      <c r="AH152" s="54"/>
      <c r="AI152" s="54"/>
    </row>
    <row r="153" spans="18:35" x14ac:dyDescent="0.2">
      <c r="R153" s="54"/>
      <c r="S153" s="54"/>
      <c r="T153" s="54"/>
      <c r="W153" s="54"/>
      <c r="X153" s="54"/>
      <c r="Y153" s="54"/>
      <c r="AB153" s="54"/>
      <c r="AC153" s="54"/>
      <c r="AD153" s="54"/>
      <c r="AG153" s="54"/>
      <c r="AH153" s="54"/>
      <c r="AI153" s="54"/>
    </row>
    <row r="154" spans="18:35" x14ac:dyDescent="0.2">
      <c r="R154" s="54"/>
      <c r="S154" s="54"/>
      <c r="T154" s="54"/>
      <c r="W154" s="54"/>
      <c r="X154" s="54"/>
      <c r="Y154" s="54"/>
      <c r="AB154" s="54"/>
      <c r="AC154" s="54"/>
      <c r="AD154" s="54"/>
      <c r="AG154" s="54"/>
      <c r="AH154" s="54"/>
      <c r="AI154" s="54"/>
    </row>
    <row r="155" spans="18:35" x14ac:dyDescent="0.2">
      <c r="R155" s="54"/>
      <c r="S155" s="54"/>
      <c r="T155" s="54"/>
      <c r="W155" s="54"/>
      <c r="X155" s="54"/>
      <c r="Y155" s="54"/>
      <c r="AB155" s="54"/>
      <c r="AC155" s="54"/>
      <c r="AD155" s="54"/>
      <c r="AG155" s="54"/>
      <c r="AH155" s="54"/>
      <c r="AI155" s="54"/>
    </row>
    <row r="156" spans="18:35" x14ac:dyDescent="0.2">
      <c r="R156" s="54"/>
      <c r="S156" s="54"/>
      <c r="T156" s="54"/>
      <c r="W156" s="54"/>
      <c r="X156" s="54"/>
      <c r="Y156" s="54"/>
      <c r="AB156" s="54"/>
      <c r="AC156" s="54"/>
      <c r="AD156" s="54"/>
      <c r="AG156" s="54"/>
      <c r="AH156" s="54"/>
      <c r="AI156" s="54"/>
    </row>
    <row r="157" spans="18:35" x14ac:dyDescent="0.2">
      <c r="R157" s="54"/>
      <c r="S157" s="54"/>
      <c r="T157" s="54"/>
      <c r="W157" s="54"/>
      <c r="X157" s="54"/>
      <c r="Y157" s="54"/>
      <c r="AB157" s="54"/>
      <c r="AC157" s="54"/>
      <c r="AD157" s="54"/>
      <c r="AG157" s="54"/>
      <c r="AH157" s="54"/>
      <c r="AI157" s="54"/>
    </row>
    <row r="158" spans="18:35" x14ac:dyDescent="0.2">
      <c r="R158" s="54"/>
      <c r="S158" s="54"/>
      <c r="T158" s="54"/>
      <c r="W158" s="54"/>
      <c r="X158" s="54"/>
      <c r="Y158" s="54"/>
      <c r="AB158" s="54"/>
      <c r="AC158" s="54"/>
      <c r="AD158" s="54"/>
      <c r="AG158" s="54"/>
      <c r="AH158" s="54"/>
      <c r="AI158" s="54"/>
    </row>
    <row r="159" spans="18:35" x14ac:dyDescent="0.2">
      <c r="R159" s="54"/>
      <c r="S159" s="54"/>
      <c r="T159" s="54"/>
      <c r="W159" s="54"/>
      <c r="X159" s="54"/>
      <c r="Y159" s="54"/>
      <c r="AB159" s="54"/>
      <c r="AC159" s="54"/>
      <c r="AD159" s="54"/>
      <c r="AG159" s="54"/>
      <c r="AH159" s="54"/>
      <c r="AI159" s="54"/>
    </row>
    <row r="160" spans="18:35" x14ac:dyDescent="0.2">
      <c r="R160" s="54"/>
      <c r="S160" s="54"/>
      <c r="T160" s="54"/>
      <c r="W160" s="54"/>
      <c r="X160" s="54"/>
      <c r="Y160" s="54"/>
      <c r="AB160" s="54"/>
      <c r="AC160" s="54"/>
      <c r="AD160" s="54"/>
      <c r="AG160" s="54"/>
      <c r="AH160" s="54"/>
      <c r="AI160" s="54"/>
    </row>
    <row r="161" spans="18:35" x14ac:dyDescent="0.2">
      <c r="R161" s="54"/>
      <c r="S161" s="54"/>
      <c r="T161" s="54"/>
      <c r="W161" s="54"/>
      <c r="X161" s="54"/>
      <c r="Y161" s="54"/>
      <c r="AB161" s="54"/>
      <c r="AC161" s="54"/>
      <c r="AD161" s="54"/>
      <c r="AG161" s="54"/>
      <c r="AH161" s="54"/>
      <c r="AI161" s="54"/>
    </row>
    <row r="162" spans="18:35" x14ac:dyDescent="0.2">
      <c r="R162" s="54"/>
      <c r="S162" s="54"/>
      <c r="T162" s="54"/>
      <c r="W162" s="54"/>
      <c r="X162" s="54"/>
      <c r="Y162" s="54"/>
      <c r="AB162" s="54"/>
      <c r="AC162" s="54"/>
      <c r="AD162" s="54"/>
      <c r="AG162" s="54"/>
      <c r="AH162" s="54"/>
      <c r="AI162" s="54"/>
    </row>
    <row r="163" spans="18:35" x14ac:dyDescent="0.2">
      <c r="R163" s="54"/>
      <c r="S163" s="54"/>
      <c r="T163" s="54"/>
      <c r="W163" s="54"/>
      <c r="X163" s="54"/>
      <c r="Y163" s="54"/>
      <c r="AB163" s="54"/>
      <c r="AC163" s="54"/>
      <c r="AD163" s="54"/>
      <c r="AG163" s="54"/>
      <c r="AH163" s="54"/>
      <c r="AI163" s="54"/>
    </row>
    <row r="164" spans="18:35" x14ac:dyDescent="0.2">
      <c r="R164" s="54"/>
      <c r="S164" s="54"/>
      <c r="T164" s="54"/>
      <c r="W164" s="54"/>
      <c r="X164" s="54"/>
      <c r="Y164" s="54"/>
      <c r="AB164" s="54"/>
      <c r="AC164" s="54"/>
      <c r="AD164" s="54"/>
      <c r="AG164" s="54"/>
      <c r="AH164" s="54"/>
      <c r="AI164" s="54"/>
    </row>
    <row r="165" spans="18:35" x14ac:dyDescent="0.2">
      <c r="R165" s="54"/>
      <c r="S165" s="54"/>
      <c r="T165" s="54"/>
      <c r="W165" s="54"/>
      <c r="X165" s="54"/>
      <c r="Y165" s="54"/>
      <c r="AB165" s="54"/>
      <c r="AC165" s="54"/>
      <c r="AD165" s="54"/>
      <c r="AG165" s="54"/>
      <c r="AH165" s="54"/>
      <c r="AI165" s="54"/>
    </row>
    <row r="166" spans="18:35" x14ac:dyDescent="0.2">
      <c r="R166" s="54"/>
      <c r="S166" s="54"/>
      <c r="T166" s="54"/>
      <c r="W166" s="54"/>
      <c r="X166" s="54"/>
      <c r="Y166" s="54"/>
      <c r="AB166" s="54"/>
      <c r="AC166" s="54"/>
      <c r="AD166" s="54"/>
      <c r="AG166" s="54"/>
      <c r="AH166" s="54"/>
      <c r="AI166" s="54"/>
    </row>
    <row r="167" spans="18:35" x14ac:dyDescent="0.2">
      <c r="R167" s="54"/>
      <c r="S167" s="54"/>
      <c r="T167" s="54"/>
      <c r="W167" s="54"/>
      <c r="X167" s="54"/>
      <c r="Y167" s="54"/>
      <c r="AB167" s="54"/>
      <c r="AC167" s="54"/>
      <c r="AD167" s="54"/>
      <c r="AG167" s="54"/>
      <c r="AH167" s="54"/>
      <c r="AI167" s="54"/>
    </row>
    <row r="168" spans="18:35" x14ac:dyDescent="0.2">
      <c r="R168" s="54"/>
      <c r="S168" s="54"/>
      <c r="T168" s="54"/>
      <c r="W168" s="54"/>
      <c r="X168" s="54"/>
      <c r="Y168" s="54"/>
      <c r="AB168" s="54"/>
      <c r="AC168" s="54"/>
      <c r="AD168" s="54"/>
      <c r="AG168" s="54"/>
      <c r="AH168" s="54"/>
      <c r="AI168" s="54"/>
    </row>
    <row r="169" spans="18:35" x14ac:dyDescent="0.2">
      <c r="R169" s="54"/>
      <c r="S169" s="54"/>
      <c r="T169" s="54"/>
      <c r="W169" s="54"/>
      <c r="X169" s="54"/>
      <c r="Y169" s="54"/>
      <c r="AB169" s="54"/>
      <c r="AC169" s="54"/>
      <c r="AD169" s="54"/>
      <c r="AG169" s="54"/>
      <c r="AH169" s="54"/>
      <c r="AI169" s="54"/>
    </row>
    <row r="170" spans="18:35" x14ac:dyDescent="0.2">
      <c r="R170" s="54"/>
      <c r="S170" s="54"/>
      <c r="T170" s="54"/>
      <c r="W170" s="54"/>
      <c r="X170" s="54"/>
      <c r="Y170" s="54"/>
      <c r="AB170" s="54"/>
      <c r="AC170" s="54"/>
      <c r="AD170" s="54"/>
      <c r="AG170" s="54"/>
      <c r="AH170" s="54"/>
      <c r="AI170" s="54"/>
    </row>
    <row r="171" spans="18:35" x14ac:dyDescent="0.2">
      <c r="R171" s="54"/>
      <c r="S171" s="54"/>
      <c r="T171" s="54"/>
      <c r="W171" s="54"/>
      <c r="X171" s="54"/>
      <c r="Y171" s="54"/>
      <c r="AB171" s="54"/>
      <c r="AC171" s="54"/>
      <c r="AD171" s="54"/>
      <c r="AG171" s="54"/>
      <c r="AH171" s="54"/>
      <c r="AI171" s="54"/>
    </row>
    <row r="172" spans="18:35" x14ac:dyDescent="0.2">
      <c r="R172" s="54"/>
      <c r="S172" s="54"/>
      <c r="T172" s="54"/>
      <c r="W172" s="54"/>
      <c r="X172" s="54"/>
      <c r="Y172" s="54"/>
      <c r="AB172" s="54"/>
      <c r="AC172" s="54"/>
      <c r="AD172" s="54"/>
      <c r="AG172" s="54"/>
      <c r="AH172" s="54"/>
      <c r="AI172" s="54"/>
    </row>
    <row r="173" spans="18:35" x14ac:dyDescent="0.2">
      <c r="R173" s="54"/>
      <c r="S173" s="54"/>
      <c r="T173" s="54"/>
      <c r="W173" s="54"/>
      <c r="X173" s="54"/>
      <c r="Y173" s="54"/>
      <c r="AB173" s="54"/>
      <c r="AC173" s="54"/>
      <c r="AD173" s="54"/>
      <c r="AG173" s="54"/>
      <c r="AH173" s="54"/>
      <c r="AI173" s="54"/>
    </row>
    <row r="174" spans="18:35" x14ac:dyDescent="0.2">
      <c r="R174" s="54"/>
      <c r="S174" s="54"/>
      <c r="T174" s="54"/>
      <c r="W174" s="54"/>
      <c r="X174" s="54"/>
      <c r="Y174" s="54"/>
      <c r="AB174" s="54"/>
      <c r="AC174" s="54"/>
      <c r="AD174" s="54"/>
      <c r="AG174" s="54"/>
      <c r="AH174" s="54"/>
      <c r="AI174" s="54"/>
    </row>
    <row r="175" spans="18:35" x14ac:dyDescent="0.2">
      <c r="R175" s="54"/>
      <c r="S175" s="54"/>
      <c r="T175" s="54"/>
      <c r="W175" s="54"/>
      <c r="X175" s="54"/>
      <c r="Y175" s="54"/>
      <c r="AB175" s="54"/>
      <c r="AC175" s="54"/>
      <c r="AD175" s="54"/>
      <c r="AG175" s="54"/>
      <c r="AH175" s="54"/>
      <c r="AI175" s="54"/>
    </row>
    <row r="176" spans="18:35" x14ac:dyDescent="0.2">
      <c r="R176" s="54"/>
      <c r="S176" s="54"/>
      <c r="T176" s="54"/>
      <c r="W176" s="54"/>
      <c r="X176" s="54"/>
      <c r="Y176" s="54"/>
      <c r="AB176" s="54"/>
      <c r="AC176" s="54"/>
      <c r="AD176" s="54"/>
      <c r="AG176" s="54"/>
      <c r="AH176" s="54"/>
      <c r="AI176" s="54"/>
    </row>
    <row r="177" spans="18:35" x14ac:dyDescent="0.2">
      <c r="R177" s="54"/>
      <c r="S177" s="54"/>
      <c r="T177" s="54"/>
      <c r="W177" s="54"/>
      <c r="X177" s="54"/>
      <c r="Y177" s="54"/>
      <c r="AB177" s="54"/>
      <c r="AC177" s="54"/>
      <c r="AD177" s="54"/>
      <c r="AG177" s="54"/>
      <c r="AH177" s="54"/>
      <c r="AI177" s="54"/>
    </row>
    <row r="178" spans="18:35" x14ac:dyDescent="0.2">
      <c r="R178" s="54"/>
      <c r="S178" s="54"/>
      <c r="T178" s="54"/>
      <c r="W178" s="54"/>
      <c r="X178" s="54"/>
      <c r="Y178" s="54"/>
      <c r="AB178" s="54"/>
      <c r="AC178" s="54"/>
      <c r="AD178" s="54"/>
      <c r="AG178" s="54"/>
      <c r="AH178" s="54"/>
      <c r="AI178" s="54"/>
    </row>
    <row r="179" spans="18:35" x14ac:dyDescent="0.2">
      <c r="R179" s="54"/>
      <c r="S179" s="54"/>
      <c r="T179" s="54"/>
      <c r="W179" s="54"/>
      <c r="X179" s="54"/>
      <c r="Y179" s="54"/>
      <c r="AB179" s="54"/>
      <c r="AC179" s="54"/>
      <c r="AD179" s="54"/>
      <c r="AG179" s="54"/>
      <c r="AH179" s="54"/>
      <c r="AI179" s="54"/>
    </row>
    <row r="180" spans="18:35" x14ac:dyDescent="0.2">
      <c r="R180" s="54"/>
      <c r="S180" s="54"/>
      <c r="T180" s="54"/>
      <c r="W180" s="54"/>
      <c r="X180" s="54"/>
      <c r="Y180" s="54"/>
      <c r="AB180" s="54"/>
      <c r="AC180" s="54"/>
      <c r="AD180" s="54"/>
      <c r="AG180" s="54"/>
      <c r="AH180" s="54"/>
      <c r="AI180" s="54"/>
    </row>
    <row r="181" spans="18:35" x14ac:dyDescent="0.2">
      <c r="R181" s="54"/>
      <c r="S181" s="54"/>
      <c r="T181" s="54"/>
      <c r="W181" s="54"/>
      <c r="X181" s="54"/>
      <c r="Y181" s="54"/>
      <c r="AB181" s="54"/>
      <c r="AC181" s="54"/>
      <c r="AD181" s="54"/>
      <c r="AG181" s="54"/>
      <c r="AH181" s="54"/>
      <c r="AI181" s="54"/>
    </row>
    <row r="182" spans="18:35" x14ac:dyDescent="0.2">
      <c r="R182" s="54"/>
      <c r="S182" s="54"/>
      <c r="T182" s="54"/>
      <c r="W182" s="54"/>
      <c r="X182" s="54"/>
      <c r="Y182" s="54"/>
      <c r="AB182" s="54"/>
      <c r="AC182" s="54"/>
      <c r="AD182" s="54"/>
      <c r="AG182" s="54"/>
      <c r="AH182" s="54"/>
      <c r="AI182" s="54"/>
    </row>
    <row r="183" spans="18:35" x14ac:dyDescent="0.2">
      <c r="R183" s="54"/>
      <c r="S183" s="54"/>
      <c r="T183" s="54"/>
      <c r="W183" s="54"/>
      <c r="X183" s="54"/>
      <c r="Y183" s="54"/>
      <c r="AB183" s="54"/>
      <c r="AC183" s="54"/>
      <c r="AD183" s="54"/>
      <c r="AG183" s="54"/>
      <c r="AH183" s="54"/>
      <c r="AI183" s="54"/>
    </row>
    <row r="184" spans="18:35" x14ac:dyDescent="0.2">
      <c r="R184" s="54"/>
      <c r="S184" s="54"/>
      <c r="T184" s="54"/>
      <c r="W184" s="54"/>
      <c r="X184" s="54"/>
      <c r="Y184" s="54"/>
      <c r="AB184" s="54"/>
      <c r="AC184" s="54"/>
      <c r="AD184" s="54"/>
      <c r="AG184" s="54"/>
      <c r="AH184" s="54"/>
      <c r="AI184" s="54"/>
    </row>
    <row r="185" spans="18:35" x14ac:dyDescent="0.2">
      <c r="R185" s="54"/>
      <c r="S185" s="54"/>
      <c r="T185" s="54"/>
      <c r="W185" s="54"/>
      <c r="X185" s="54"/>
      <c r="Y185" s="54"/>
      <c r="AB185" s="54"/>
      <c r="AC185" s="54"/>
      <c r="AD185" s="54"/>
      <c r="AG185" s="54"/>
      <c r="AH185" s="54"/>
      <c r="AI185" s="54"/>
    </row>
    <row r="186" spans="18:35" x14ac:dyDescent="0.2">
      <c r="R186" s="54"/>
      <c r="S186" s="54"/>
      <c r="T186" s="54"/>
      <c r="W186" s="54"/>
      <c r="X186" s="54"/>
      <c r="Y186" s="54"/>
      <c r="AB186" s="54"/>
      <c r="AC186" s="54"/>
      <c r="AD186" s="54"/>
      <c r="AG186" s="54"/>
      <c r="AH186" s="54"/>
      <c r="AI186" s="54"/>
    </row>
    <row r="187" spans="18:35" x14ac:dyDescent="0.2">
      <c r="R187" s="54"/>
      <c r="S187" s="54"/>
      <c r="T187" s="54"/>
      <c r="W187" s="54"/>
      <c r="X187" s="54"/>
      <c r="Y187" s="54"/>
      <c r="AB187" s="54"/>
      <c r="AC187" s="54"/>
      <c r="AD187" s="54"/>
      <c r="AG187" s="54"/>
      <c r="AH187" s="54"/>
      <c r="AI187" s="54"/>
    </row>
    <row r="188" spans="18:35" x14ac:dyDescent="0.2">
      <c r="R188" s="54"/>
      <c r="S188" s="54"/>
      <c r="T188" s="54"/>
      <c r="W188" s="54"/>
      <c r="X188" s="54"/>
      <c r="Y188" s="54"/>
      <c r="AB188" s="54"/>
      <c r="AC188" s="54"/>
      <c r="AD188" s="54"/>
      <c r="AG188" s="54"/>
      <c r="AH188" s="54"/>
      <c r="AI188" s="54"/>
    </row>
    <row r="189" spans="18:35" x14ac:dyDescent="0.2">
      <c r="R189" s="54"/>
      <c r="S189" s="54"/>
      <c r="T189" s="54"/>
      <c r="W189" s="54"/>
      <c r="X189" s="54"/>
      <c r="Y189" s="54"/>
      <c r="AB189" s="54"/>
      <c r="AC189" s="54"/>
      <c r="AD189" s="54"/>
      <c r="AG189" s="54"/>
      <c r="AH189" s="54"/>
      <c r="AI189" s="54"/>
    </row>
    <row r="190" spans="18:35" x14ac:dyDescent="0.2">
      <c r="R190" s="54"/>
      <c r="S190" s="54"/>
      <c r="T190" s="54"/>
      <c r="W190" s="54"/>
      <c r="X190" s="54"/>
      <c r="Y190" s="54"/>
      <c r="AB190" s="54"/>
      <c r="AC190" s="54"/>
      <c r="AD190" s="54"/>
      <c r="AG190" s="54"/>
      <c r="AH190" s="54"/>
      <c r="AI190" s="54"/>
    </row>
    <row r="191" spans="18:35" x14ac:dyDescent="0.2">
      <c r="R191" s="54"/>
      <c r="S191" s="54"/>
      <c r="T191" s="54"/>
      <c r="W191" s="54"/>
      <c r="X191" s="54"/>
      <c r="Y191" s="54"/>
      <c r="AB191" s="54"/>
      <c r="AC191" s="54"/>
      <c r="AD191" s="54"/>
      <c r="AG191" s="54"/>
      <c r="AH191" s="54"/>
      <c r="AI191" s="54"/>
    </row>
    <row r="192" spans="18:35" x14ac:dyDescent="0.2">
      <c r="R192" s="54"/>
      <c r="S192" s="54"/>
      <c r="T192" s="54"/>
      <c r="W192" s="54"/>
      <c r="X192" s="54"/>
      <c r="Y192" s="54"/>
      <c r="AB192" s="54"/>
      <c r="AC192" s="54"/>
      <c r="AD192" s="54"/>
      <c r="AG192" s="54"/>
      <c r="AH192" s="54"/>
      <c r="AI192" s="54"/>
    </row>
    <row r="193" spans="18:35" x14ac:dyDescent="0.2">
      <c r="R193" s="54"/>
      <c r="S193" s="54"/>
      <c r="T193" s="54"/>
      <c r="W193" s="54"/>
      <c r="X193" s="54"/>
      <c r="Y193" s="54"/>
      <c r="AB193" s="54"/>
      <c r="AC193" s="54"/>
      <c r="AD193" s="54"/>
      <c r="AG193" s="54"/>
      <c r="AH193" s="54"/>
      <c r="AI193" s="54"/>
    </row>
    <row r="194" spans="18:35" x14ac:dyDescent="0.2">
      <c r="R194" s="54"/>
      <c r="S194" s="54"/>
      <c r="T194" s="54"/>
      <c r="W194" s="54"/>
      <c r="X194" s="54"/>
      <c r="Y194" s="54"/>
      <c r="AB194" s="54"/>
      <c r="AC194" s="54"/>
      <c r="AD194" s="54"/>
      <c r="AG194" s="54"/>
      <c r="AH194" s="54"/>
      <c r="AI194" s="54"/>
    </row>
    <row r="195" spans="18:35" x14ac:dyDescent="0.2">
      <c r="R195" s="54"/>
      <c r="S195" s="54"/>
      <c r="T195" s="54"/>
      <c r="W195" s="54"/>
      <c r="X195" s="54"/>
      <c r="Y195" s="54"/>
      <c r="AB195" s="54"/>
      <c r="AC195" s="54"/>
      <c r="AD195" s="54"/>
      <c r="AG195" s="54"/>
      <c r="AH195" s="54"/>
      <c r="AI195" s="54"/>
    </row>
    <row r="196" spans="18:35" x14ac:dyDescent="0.2">
      <c r="R196" s="54"/>
      <c r="S196" s="54"/>
      <c r="T196" s="54"/>
      <c r="W196" s="54"/>
      <c r="X196" s="54"/>
      <c r="Y196" s="54"/>
      <c r="AB196" s="54"/>
      <c r="AC196" s="54"/>
      <c r="AD196" s="54"/>
      <c r="AG196" s="54"/>
      <c r="AH196" s="54"/>
      <c r="AI196" s="54"/>
    </row>
    <row r="197" spans="18:35" x14ac:dyDescent="0.2">
      <c r="R197" s="54"/>
      <c r="S197" s="54"/>
      <c r="T197" s="54"/>
      <c r="W197" s="54"/>
      <c r="X197" s="54"/>
      <c r="Y197" s="54"/>
      <c r="AB197" s="54"/>
      <c r="AC197" s="54"/>
      <c r="AD197" s="54"/>
      <c r="AG197" s="54"/>
      <c r="AH197" s="54"/>
      <c r="AI197" s="54"/>
    </row>
    <row r="198" spans="18:35" x14ac:dyDescent="0.2">
      <c r="R198" s="54"/>
      <c r="S198" s="54"/>
      <c r="T198" s="54"/>
      <c r="W198" s="54"/>
      <c r="X198" s="54"/>
      <c r="Y198" s="54"/>
      <c r="AB198" s="54"/>
      <c r="AC198" s="54"/>
      <c r="AD198" s="54"/>
      <c r="AG198" s="54"/>
      <c r="AH198" s="54"/>
      <c r="AI198" s="54"/>
    </row>
    <row r="199" spans="18:35" x14ac:dyDescent="0.2">
      <c r="R199" s="54"/>
      <c r="S199" s="54"/>
      <c r="T199" s="54"/>
      <c r="W199" s="54"/>
      <c r="X199" s="54"/>
      <c r="Y199" s="54"/>
      <c r="AB199" s="54"/>
      <c r="AC199" s="54"/>
      <c r="AD199" s="54"/>
      <c r="AG199" s="54"/>
      <c r="AH199" s="54"/>
      <c r="AI199" s="54"/>
    </row>
    <row r="200" spans="18:35" x14ac:dyDescent="0.2">
      <c r="R200" s="54"/>
      <c r="S200" s="54"/>
      <c r="T200" s="54"/>
      <c r="W200" s="54"/>
      <c r="X200" s="54"/>
      <c r="Y200" s="54"/>
      <c r="AB200" s="54"/>
      <c r="AC200" s="54"/>
      <c r="AD200" s="54"/>
      <c r="AG200" s="54"/>
      <c r="AH200" s="54"/>
      <c r="AI200" s="54"/>
    </row>
    <row r="201" spans="18:35" x14ac:dyDescent="0.2">
      <c r="R201" s="54"/>
      <c r="S201" s="54"/>
      <c r="T201" s="54"/>
      <c r="W201" s="54"/>
      <c r="X201" s="54"/>
      <c r="Y201" s="54"/>
      <c r="AB201" s="54"/>
      <c r="AC201" s="54"/>
      <c r="AD201" s="54"/>
      <c r="AG201" s="54"/>
      <c r="AH201" s="54"/>
      <c r="AI201" s="54"/>
    </row>
    <row r="202" spans="18:35" x14ac:dyDescent="0.2">
      <c r="R202" s="54"/>
      <c r="S202" s="54"/>
      <c r="T202" s="54"/>
      <c r="W202" s="54"/>
      <c r="X202" s="54"/>
      <c r="Y202" s="54"/>
      <c r="AB202" s="54"/>
      <c r="AC202" s="54"/>
      <c r="AD202" s="54"/>
      <c r="AG202" s="54"/>
      <c r="AH202" s="54"/>
      <c r="AI202" s="54"/>
    </row>
    <row r="203" spans="18:35" x14ac:dyDescent="0.2">
      <c r="R203" s="54"/>
      <c r="S203" s="54"/>
      <c r="T203" s="54"/>
      <c r="W203" s="54"/>
      <c r="X203" s="54"/>
      <c r="Y203" s="54"/>
      <c r="AB203" s="54"/>
      <c r="AC203" s="54"/>
      <c r="AD203" s="54"/>
      <c r="AG203" s="54"/>
      <c r="AH203" s="54"/>
      <c r="AI203" s="54"/>
    </row>
    <row r="204" spans="18:35" x14ac:dyDescent="0.2">
      <c r="R204" s="54"/>
      <c r="S204" s="54"/>
      <c r="T204" s="54"/>
      <c r="W204" s="54"/>
      <c r="X204" s="54"/>
      <c r="Y204" s="54"/>
      <c r="AB204" s="54"/>
      <c r="AC204" s="54"/>
      <c r="AD204" s="54"/>
      <c r="AG204" s="54"/>
      <c r="AH204" s="54"/>
      <c r="AI204" s="54"/>
    </row>
    <row r="205" spans="18:35" x14ac:dyDescent="0.2">
      <c r="R205" s="54"/>
      <c r="S205" s="54"/>
      <c r="T205" s="54"/>
      <c r="W205" s="54"/>
      <c r="X205" s="54"/>
      <c r="Y205" s="54"/>
      <c r="AB205" s="54"/>
      <c r="AC205" s="54"/>
      <c r="AD205" s="54"/>
      <c r="AG205" s="54"/>
      <c r="AH205" s="54"/>
      <c r="AI205" s="54"/>
    </row>
    <row r="206" spans="18:35" x14ac:dyDescent="0.2">
      <c r="R206" s="54"/>
      <c r="S206" s="54"/>
      <c r="T206" s="54"/>
      <c r="W206" s="54"/>
      <c r="X206" s="54"/>
      <c r="Y206" s="54"/>
      <c r="AB206" s="54"/>
      <c r="AC206" s="54"/>
      <c r="AD206" s="54"/>
      <c r="AG206" s="54"/>
      <c r="AH206" s="54"/>
      <c r="AI206" s="54"/>
    </row>
    <row r="207" spans="18:35" x14ac:dyDescent="0.2">
      <c r="R207" s="54"/>
      <c r="S207" s="54"/>
      <c r="T207" s="54"/>
      <c r="W207" s="54"/>
      <c r="X207" s="54"/>
      <c r="Y207" s="54"/>
      <c r="AB207" s="54"/>
      <c r="AC207" s="54"/>
      <c r="AD207" s="54"/>
      <c r="AG207" s="54"/>
      <c r="AH207" s="54"/>
      <c r="AI207" s="54"/>
    </row>
    <row r="208" spans="18:35" x14ac:dyDescent="0.2">
      <c r="R208" s="54"/>
      <c r="S208" s="54"/>
      <c r="T208" s="54"/>
      <c r="W208" s="54"/>
      <c r="X208" s="54"/>
      <c r="Y208" s="54"/>
      <c r="AB208" s="54"/>
      <c r="AC208" s="54"/>
      <c r="AD208" s="54"/>
      <c r="AG208" s="54"/>
      <c r="AH208" s="54"/>
      <c r="AI208" s="54"/>
    </row>
    <row r="209" spans="18:35" x14ac:dyDescent="0.2">
      <c r="R209" s="54"/>
      <c r="S209" s="54"/>
      <c r="T209" s="54"/>
      <c r="W209" s="54"/>
      <c r="X209" s="54"/>
      <c r="Y209" s="54"/>
      <c r="AB209" s="54"/>
      <c r="AC209" s="54"/>
      <c r="AD209" s="54"/>
      <c r="AG209" s="54"/>
      <c r="AH209" s="54"/>
      <c r="AI209" s="54"/>
    </row>
    <row r="210" spans="18:35" x14ac:dyDescent="0.2">
      <c r="R210" s="54"/>
      <c r="S210" s="54"/>
      <c r="T210" s="54"/>
      <c r="W210" s="54"/>
      <c r="X210" s="54"/>
      <c r="Y210" s="54"/>
      <c r="AB210" s="54"/>
      <c r="AC210" s="54"/>
      <c r="AD210" s="54"/>
      <c r="AG210" s="54"/>
      <c r="AH210" s="54"/>
      <c r="AI210" s="54"/>
    </row>
    <row r="211" spans="18:35" x14ac:dyDescent="0.2">
      <c r="R211" s="54"/>
      <c r="S211" s="54"/>
      <c r="T211" s="54"/>
      <c r="W211" s="54"/>
      <c r="X211" s="54"/>
      <c r="Y211" s="54"/>
      <c r="AB211" s="54"/>
      <c r="AC211" s="54"/>
      <c r="AD211" s="54"/>
      <c r="AG211" s="54"/>
      <c r="AH211" s="54"/>
      <c r="AI211" s="54"/>
    </row>
    <row r="212" spans="18:35" x14ac:dyDescent="0.2">
      <c r="R212" s="54"/>
      <c r="S212" s="54"/>
      <c r="T212" s="54"/>
      <c r="W212" s="54"/>
      <c r="X212" s="54"/>
      <c r="Y212" s="54"/>
      <c r="AB212" s="54"/>
      <c r="AC212" s="54"/>
      <c r="AD212" s="54"/>
      <c r="AG212" s="54"/>
      <c r="AH212" s="54"/>
      <c r="AI212" s="54"/>
    </row>
    <row r="213" spans="18:35" x14ac:dyDescent="0.2">
      <c r="R213" s="54"/>
      <c r="S213" s="54"/>
      <c r="T213" s="54"/>
      <c r="W213" s="54"/>
      <c r="X213" s="54"/>
      <c r="Y213" s="54"/>
      <c r="AB213" s="54"/>
      <c r="AC213" s="54"/>
      <c r="AD213" s="54"/>
      <c r="AG213" s="54"/>
      <c r="AH213" s="54"/>
      <c r="AI213" s="54"/>
    </row>
    <row r="214" spans="18:35" x14ac:dyDescent="0.2">
      <c r="R214" s="54"/>
      <c r="S214" s="54"/>
      <c r="T214" s="54"/>
      <c r="W214" s="54"/>
      <c r="X214" s="54"/>
      <c r="Y214" s="54"/>
      <c r="AB214" s="54"/>
      <c r="AC214" s="54"/>
      <c r="AD214" s="54"/>
      <c r="AG214" s="54"/>
      <c r="AH214" s="54"/>
      <c r="AI214" s="54"/>
    </row>
    <row r="215" spans="18:35" x14ac:dyDescent="0.2">
      <c r="R215" s="54"/>
      <c r="S215" s="54"/>
      <c r="T215" s="54"/>
      <c r="W215" s="54"/>
      <c r="X215" s="54"/>
      <c r="Y215" s="54"/>
      <c r="AB215" s="54"/>
      <c r="AC215" s="54"/>
      <c r="AD215" s="54"/>
      <c r="AG215" s="54"/>
      <c r="AH215" s="54"/>
      <c r="AI215" s="54"/>
    </row>
    <row r="216" spans="18:35" x14ac:dyDescent="0.2">
      <c r="R216" s="54"/>
      <c r="S216" s="54"/>
      <c r="T216" s="54"/>
      <c r="W216" s="54"/>
      <c r="X216" s="54"/>
      <c r="Y216" s="54"/>
      <c r="AB216" s="54"/>
      <c r="AC216" s="54"/>
      <c r="AD216" s="54"/>
      <c r="AG216" s="54"/>
      <c r="AH216" s="54"/>
      <c r="AI216" s="54"/>
    </row>
    <row r="217" spans="18:35" x14ac:dyDescent="0.2">
      <c r="R217" s="54"/>
      <c r="S217" s="54"/>
      <c r="T217" s="54"/>
      <c r="W217" s="54"/>
      <c r="X217" s="54"/>
      <c r="Y217" s="54"/>
      <c r="AB217" s="54"/>
      <c r="AC217" s="54"/>
      <c r="AD217" s="54"/>
      <c r="AG217" s="54"/>
      <c r="AH217" s="54"/>
      <c r="AI217" s="54"/>
    </row>
    <row r="218" spans="18:35" x14ac:dyDescent="0.2">
      <c r="R218" s="54"/>
      <c r="S218" s="54"/>
      <c r="T218" s="54"/>
      <c r="W218" s="54"/>
      <c r="X218" s="54"/>
      <c r="Y218" s="54"/>
      <c r="AB218" s="54"/>
      <c r="AC218" s="54"/>
      <c r="AD218" s="54"/>
      <c r="AG218" s="54"/>
      <c r="AH218" s="54"/>
      <c r="AI218" s="54"/>
    </row>
    <row r="219" spans="18:35" x14ac:dyDescent="0.2">
      <c r="R219" s="54"/>
      <c r="S219" s="54"/>
      <c r="T219" s="54"/>
      <c r="W219" s="54"/>
      <c r="X219" s="54"/>
      <c r="Y219" s="54"/>
      <c r="AB219" s="54"/>
      <c r="AC219" s="54"/>
      <c r="AD219" s="54"/>
      <c r="AG219" s="54"/>
      <c r="AH219" s="54"/>
      <c r="AI219" s="54"/>
    </row>
    <row r="220" spans="18:35" x14ac:dyDescent="0.2">
      <c r="R220" s="54"/>
      <c r="S220" s="54"/>
      <c r="T220" s="54"/>
      <c r="W220" s="54"/>
      <c r="X220" s="54"/>
      <c r="Y220" s="54"/>
      <c r="AB220" s="54"/>
      <c r="AC220" s="54"/>
      <c r="AD220" s="54"/>
      <c r="AG220" s="54"/>
      <c r="AH220" s="54"/>
      <c r="AI220" s="54"/>
    </row>
    <row r="221" spans="18:35" x14ac:dyDescent="0.2">
      <c r="R221" s="54"/>
      <c r="S221" s="54"/>
      <c r="T221" s="54"/>
      <c r="W221" s="54"/>
      <c r="X221" s="54"/>
      <c r="Y221" s="54"/>
      <c r="AB221" s="54"/>
      <c r="AC221" s="54"/>
      <c r="AD221" s="54"/>
      <c r="AG221" s="54"/>
      <c r="AH221" s="54"/>
      <c r="AI221" s="54"/>
    </row>
    <row r="222" spans="18:35" x14ac:dyDescent="0.2">
      <c r="R222" s="54"/>
      <c r="S222" s="54"/>
      <c r="T222" s="54"/>
      <c r="W222" s="54"/>
      <c r="X222" s="54"/>
      <c r="Y222" s="54"/>
      <c r="AB222" s="54"/>
      <c r="AC222" s="54"/>
      <c r="AD222" s="54"/>
      <c r="AG222" s="54"/>
      <c r="AH222" s="54"/>
      <c r="AI222" s="54"/>
    </row>
    <row r="223" spans="18:35" x14ac:dyDescent="0.2">
      <c r="R223" s="54"/>
      <c r="S223" s="54"/>
      <c r="T223" s="54"/>
      <c r="W223" s="54"/>
      <c r="X223" s="54"/>
      <c r="Y223" s="54"/>
      <c r="AB223" s="54"/>
      <c r="AC223" s="54"/>
      <c r="AD223" s="54"/>
      <c r="AG223" s="54"/>
      <c r="AH223" s="54"/>
      <c r="AI223" s="54"/>
    </row>
    <row r="224" spans="18:35" x14ac:dyDescent="0.2">
      <c r="R224" s="54"/>
      <c r="S224" s="54"/>
      <c r="T224" s="54"/>
      <c r="W224" s="54"/>
      <c r="X224" s="54"/>
      <c r="Y224" s="54"/>
      <c r="AB224" s="54"/>
      <c r="AC224" s="54"/>
      <c r="AD224" s="54"/>
      <c r="AG224" s="54"/>
      <c r="AH224" s="54"/>
      <c r="AI224" s="54"/>
    </row>
    <row r="225" spans="18:35" x14ac:dyDescent="0.2">
      <c r="R225" s="54"/>
      <c r="S225" s="54"/>
      <c r="T225" s="54"/>
      <c r="W225" s="54"/>
      <c r="X225" s="54"/>
      <c r="Y225" s="54"/>
      <c r="AB225" s="54"/>
      <c r="AC225" s="54"/>
      <c r="AD225" s="54"/>
      <c r="AG225" s="54"/>
      <c r="AH225" s="54"/>
      <c r="AI225" s="54"/>
    </row>
    <row r="226" spans="18:35" x14ac:dyDescent="0.2">
      <c r="R226" s="54"/>
      <c r="S226" s="54"/>
      <c r="T226" s="54"/>
      <c r="W226" s="54"/>
      <c r="X226" s="54"/>
      <c r="Y226" s="54"/>
      <c r="AB226" s="54"/>
      <c r="AC226" s="54"/>
      <c r="AD226" s="54"/>
      <c r="AG226" s="54"/>
      <c r="AH226" s="54"/>
      <c r="AI226" s="54"/>
    </row>
    <row r="227" spans="18:35" x14ac:dyDescent="0.2">
      <c r="R227" s="54"/>
      <c r="S227" s="54"/>
      <c r="T227" s="54"/>
      <c r="W227" s="54"/>
      <c r="X227" s="54"/>
      <c r="Y227" s="54"/>
      <c r="AB227" s="54"/>
      <c r="AC227" s="54"/>
      <c r="AD227" s="54"/>
      <c r="AG227" s="54"/>
      <c r="AH227" s="54"/>
      <c r="AI227" s="54"/>
    </row>
    <row r="228" spans="18:35" x14ac:dyDescent="0.2">
      <c r="R228" s="54"/>
      <c r="S228" s="54"/>
      <c r="T228" s="54"/>
      <c r="W228" s="54"/>
      <c r="X228" s="54"/>
      <c r="Y228" s="54"/>
      <c r="AB228" s="54"/>
      <c r="AC228" s="54"/>
      <c r="AD228" s="54"/>
      <c r="AG228" s="54"/>
      <c r="AH228" s="54"/>
      <c r="AI228" s="54"/>
    </row>
    <row r="229" spans="18:35" x14ac:dyDescent="0.2">
      <c r="R229" s="54"/>
      <c r="S229" s="54"/>
      <c r="T229" s="54"/>
      <c r="W229" s="54"/>
      <c r="X229" s="54"/>
      <c r="Y229" s="54"/>
      <c r="AB229" s="54"/>
      <c r="AC229" s="54"/>
      <c r="AD229" s="54"/>
      <c r="AG229" s="54"/>
      <c r="AH229" s="54"/>
      <c r="AI229" s="54"/>
    </row>
    <row r="230" spans="18:35" x14ac:dyDescent="0.2">
      <c r="R230" s="54"/>
      <c r="S230" s="54"/>
      <c r="T230" s="54"/>
      <c r="W230" s="54"/>
      <c r="X230" s="54"/>
      <c r="Y230" s="54"/>
      <c r="AB230" s="54"/>
      <c r="AC230" s="54"/>
      <c r="AD230" s="54"/>
      <c r="AG230" s="54"/>
      <c r="AH230" s="54"/>
      <c r="AI230" s="54"/>
    </row>
    <row r="231" spans="18:35" x14ac:dyDescent="0.2">
      <c r="R231" s="54"/>
      <c r="S231" s="54"/>
      <c r="T231" s="54"/>
      <c r="W231" s="54"/>
      <c r="X231" s="54"/>
      <c r="Y231" s="54"/>
      <c r="AB231" s="54"/>
      <c r="AC231" s="54"/>
      <c r="AD231" s="54"/>
      <c r="AG231" s="54"/>
      <c r="AH231" s="54"/>
      <c r="AI231" s="54"/>
    </row>
    <row r="232" spans="18:35" x14ac:dyDescent="0.2">
      <c r="R232" s="54"/>
      <c r="S232" s="54"/>
      <c r="T232" s="54"/>
      <c r="W232" s="54"/>
      <c r="X232" s="54"/>
      <c r="Y232" s="54"/>
      <c r="AB232" s="54"/>
      <c r="AC232" s="54"/>
      <c r="AD232" s="54"/>
      <c r="AG232" s="54"/>
      <c r="AH232" s="54"/>
      <c r="AI232" s="54"/>
    </row>
    <row r="233" spans="18:35" x14ac:dyDescent="0.2">
      <c r="R233" s="54"/>
      <c r="S233" s="54"/>
      <c r="T233" s="54"/>
      <c r="W233" s="54"/>
      <c r="X233" s="54"/>
      <c r="Y233" s="54"/>
      <c r="AB233" s="54"/>
      <c r="AC233" s="54"/>
      <c r="AD233" s="54"/>
      <c r="AG233" s="54"/>
      <c r="AH233" s="54"/>
      <c r="AI233" s="54"/>
    </row>
    <row r="234" spans="18:35" x14ac:dyDescent="0.2">
      <c r="R234" s="54"/>
      <c r="S234" s="54"/>
      <c r="T234" s="54"/>
      <c r="W234" s="54"/>
      <c r="X234" s="54"/>
      <c r="Y234" s="54"/>
      <c r="AB234" s="54"/>
      <c r="AC234" s="54"/>
      <c r="AD234" s="54"/>
      <c r="AG234" s="54"/>
      <c r="AH234" s="54"/>
      <c r="AI234" s="54"/>
    </row>
    <row r="235" spans="18:35" x14ac:dyDescent="0.2">
      <c r="R235" s="54"/>
      <c r="S235" s="54"/>
      <c r="T235" s="54"/>
      <c r="W235" s="54"/>
      <c r="X235" s="54"/>
      <c r="Y235" s="54"/>
      <c r="AB235" s="54"/>
      <c r="AC235" s="54"/>
      <c r="AD235" s="54"/>
      <c r="AG235" s="54"/>
      <c r="AH235" s="54"/>
      <c r="AI235" s="54"/>
    </row>
    <row r="236" spans="18:35" x14ac:dyDescent="0.2">
      <c r="R236" s="54"/>
      <c r="S236" s="54"/>
      <c r="T236" s="54"/>
      <c r="W236" s="54"/>
      <c r="X236" s="54"/>
      <c r="Y236" s="54"/>
      <c r="AB236" s="54"/>
      <c r="AC236" s="54"/>
      <c r="AD236" s="54"/>
      <c r="AG236" s="54"/>
      <c r="AH236" s="54"/>
      <c r="AI236" s="54"/>
    </row>
    <row r="237" spans="18:35" x14ac:dyDescent="0.2">
      <c r="R237" s="54"/>
      <c r="S237" s="54"/>
      <c r="T237" s="54"/>
      <c r="W237" s="54"/>
      <c r="X237" s="54"/>
      <c r="Y237" s="54"/>
      <c r="AB237" s="54"/>
      <c r="AC237" s="54"/>
      <c r="AD237" s="54"/>
      <c r="AG237" s="54"/>
      <c r="AH237" s="54"/>
      <c r="AI237" s="54"/>
    </row>
    <row r="238" spans="18:35" x14ac:dyDescent="0.2">
      <c r="R238" s="54"/>
      <c r="S238" s="54"/>
      <c r="T238" s="54"/>
      <c r="W238" s="54"/>
      <c r="X238" s="54"/>
      <c r="Y238" s="54"/>
      <c r="AB238" s="54"/>
      <c r="AC238" s="54"/>
      <c r="AD238" s="54"/>
      <c r="AG238" s="54"/>
      <c r="AH238" s="54"/>
      <c r="AI238" s="54"/>
    </row>
    <row r="239" spans="18:35" x14ac:dyDescent="0.2">
      <c r="R239" s="54"/>
      <c r="S239" s="54"/>
      <c r="T239" s="54"/>
      <c r="W239" s="54"/>
      <c r="X239" s="54"/>
      <c r="Y239" s="54"/>
      <c r="AB239" s="54"/>
      <c r="AC239" s="54"/>
      <c r="AD239" s="54"/>
      <c r="AG239" s="54"/>
      <c r="AH239" s="54"/>
      <c r="AI239" s="54"/>
    </row>
    <row r="240" spans="18:35" x14ac:dyDescent="0.2">
      <c r="R240" s="54"/>
      <c r="S240" s="54"/>
      <c r="T240" s="54"/>
      <c r="W240" s="54"/>
      <c r="X240" s="54"/>
      <c r="Y240" s="54"/>
      <c r="AB240" s="54"/>
      <c r="AC240" s="54"/>
      <c r="AD240" s="54"/>
      <c r="AG240" s="54"/>
      <c r="AH240" s="54"/>
      <c r="AI240" s="54"/>
    </row>
    <row r="241" spans="18:35" x14ac:dyDescent="0.2">
      <c r="R241" s="54"/>
      <c r="S241" s="54"/>
      <c r="T241" s="54"/>
      <c r="W241" s="54"/>
      <c r="X241" s="54"/>
      <c r="Y241" s="54"/>
      <c r="AB241" s="54"/>
      <c r="AC241" s="54"/>
      <c r="AD241" s="54"/>
      <c r="AG241" s="54"/>
      <c r="AH241" s="54"/>
      <c r="AI241" s="54"/>
    </row>
    <row r="242" spans="18:35" x14ac:dyDescent="0.2">
      <c r="R242" s="54"/>
      <c r="S242" s="54"/>
      <c r="T242" s="54"/>
      <c r="W242" s="54"/>
      <c r="X242" s="54"/>
      <c r="Y242" s="54"/>
      <c r="AB242" s="54"/>
      <c r="AC242" s="54"/>
      <c r="AD242" s="54"/>
      <c r="AG242" s="54"/>
      <c r="AH242" s="54"/>
      <c r="AI242" s="54"/>
    </row>
    <row r="243" spans="18:35" x14ac:dyDescent="0.2">
      <c r="R243" s="54"/>
      <c r="S243" s="54"/>
      <c r="T243" s="54"/>
      <c r="W243" s="54"/>
      <c r="X243" s="54"/>
      <c r="Y243" s="54"/>
      <c r="AB243" s="54"/>
      <c r="AC243" s="54"/>
      <c r="AD243" s="54"/>
      <c r="AG243" s="54"/>
      <c r="AH243" s="54"/>
      <c r="AI243" s="54"/>
    </row>
    <row r="244" spans="18:35" x14ac:dyDescent="0.2">
      <c r="R244" s="54"/>
      <c r="S244" s="54"/>
      <c r="T244" s="54"/>
      <c r="W244" s="54"/>
      <c r="X244" s="54"/>
      <c r="Y244" s="54"/>
      <c r="AB244" s="54"/>
      <c r="AC244" s="54"/>
      <c r="AD244" s="54"/>
      <c r="AG244" s="54"/>
      <c r="AH244" s="54"/>
      <c r="AI244" s="54"/>
    </row>
    <row r="245" spans="18:35" x14ac:dyDescent="0.2">
      <c r="R245" s="54"/>
      <c r="S245" s="54"/>
      <c r="T245" s="54"/>
      <c r="W245" s="54"/>
      <c r="X245" s="54"/>
      <c r="Y245" s="54"/>
      <c r="AB245" s="54"/>
      <c r="AC245" s="54"/>
      <c r="AD245" s="54"/>
      <c r="AG245" s="54"/>
      <c r="AH245" s="54"/>
      <c r="AI245" s="54"/>
    </row>
    <row r="246" spans="18:35" x14ac:dyDescent="0.2">
      <c r="R246" s="54"/>
      <c r="S246" s="54"/>
      <c r="T246" s="54"/>
      <c r="W246" s="54"/>
      <c r="X246" s="54"/>
      <c r="Y246" s="54"/>
      <c r="AB246" s="54"/>
      <c r="AC246" s="54"/>
      <c r="AD246" s="54"/>
      <c r="AG246" s="54"/>
      <c r="AH246" s="54"/>
      <c r="AI246" s="54"/>
    </row>
    <row r="247" spans="18:35" x14ac:dyDescent="0.2">
      <c r="R247" s="54"/>
      <c r="S247" s="54"/>
      <c r="T247" s="54"/>
      <c r="W247" s="54"/>
      <c r="X247" s="54"/>
      <c r="Y247" s="54"/>
      <c r="AB247" s="54"/>
      <c r="AC247" s="54"/>
      <c r="AD247" s="54"/>
      <c r="AG247" s="54"/>
      <c r="AH247" s="54"/>
      <c r="AI247" s="54"/>
    </row>
    <row r="248" spans="18:35" x14ac:dyDescent="0.2">
      <c r="R248" s="54"/>
      <c r="S248" s="54"/>
      <c r="T248" s="54"/>
      <c r="W248" s="54"/>
      <c r="X248" s="54"/>
      <c r="Y248" s="54"/>
      <c r="AB248" s="54"/>
      <c r="AC248" s="54"/>
      <c r="AD248" s="54"/>
      <c r="AG248" s="54"/>
      <c r="AH248" s="54"/>
      <c r="AI248" s="54"/>
    </row>
    <row r="249" spans="18:35" x14ac:dyDescent="0.2">
      <c r="R249" s="54"/>
      <c r="S249" s="54"/>
      <c r="T249" s="54"/>
      <c r="W249" s="54"/>
      <c r="X249" s="54"/>
      <c r="Y249" s="54"/>
      <c r="AB249" s="54"/>
      <c r="AC249" s="54"/>
      <c r="AD249" s="54"/>
      <c r="AG249" s="54"/>
      <c r="AH249" s="54"/>
      <c r="AI249" s="54"/>
    </row>
    <row r="250" spans="18:35" x14ac:dyDescent="0.2">
      <c r="R250" s="54"/>
      <c r="S250" s="54"/>
      <c r="T250" s="54"/>
      <c r="W250" s="54"/>
      <c r="X250" s="54"/>
      <c r="Y250" s="54"/>
      <c r="AB250" s="54"/>
      <c r="AC250" s="54"/>
      <c r="AD250" s="54"/>
      <c r="AG250" s="54"/>
      <c r="AH250" s="54"/>
      <c r="AI250" s="54"/>
    </row>
    <row r="251" spans="18:35" x14ac:dyDescent="0.2">
      <c r="R251" s="54"/>
      <c r="S251" s="54"/>
      <c r="T251" s="54"/>
      <c r="W251" s="54"/>
      <c r="X251" s="54"/>
      <c r="Y251" s="54"/>
      <c r="AB251" s="54"/>
      <c r="AC251" s="54"/>
      <c r="AD251" s="54"/>
      <c r="AG251" s="54"/>
      <c r="AH251" s="54"/>
      <c r="AI251" s="54"/>
    </row>
    <row r="252" spans="18:35" x14ac:dyDescent="0.2">
      <c r="R252" s="54"/>
      <c r="S252" s="54"/>
      <c r="T252" s="54"/>
      <c r="W252" s="54"/>
      <c r="X252" s="54"/>
      <c r="Y252" s="54"/>
      <c r="AB252" s="54"/>
      <c r="AC252" s="54"/>
      <c r="AD252" s="54"/>
      <c r="AG252" s="54"/>
      <c r="AH252" s="54"/>
      <c r="AI252" s="54"/>
    </row>
    <row r="253" spans="18:35" x14ac:dyDescent="0.2">
      <c r="R253" s="54"/>
      <c r="S253" s="54"/>
      <c r="T253" s="54"/>
      <c r="W253" s="54"/>
      <c r="X253" s="54"/>
      <c r="Y253" s="54"/>
      <c r="AB253" s="54"/>
      <c r="AC253" s="54"/>
      <c r="AD253" s="54"/>
      <c r="AG253" s="54"/>
      <c r="AH253" s="54"/>
      <c r="AI253" s="54"/>
    </row>
    <row r="254" spans="18:35" x14ac:dyDescent="0.2">
      <c r="R254" s="54"/>
      <c r="S254" s="54"/>
      <c r="T254" s="54"/>
      <c r="W254" s="54"/>
      <c r="X254" s="54"/>
      <c r="Y254" s="54"/>
      <c r="AB254" s="54"/>
      <c r="AC254" s="54"/>
      <c r="AD254" s="54"/>
      <c r="AG254" s="54"/>
      <c r="AH254" s="54"/>
      <c r="AI254" s="54"/>
    </row>
    <row r="255" spans="18:35" x14ac:dyDescent="0.2">
      <c r="R255" s="54"/>
      <c r="S255" s="54"/>
      <c r="T255" s="54"/>
      <c r="W255" s="54"/>
      <c r="X255" s="54"/>
      <c r="Y255" s="54"/>
      <c r="AB255" s="54"/>
      <c r="AC255" s="54"/>
      <c r="AD255" s="54"/>
      <c r="AG255" s="54"/>
      <c r="AH255" s="54"/>
      <c r="AI255" s="54"/>
    </row>
    <row r="256" spans="18:35" x14ac:dyDescent="0.2">
      <c r="R256" s="54"/>
      <c r="S256" s="54"/>
      <c r="T256" s="54"/>
      <c r="W256" s="54"/>
      <c r="X256" s="54"/>
      <c r="Y256" s="54"/>
      <c r="AB256" s="54"/>
      <c r="AC256" s="54"/>
      <c r="AD256" s="54"/>
      <c r="AG256" s="54"/>
      <c r="AH256" s="54"/>
      <c r="AI256" s="54"/>
    </row>
    <row r="257" spans="18:35" x14ac:dyDescent="0.2">
      <c r="R257" s="54"/>
      <c r="S257" s="54"/>
      <c r="T257" s="54"/>
      <c r="W257" s="54"/>
      <c r="X257" s="54"/>
      <c r="Y257" s="54"/>
      <c r="AB257" s="54"/>
      <c r="AC257" s="54"/>
      <c r="AD257" s="54"/>
      <c r="AG257" s="54"/>
      <c r="AH257" s="54"/>
      <c r="AI257" s="54"/>
    </row>
    <row r="258" spans="18:35" x14ac:dyDescent="0.2">
      <c r="R258" s="54"/>
      <c r="S258" s="54"/>
      <c r="T258" s="54"/>
      <c r="W258" s="54"/>
      <c r="X258" s="54"/>
      <c r="Y258" s="54"/>
      <c r="AB258" s="54"/>
      <c r="AC258" s="54"/>
      <c r="AD258" s="54"/>
      <c r="AG258" s="54"/>
      <c r="AH258" s="54"/>
      <c r="AI258" s="54"/>
    </row>
    <row r="259" spans="18:35" x14ac:dyDescent="0.2">
      <c r="R259" s="54"/>
      <c r="S259" s="54"/>
      <c r="T259" s="54"/>
      <c r="W259" s="54"/>
      <c r="X259" s="54"/>
      <c r="Y259" s="54"/>
      <c r="AB259" s="54"/>
      <c r="AC259" s="54"/>
      <c r="AD259" s="54"/>
      <c r="AG259" s="54"/>
      <c r="AH259" s="54"/>
      <c r="AI259" s="54"/>
    </row>
    <row r="260" spans="18:35" x14ac:dyDescent="0.2">
      <c r="R260" s="54"/>
      <c r="S260" s="54"/>
      <c r="T260" s="54"/>
      <c r="W260" s="54"/>
      <c r="X260" s="54"/>
      <c r="Y260" s="54"/>
      <c r="AB260" s="54"/>
      <c r="AC260" s="54"/>
      <c r="AD260" s="54"/>
      <c r="AG260" s="54"/>
      <c r="AH260" s="54"/>
      <c r="AI260" s="54"/>
    </row>
    <row r="261" spans="18:35" x14ac:dyDescent="0.2">
      <c r="R261" s="54"/>
      <c r="S261" s="54"/>
      <c r="T261" s="54"/>
      <c r="W261" s="54"/>
      <c r="X261" s="54"/>
      <c r="Y261" s="54"/>
      <c r="AB261" s="54"/>
      <c r="AC261" s="54"/>
      <c r="AD261" s="54"/>
      <c r="AG261" s="54"/>
      <c r="AH261" s="54"/>
      <c r="AI261" s="54"/>
    </row>
    <row r="262" spans="18:35" x14ac:dyDescent="0.2">
      <c r="R262" s="54"/>
      <c r="S262" s="54"/>
      <c r="T262" s="54"/>
      <c r="W262" s="54"/>
      <c r="X262" s="54"/>
      <c r="Y262" s="54"/>
      <c r="AB262" s="54"/>
      <c r="AC262" s="54"/>
      <c r="AD262" s="54"/>
      <c r="AG262" s="54"/>
      <c r="AH262" s="54"/>
      <c r="AI262" s="54"/>
    </row>
    <row r="263" spans="18:35" x14ac:dyDescent="0.2">
      <c r="R263" s="54"/>
      <c r="S263" s="54"/>
      <c r="T263" s="54"/>
      <c r="W263" s="54"/>
      <c r="X263" s="54"/>
      <c r="Y263" s="54"/>
      <c r="AB263" s="54"/>
      <c r="AC263" s="54"/>
      <c r="AD263" s="54"/>
      <c r="AG263" s="54"/>
      <c r="AH263" s="54"/>
      <c r="AI263" s="54"/>
    </row>
    <row r="264" spans="18:35" x14ac:dyDescent="0.2">
      <c r="R264" s="54"/>
      <c r="S264" s="54"/>
      <c r="T264" s="54"/>
      <c r="W264" s="54"/>
      <c r="X264" s="54"/>
      <c r="Y264" s="54"/>
      <c r="AB264" s="54"/>
      <c r="AC264" s="54"/>
      <c r="AD264" s="54"/>
      <c r="AG264" s="54"/>
      <c r="AH264" s="54"/>
      <c r="AI264" s="54"/>
    </row>
    <row r="265" spans="18:35" x14ac:dyDescent="0.2">
      <c r="R265" s="54"/>
      <c r="S265" s="54"/>
      <c r="T265" s="54"/>
      <c r="W265" s="54"/>
      <c r="X265" s="54"/>
      <c r="Y265" s="54"/>
      <c r="AB265" s="54"/>
      <c r="AC265" s="54"/>
      <c r="AD265" s="54"/>
      <c r="AG265" s="54"/>
      <c r="AH265" s="54"/>
      <c r="AI265" s="54"/>
    </row>
    <row r="266" spans="18:35" x14ac:dyDescent="0.2">
      <c r="R266" s="54"/>
      <c r="S266" s="54"/>
      <c r="T266" s="54"/>
      <c r="W266" s="54"/>
      <c r="X266" s="54"/>
      <c r="Y266" s="54"/>
      <c r="AB266" s="54"/>
      <c r="AC266" s="54"/>
      <c r="AD266" s="54"/>
      <c r="AG266" s="54"/>
      <c r="AH266" s="54"/>
      <c r="AI266" s="54"/>
    </row>
    <row r="267" spans="18:35" x14ac:dyDescent="0.2">
      <c r="R267" s="54"/>
      <c r="S267" s="54"/>
      <c r="T267" s="54"/>
      <c r="W267" s="54"/>
      <c r="X267" s="54"/>
      <c r="Y267" s="54"/>
      <c r="AB267" s="54"/>
      <c r="AC267" s="54"/>
      <c r="AD267" s="54"/>
      <c r="AG267" s="54"/>
      <c r="AH267" s="54"/>
      <c r="AI267" s="54"/>
    </row>
    <row r="268" spans="18:35" x14ac:dyDescent="0.2">
      <c r="R268" s="54"/>
      <c r="S268" s="54"/>
      <c r="T268" s="54"/>
      <c r="W268" s="54"/>
      <c r="X268" s="54"/>
      <c r="Y268" s="54"/>
      <c r="AB268" s="54"/>
      <c r="AC268" s="54"/>
      <c r="AD268" s="54"/>
      <c r="AG268" s="54"/>
      <c r="AH268" s="54"/>
      <c r="AI268" s="54"/>
    </row>
    <row r="269" spans="18:35" x14ac:dyDescent="0.2">
      <c r="R269" s="54"/>
      <c r="S269" s="54"/>
      <c r="T269" s="54"/>
      <c r="W269" s="54"/>
      <c r="X269" s="54"/>
      <c r="Y269" s="54"/>
      <c r="AB269" s="54"/>
      <c r="AC269" s="54"/>
      <c r="AD269" s="54"/>
      <c r="AG269" s="54"/>
      <c r="AH269" s="54"/>
      <c r="AI269" s="54"/>
    </row>
    <row r="270" spans="18:35" x14ac:dyDescent="0.2">
      <c r="R270" s="54"/>
      <c r="S270" s="54"/>
      <c r="T270" s="54"/>
      <c r="W270" s="54"/>
      <c r="X270" s="54"/>
      <c r="Y270" s="54"/>
      <c r="AB270" s="54"/>
      <c r="AC270" s="54"/>
      <c r="AD270" s="54"/>
      <c r="AG270" s="54"/>
      <c r="AH270" s="54"/>
      <c r="AI270" s="54"/>
    </row>
    <row r="271" spans="18:35" x14ac:dyDescent="0.2">
      <c r="R271" s="54"/>
      <c r="S271" s="54"/>
      <c r="T271" s="54"/>
      <c r="W271" s="54"/>
      <c r="X271" s="54"/>
      <c r="Y271" s="54"/>
      <c r="AB271" s="54"/>
      <c r="AC271" s="54"/>
      <c r="AD271" s="54"/>
      <c r="AG271" s="54"/>
      <c r="AH271" s="54"/>
      <c r="AI271" s="54"/>
    </row>
    <row r="272" spans="18:35" x14ac:dyDescent="0.2">
      <c r="R272" s="54"/>
      <c r="S272" s="54"/>
      <c r="T272" s="54"/>
      <c r="W272" s="54"/>
      <c r="X272" s="54"/>
      <c r="Y272" s="54"/>
      <c r="AB272" s="54"/>
      <c r="AC272" s="54"/>
      <c r="AD272" s="54"/>
      <c r="AG272" s="54"/>
      <c r="AH272" s="54"/>
      <c r="AI272" s="54"/>
    </row>
    <row r="273" spans="18:35" x14ac:dyDescent="0.2">
      <c r="R273" s="54"/>
      <c r="S273" s="54"/>
      <c r="T273" s="54"/>
      <c r="W273" s="54"/>
      <c r="X273" s="54"/>
      <c r="Y273" s="54"/>
      <c r="AB273" s="54"/>
      <c r="AC273" s="54"/>
      <c r="AD273" s="54"/>
      <c r="AG273" s="54"/>
      <c r="AH273" s="54"/>
      <c r="AI273" s="54"/>
    </row>
    <row r="274" spans="18:35" x14ac:dyDescent="0.2">
      <c r="R274" s="54"/>
      <c r="S274" s="54"/>
      <c r="T274" s="54"/>
      <c r="W274" s="54"/>
      <c r="X274" s="54"/>
      <c r="Y274" s="54"/>
      <c r="AB274" s="54"/>
      <c r="AC274" s="54"/>
      <c r="AD274" s="54"/>
      <c r="AG274" s="54"/>
      <c r="AH274" s="54"/>
      <c r="AI274" s="54"/>
    </row>
    <row r="275" spans="18:35" x14ac:dyDescent="0.2">
      <c r="R275" s="54"/>
      <c r="S275" s="54"/>
      <c r="T275" s="54"/>
      <c r="W275" s="54"/>
      <c r="X275" s="54"/>
      <c r="Y275" s="54"/>
      <c r="AB275" s="54"/>
      <c r="AC275" s="54"/>
      <c r="AD275" s="54"/>
      <c r="AG275" s="54"/>
      <c r="AH275" s="54"/>
      <c r="AI275" s="54"/>
    </row>
    <row r="276" spans="18:35" x14ac:dyDescent="0.2">
      <c r="R276" s="54"/>
      <c r="S276" s="54"/>
      <c r="T276" s="54"/>
      <c r="W276" s="54"/>
      <c r="X276" s="54"/>
      <c r="Y276" s="54"/>
      <c r="AB276" s="54"/>
      <c r="AC276" s="54"/>
      <c r="AD276" s="54"/>
      <c r="AG276" s="54"/>
      <c r="AH276" s="54"/>
      <c r="AI276" s="54"/>
    </row>
    <row r="277" spans="18:35" x14ac:dyDescent="0.2">
      <c r="R277" s="54"/>
      <c r="S277" s="54"/>
      <c r="T277" s="54"/>
      <c r="W277" s="54"/>
      <c r="X277" s="54"/>
      <c r="Y277" s="54"/>
      <c r="AB277" s="54"/>
      <c r="AC277" s="54"/>
      <c r="AD277" s="54"/>
      <c r="AG277" s="54"/>
      <c r="AH277" s="54"/>
      <c r="AI277" s="54"/>
    </row>
    <row r="278" spans="18:35" x14ac:dyDescent="0.2">
      <c r="R278" s="54"/>
      <c r="S278" s="54"/>
      <c r="T278" s="54"/>
      <c r="W278" s="54"/>
      <c r="X278" s="54"/>
      <c r="Y278" s="54"/>
      <c r="AB278" s="54"/>
      <c r="AC278" s="54"/>
      <c r="AD278" s="54"/>
      <c r="AG278" s="54"/>
      <c r="AH278" s="54"/>
      <c r="AI278" s="54"/>
    </row>
    <row r="279" spans="18:35" x14ac:dyDescent="0.2">
      <c r="R279" s="54"/>
      <c r="S279" s="54"/>
      <c r="T279" s="54"/>
      <c r="W279" s="54"/>
      <c r="X279" s="54"/>
      <c r="Y279" s="54"/>
      <c r="AB279" s="54"/>
      <c r="AC279" s="54"/>
      <c r="AD279" s="54"/>
      <c r="AG279" s="54"/>
      <c r="AH279" s="54"/>
      <c r="AI279" s="54"/>
    </row>
    <row r="280" spans="18:35" x14ac:dyDescent="0.2">
      <c r="R280" s="54"/>
      <c r="S280" s="54"/>
      <c r="T280" s="54"/>
      <c r="W280" s="54"/>
      <c r="X280" s="54"/>
      <c r="Y280" s="54"/>
      <c r="AB280" s="54"/>
      <c r="AC280" s="54"/>
      <c r="AD280" s="54"/>
      <c r="AG280" s="54"/>
      <c r="AH280" s="54"/>
      <c r="AI280" s="54"/>
    </row>
    <row r="281" spans="18:35" x14ac:dyDescent="0.2">
      <c r="R281" s="54"/>
      <c r="S281" s="54"/>
      <c r="T281" s="54"/>
      <c r="W281" s="54"/>
      <c r="X281" s="54"/>
      <c r="Y281" s="54"/>
      <c r="AB281" s="54"/>
      <c r="AC281" s="54"/>
      <c r="AD281" s="54"/>
      <c r="AG281" s="54"/>
      <c r="AH281" s="54"/>
      <c r="AI281" s="54"/>
    </row>
    <row r="282" spans="18:35" x14ac:dyDescent="0.2">
      <c r="R282" s="54"/>
      <c r="S282" s="54"/>
      <c r="T282" s="54"/>
      <c r="W282" s="54"/>
      <c r="X282" s="54"/>
      <c r="Y282" s="54"/>
      <c r="AB282" s="54"/>
      <c r="AC282" s="54"/>
      <c r="AD282" s="54"/>
      <c r="AG282" s="54"/>
      <c r="AH282" s="54"/>
      <c r="AI282" s="54"/>
    </row>
    <row r="283" spans="18:35" x14ac:dyDescent="0.2">
      <c r="R283" s="54"/>
      <c r="S283" s="54"/>
      <c r="T283" s="54"/>
      <c r="W283" s="54"/>
      <c r="X283" s="54"/>
      <c r="Y283" s="54"/>
      <c r="AB283" s="54"/>
      <c r="AC283" s="54"/>
      <c r="AD283" s="54"/>
      <c r="AG283" s="54"/>
      <c r="AH283" s="54"/>
      <c r="AI283" s="54"/>
    </row>
    <row r="284" spans="18:35" x14ac:dyDescent="0.2">
      <c r="R284" s="54"/>
      <c r="S284" s="54"/>
      <c r="T284" s="54"/>
      <c r="W284" s="54"/>
      <c r="X284" s="54"/>
      <c r="Y284" s="54"/>
      <c r="AB284" s="54"/>
      <c r="AC284" s="54"/>
      <c r="AD284" s="54"/>
      <c r="AG284" s="54"/>
      <c r="AH284" s="54"/>
      <c r="AI284" s="54"/>
    </row>
    <row r="285" spans="18:35" x14ac:dyDescent="0.2">
      <c r="R285" s="54"/>
      <c r="S285" s="54"/>
      <c r="T285" s="54"/>
      <c r="W285" s="54"/>
      <c r="X285" s="54"/>
      <c r="Y285" s="54"/>
      <c r="AB285" s="54"/>
      <c r="AC285" s="54"/>
      <c r="AD285" s="54"/>
      <c r="AG285" s="54"/>
      <c r="AH285" s="54"/>
      <c r="AI285" s="54"/>
    </row>
    <row r="286" spans="18:35" x14ac:dyDescent="0.2">
      <c r="R286" s="54"/>
      <c r="S286" s="54"/>
      <c r="T286" s="54"/>
      <c r="W286" s="54"/>
      <c r="X286" s="54"/>
      <c r="Y286" s="54"/>
      <c r="AB286" s="54"/>
      <c r="AC286" s="54"/>
      <c r="AD286" s="54"/>
      <c r="AG286" s="54"/>
      <c r="AH286" s="54"/>
      <c r="AI286" s="54"/>
    </row>
    <row r="287" spans="18:35" x14ac:dyDescent="0.2">
      <c r="R287" s="54"/>
      <c r="S287" s="54"/>
      <c r="T287" s="54"/>
      <c r="W287" s="54"/>
      <c r="X287" s="54"/>
      <c r="Y287" s="54"/>
      <c r="AB287" s="54"/>
      <c r="AC287" s="54"/>
      <c r="AD287" s="54"/>
      <c r="AG287" s="54"/>
      <c r="AH287" s="54"/>
      <c r="AI287" s="54"/>
    </row>
    <row r="288" spans="18:35" x14ac:dyDescent="0.2">
      <c r="R288" s="54"/>
      <c r="S288" s="54"/>
      <c r="T288" s="54"/>
      <c r="W288" s="54"/>
      <c r="X288" s="54"/>
      <c r="Y288" s="54"/>
      <c r="AB288" s="54"/>
      <c r="AC288" s="54"/>
      <c r="AD288" s="54"/>
      <c r="AG288" s="54"/>
      <c r="AH288" s="54"/>
      <c r="AI288" s="54"/>
    </row>
    <row r="289" spans="18:35" x14ac:dyDescent="0.2">
      <c r="R289" s="54"/>
      <c r="S289" s="54"/>
      <c r="T289" s="54"/>
      <c r="W289" s="54"/>
      <c r="X289" s="54"/>
      <c r="Y289" s="54"/>
      <c r="AB289" s="54"/>
      <c r="AC289" s="54"/>
      <c r="AD289" s="54"/>
      <c r="AG289" s="54"/>
      <c r="AH289" s="54"/>
      <c r="AI289" s="54"/>
    </row>
    <row r="290" spans="18:35" x14ac:dyDescent="0.2">
      <c r="R290" s="54"/>
      <c r="S290" s="54"/>
      <c r="T290" s="54"/>
      <c r="W290" s="54"/>
      <c r="X290" s="54"/>
      <c r="Y290" s="54"/>
      <c r="AB290" s="54"/>
      <c r="AC290" s="54"/>
      <c r="AD290" s="54"/>
      <c r="AG290" s="54"/>
      <c r="AH290" s="54"/>
      <c r="AI290" s="54"/>
    </row>
    <row r="291" spans="18:35" x14ac:dyDescent="0.2">
      <c r="R291" s="54"/>
      <c r="S291" s="54"/>
      <c r="T291" s="54"/>
      <c r="W291" s="54"/>
      <c r="X291" s="54"/>
      <c r="Y291" s="54"/>
      <c r="AB291" s="54"/>
      <c r="AC291" s="54"/>
      <c r="AD291" s="54"/>
      <c r="AG291" s="54"/>
      <c r="AH291" s="54"/>
      <c r="AI291" s="54"/>
    </row>
    <row r="292" spans="18:35" x14ac:dyDescent="0.2">
      <c r="R292" s="54"/>
      <c r="S292" s="54"/>
      <c r="T292" s="54"/>
      <c r="W292" s="54"/>
      <c r="X292" s="54"/>
      <c r="Y292" s="54"/>
      <c r="AB292" s="54"/>
      <c r="AC292" s="54"/>
      <c r="AD292" s="54"/>
      <c r="AG292" s="54"/>
      <c r="AH292" s="54"/>
      <c r="AI292" s="54"/>
    </row>
    <row r="293" spans="18:35" x14ac:dyDescent="0.2">
      <c r="R293" s="54"/>
      <c r="S293" s="54"/>
      <c r="T293" s="54"/>
      <c r="W293" s="54"/>
      <c r="X293" s="54"/>
      <c r="Y293" s="54"/>
      <c r="AB293" s="54"/>
      <c r="AC293" s="54"/>
      <c r="AD293" s="54"/>
      <c r="AG293" s="54"/>
      <c r="AH293" s="54"/>
      <c r="AI293" s="54"/>
    </row>
    <row r="294" spans="18:35" x14ac:dyDescent="0.2">
      <c r="R294" s="54"/>
      <c r="S294" s="54"/>
      <c r="T294" s="54"/>
      <c r="W294" s="54"/>
      <c r="X294" s="54"/>
      <c r="Y294" s="54"/>
      <c r="AB294" s="54"/>
      <c r="AC294" s="54"/>
      <c r="AD294" s="54"/>
      <c r="AG294" s="54"/>
      <c r="AH294" s="54"/>
      <c r="AI294" s="54"/>
    </row>
    <row r="295" spans="18:35" x14ac:dyDescent="0.2">
      <c r="R295" s="54"/>
      <c r="S295" s="54"/>
      <c r="T295" s="54"/>
      <c r="W295" s="54"/>
      <c r="X295" s="54"/>
      <c r="Y295" s="54"/>
      <c r="AB295" s="54"/>
      <c r="AC295" s="54"/>
      <c r="AD295" s="54"/>
      <c r="AG295" s="54"/>
      <c r="AH295" s="54"/>
      <c r="AI295" s="54"/>
    </row>
    <row r="296" spans="18:35" x14ac:dyDescent="0.2">
      <c r="R296" s="54"/>
      <c r="S296" s="54"/>
      <c r="T296" s="54"/>
      <c r="W296" s="54"/>
      <c r="X296" s="54"/>
      <c r="Y296" s="54"/>
      <c r="AB296" s="54"/>
      <c r="AC296" s="54"/>
      <c r="AD296" s="54"/>
      <c r="AG296" s="54"/>
      <c r="AH296" s="54"/>
      <c r="AI296" s="54"/>
    </row>
    <row r="297" spans="18:35" x14ac:dyDescent="0.2">
      <c r="R297" s="54"/>
      <c r="S297" s="54"/>
      <c r="T297" s="54"/>
      <c r="W297" s="54"/>
      <c r="X297" s="54"/>
      <c r="Y297" s="54"/>
      <c r="AB297" s="54"/>
      <c r="AC297" s="54"/>
      <c r="AD297" s="54"/>
      <c r="AG297" s="54"/>
      <c r="AH297" s="54"/>
      <c r="AI297" s="54"/>
    </row>
    <row r="298" spans="18:35" x14ac:dyDescent="0.2">
      <c r="R298" s="54"/>
      <c r="S298" s="54"/>
      <c r="T298" s="54"/>
      <c r="W298" s="54"/>
      <c r="X298" s="54"/>
      <c r="Y298" s="54"/>
      <c r="AB298" s="54"/>
      <c r="AC298" s="54"/>
      <c r="AD298" s="54"/>
      <c r="AG298" s="54"/>
      <c r="AH298" s="54"/>
      <c r="AI298" s="54"/>
    </row>
    <row r="299" spans="18:35" x14ac:dyDescent="0.2">
      <c r="R299" s="54"/>
      <c r="S299" s="54"/>
      <c r="T299" s="54"/>
      <c r="W299" s="54"/>
      <c r="X299" s="54"/>
      <c r="Y299" s="54"/>
      <c r="AB299" s="54"/>
      <c r="AC299" s="54"/>
      <c r="AD299" s="54"/>
      <c r="AG299" s="54"/>
      <c r="AH299" s="54"/>
      <c r="AI299" s="54"/>
    </row>
    <row r="300" spans="18:35" x14ac:dyDescent="0.2">
      <c r="R300" s="54"/>
      <c r="S300" s="54"/>
      <c r="T300" s="54"/>
      <c r="W300" s="54"/>
      <c r="X300" s="54"/>
      <c r="Y300" s="54"/>
      <c r="AB300" s="54"/>
      <c r="AC300" s="54"/>
      <c r="AD300" s="54"/>
      <c r="AG300" s="54"/>
      <c r="AH300" s="54"/>
      <c r="AI300" s="54"/>
    </row>
    <row r="301" spans="18:35" x14ac:dyDescent="0.2">
      <c r="R301" s="54"/>
      <c r="S301" s="54"/>
      <c r="T301" s="54"/>
      <c r="W301" s="54"/>
      <c r="X301" s="54"/>
      <c r="Y301" s="54"/>
      <c r="AB301" s="54"/>
      <c r="AC301" s="54"/>
      <c r="AD301" s="54"/>
      <c r="AG301" s="54"/>
      <c r="AH301" s="54"/>
      <c r="AI301" s="54"/>
    </row>
    <row r="302" spans="18:35" x14ac:dyDescent="0.2">
      <c r="R302" s="54"/>
      <c r="S302" s="54"/>
      <c r="T302" s="54"/>
      <c r="W302" s="54"/>
      <c r="X302" s="54"/>
      <c r="Y302" s="54"/>
      <c r="AB302" s="54"/>
      <c r="AC302" s="54"/>
      <c r="AD302" s="54"/>
      <c r="AG302" s="54"/>
      <c r="AH302" s="54"/>
      <c r="AI302" s="54"/>
    </row>
    <row r="303" spans="18:35" x14ac:dyDescent="0.2">
      <c r="R303" s="54"/>
      <c r="S303" s="54"/>
      <c r="T303" s="54"/>
      <c r="W303" s="54"/>
      <c r="X303" s="54"/>
      <c r="Y303" s="54"/>
      <c r="AB303" s="54"/>
      <c r="AC303" s="54"/>
      <c r="AD303" s="54"/>
      <c r="AG303" s="54"/>
      <c r="AH303" s="54"/>
      <c r="AI303" s="54"/>
    </row>
    <row r="304" spans="18:35" x14ac:dyDescent="0.2">
      <c r="R304" s="54"/>
      <c r="S304" s="54"/>
      <c r="T304" s="54"/>
      <c r="W304" s="54"/>
      <c r="X304" s="54"/>
      <c r="Y304" s="54"/>
      <c r="AB304" s="54"/>
      <c r="AC304" s="54"/>
      <c r="AD304" s="54"/>
      <c r="AG304" s="54"/>
      <c r="AH304" s="54"/>
      <c r="AI304" s="54"/>
    </row>
    <row r="305" spans="18:35" x14ac:dyDescent="0.2">
      <c r="R305" s="54"/>
      <c r="S305" s="54"/>
      <c r="T305" s="54"/>
      <c r="W305" s="54"/>
      <c r="X305" s="54"/>
      <c r="Y305" s="54"/>
      <c r="AB305" s="54"/>
      <c r="AC305" s="54"/>
      <c r="AD305" s="54"/>
      <c r="AG305" s="54"/>
      <c r="AH305" s="54"/>
      <c r="AI305" s="54"/>
    </row>
    <row r="306" spans="18:35" x14ac:dyDescent="0.2">
      <c r="R306" s="54"/>
      <c r="S306" s="54"/>
      <c r="T306" s="54"/>
      <c r="W306" s="54"/>
      <c r="X306" s="54"/>
      <c r="Y306" s="54"/>
      <c r="AB306" s="54"/>
      <c r="AC306" s="54"/>
      <c r="AD306" s="54"/>
      <c r="AG306" s="54"/>
      <c r="AH306" s="54"/>
      <c r="AI306" s="54"/>
    </row>
    <row r="307" spans="18:35" x14ac:dyDescent="0.2">
      <c r="R307" s="54"/>
      <c r="S307" s="54"/>
      <c r="T307" s="54"/>
      <c r="W307" s="54"/>
      <c r="X307" s="54"/>
      <c r="Y307" s="54"/>
      <c r="AB307" s="54"/>
      <c r="AC307" s="54"/>
      <c r="AD307" s="54"/>
      <c r="AG307" s="54"/>
      <c r="AH307" s="54"/>
      <c r="AI307" s="54"/>
    </row>
    <row r="308" spans="18:35" x14ac:dyDescent="0.2">
      <c r="R308" s="54"/>
      <c r="S308" s="54"/>
      <c r="T308" s="54"/>
      <c r="W308" s="54"/>
      <c r="X308" s="54"/>
      <c r="Y308" s="54"/>
      <c r="AB308" s="54"/>
      <c r="AC308" s="54"/>
      <c r="AD308" s="54"/>
      <c r="AG308" s="54"/>
      <c r="AH308" s="54"/>
      <c r="AI308" s="54"/>
    </row>
    <row r="309" spans="18:35" x14ac:dyDescent="0.2">
      <c r="R309" s="54"/>
      <c r="S309" s="54"/>
      <c r="T309" s="54"/>
      <c r="W309" s="54"/>
      <c r="X309" s="54"/>
      <c r="Y309" s="54"/>
      <c r="AB309" s="54"/>
      <c r="AC309" s="54"/>
      <c r="AD309" s="54"/>
      <c r="AG309" s="54"/>
      <c r="AH309" s="54"/>
      <c r="AI309" s="54"/>
    </row>
    <row r="310" spans="18:35" x14ac:dyDescent="0.2">
      <c r="R310" s="54"/>
      <c r="S310" s="54"/>
      <c r="T310" s="54"/>
      <c r="W310" s="54"/>
      <c r="X310" s="54"/>
      <c r="Y310" s="54"/>
      <c r="AB310" s="54"/>
      <c r="AC310" s="54"/>
      <c r="AD310" s="54"/>
      <c r="AG310" s="54"/>
      <c r="AH310" s="54"/>
      <c r="AI310" s="54"/>
    </row>
    <row r="311" spans="18:35" x14ac:dyDescent="0.2">
      <c r="R311" s="54"/>
      <c r="S311" s="54"/>
      <c r="T311" s="54"/>
      <c r="W311" s="54"/>
      <c r="X311" s="54"/>
      <c r="Y311" s="54"/>
      <c r="AB311" s="54"/>
      <c r="AC311" s="54"/>
      <c r="AD311" s="54"/>
      <c r="AG311" s="54"/>
      <c r="AH311" s="54"/>
      <c r="AI311" s="54"/>
    </row>
    <row r="312" spans="18:35" x14ac:dyDescent="0.2">
      <c r="R312" s="54"/>
      <c r="S312" s="54"/>
      <c r="T312" s="54"/>
      <c r="W312" s="54"/>
      <c r="X312" s="54"/>
      <c r="Y312" s="54"/>
      <c r="AB312" s="54"/>
      <c r="AC312" s="54"/>
      <c r="AD312" s="54"/>
      <c r="AG312" s="54"/>
      <c r="AH312" s="54"/>
      <c r="AI312" s="54"/>
    </row>
    <row r="313" spans="18:35" x14ac:dyDescent="0.2">
      <c r="R313" s="54"/>
      <c r="S313" s="54"/>
      <c r="T313" s="54"/>
      <c r="W313" s="54"/>
      <c r="X313" s="54"/>
      <c r="Y313" s="54"/>
      <c r="AB313" s="54"/>
      <c r="AC313" s="54"/>
      <c r="AD313" s="54"/>
      <c r="AG313" s="54"/>
      <c r="AH313" s="54"/>
      <c r="AI313" s="54"/>
    </row>
    <row r="314" spans="18:35" x14ac:dyDescent="0.2">
      <c r="R314" s="54"/>
      <c r="S314" s="54"/>
      <c r="T314" s="54"/>
      <c r="W314" s="54"/>
      <c r="X314" s="54"/>
      <c r="Y314" s="54"/>
      <c r="AB314" s="54"/>
      <c r="AC314" s="54"/>
      <c r="AD314" s="54"/>
      <c r="AG314" s="54"/>
      <c r="AH314" s="54"/>
      <c r="AI314" s="54"/>
    </row>
    <row r="315" spans="18:35" x14ac:dyDescent="0.2">
      <c r="R315" s="54"/>
      <c r="S315" s="54"/>
      <c r="T315" s="54"/>
      <c r="W315" s="54"/>
      <c r="X315" s="54"/>
      <c r="Y315" s="54"/>
      <c r="AB315" s="54"/>
      <c r="AC315" s="54"/>
      <c r="AD315" s="54"/>
      <c r="AG315" s="54"/>
      <c r="AH315" s="54"/>
      <c r="AI315" s="54"/>
    </row>
    <row r="316" spans="18:35" x14ac:dyDescent="0.2">
      <c r="R316" s="54"/>
      <c r="S316" s="54"/>
      <c r="T316" s="54"/>
      <c r="W316" s="54"/>
      <c r="X316" s="54"/>
      <c r="Y316" s="54"/>
      <c r="AB316" s="54"/>
      <c r="AC316" s="54"/>
      <c r="AD316" s="54"/>
      <c r="AG316" s="54"/>
      <c r="AH316" s="54"/>
      <c r="AI316" s="54"/>
    </row>
    <row r="317" spans="18:35" x14ac:dyDescent="0.2">
      <c r="R317" s="54"/>
      <c r="S317" s="54"/>
      <c r="T317" s="54"/>
      <c r="W317" s="54"/>
      <c r="X317" s="54"/>
      <c r="Y317" s="54"/>
      <c r="AB317" s="54"/>
      <c r="AC317" s="54"/>
      <c r="AD317" s="54"/>
      <c r="AG317" s="54"/>
      <c r="AH317" s="54"/>
      <c r="AI317" s="54"/>
    </row>
    <row r="318" spans="18:35" x14ac:dyDescent="0.2">
      <c r="R318" s="54"/>
      <c r="S318" s="54"/>
      <c r="T318" s="54"/>
      <c r="W318" s="54"/>
      <c r="X318" s="54"/>
      <c r="Y318" s="54"/>
      <c r="AB318" s="54"/>
      <c r="AC318" s="54"/>
      <c r="AD318" s="54"/>
      <c r="AG318" s="54"/>
      <c r="AH318" s="54"/>
      <c r="AI318" s="54"/>
    </row>
    <row r="319" spans="18:35" x14ac:dyDescent="0.2">
      <c r="R319" s="54"/>
      <c r="S319" s="54"/>
      <c r="T319" s="54"/>
      <c r="W319" s="54"/>
      <c r="X319" s="54"/>
      <c r="Y319" s="54"/>
      <c r="AB319" s="54"/>
      <c r="AC319" s="54"/>
      <c r="AD319" s="54"/>
      <c r="AG319" s="54"/>
      <c r="AH319" s="54"/>
      <c r="AI319" s="54"/>
    </row>
    <row r="320" spans="18:35" x14ac:dyDescent="0.2">
      <c r="R320" s="54"/>
      <c r="S320" s="54"/>
      <c r="T320" s="54"/>
      <c r="W320" s="54"/>
      <c r="X320" s="54"/>
      <c r="Y320" s="54"/>
      <c r="AB320" s="54"/>
      <c r="AC320" s="54"/>
      <c r="AD320" s="54"/>
      <c r="AG320" s="54"/>
      <c r="AH320" s="54"/>
      <c r="AI320" s="54"/>
    </row>
    <row r="321" spans="18:35" x14ac:dyDescent="0.2">
      <c r="R321" s="54"/>
      <c r="S321" s="54"/>
      <c r="T321" s="54"/>
      <c r="W321" s="54"/>
      <c r="X321" s="54"/>
      <c r="Y321" s="54"/>
      <c r="AB321" s="54"/>
      <c r="AC321" s="54"/>
      <c r="AD321" s="54"/>
      <c r="AG321" s="54"/>
      <c r="AH321" s="54"/>
      <c r="AI321" s="54"/>
    </row>
    <row r="322" spans="18:35" x14ac:dyDescent="0.2">
      <c r="R322" s="54"/>
      <c r="S322" s="54"/>
      <c r="T322" s="54"/>
      <c r="W322" s="54"/>
      <c r="X322" s="54"/>
      <c r="Y322" s="54"/>
      <c r="AB322" s="54"/>
      <c r="AC322" s="54"/>
      <c r="AD322" s="54"/>
      <c r="AG322" s="54"/>
      <c r="AH322" s="54"/>
      <c r="AI322" s="54"/>
    </row>
    <row r="323" spans="18:35" x14ac:dyDescent="0.2">
      <c r="R323" s="54"/>
      <c r="S323" s="54"/>
      <c r="T323" s="54"/>
      <c r="W323" s="54"/>
      <c r="X323" s="54"/>
      <c r="Y323" s="54"/>
      <c r="AB323" s="54"/>
      <c r="AC323" s="54"/>
      <c r="AD323" s="54"/>
      <c r="AG323" s="54"/>
      <c r="AH323" s="54"/>
      <c r="AI323" s="54"/>
    </row>
    <row r="324" spans="18:35" x14ac:dyDescent="0.2">
      <c r="R324" s="54"/>
      <c r="S324" s="54"/>
      <c r="T324" s="54"/>
      <c r="W324" s="54"/>
      <c r="X324" s="54"/>
      <c r="Y324" s="54"/>
      <c r="AB324" s="54"/>
      <c r="AC324" s="54"/>
      <c r="AD324" s="54"/>
      <c r="AG324" s="54"/>
      <c r="AH324" s="54"/>
      <c r="AI324" s="54"/>
    </row>
    <row r="325" spans="18:35" x14ac:dyDescent="0.2">
      <c r="R325" s="54"/>
      <c r="S325" s="54"/>
      <c r="T325" s="54"/>
      <c r="W325" s="54"/>
      <c r="X325" s="54"/>
      <c r="Y325" s="54"/>
      <c r="AB325" s="54"/>
      <c r="AC325" s="54"/>
      <c r="AD325" s="54"/>
      <c r="AG325" s="54"/>
      <c r="AH325" s="54"/>
      <c r="AI325" s="54"/>
    </row>
    <row r="326" spans="18:35" x14ac:dyDescent="0.2">
      <c r="R326" s="54"/>
      <c r="S326" s="54"/>
      <c r="T326" s="54"/>
      <c r="W326" s="54"/>
      <c r="X326" s="54"/>
      <c r="Y326" s="54"/>
      <c r="AB326" s="54"/>
      <c r="AC326" s="54"/>
      <c r="AD326" s="54"/>
      <c r="AG326" s="54"/>
      <c r="AH326" s="54"/>
      <c r="AI326" s="54"/>
    </row>
    <row r="327" spans="18:35" x14ac:dyDescent="0.2">
      <c r="R327" s="54"/>
      <c r="S327" s="54"/>
      <c r="T327" s="54"/>
      <c r="W327" s="54"/>
      <c r="X327" s="54"/>
      <c r="Y327" s="54"/>
      <c r="AB327" s="54"/>
      <c r="AC327" s="54"/>
      <c r="AD327" s="54"/>
      <c r="AG327" s="54"/>
      <c r="AH327" s="54"/>
      <c r="AI327" s="54"/>
    </row>
    <row r="328" spans="18:35" x14ac:dyDescent="0.2">
      <c r="R328" s="54"/>
      <c r="S328" s="54"/>
      <c r="T328" s="54"/>
      <c r="W328" s="54"/>
      <c r="X328" s="54"/>
      <c r="Y328" s="54"/>
      <c r="AB328" s="54"/>
      <c r="AC328" s="54"/>
      <c r="AD328" s="54"/>
      <c r="AG328" s="54"/>
      <c r="AH328" s="54"/>
      <c r="AI328" s="54"/>
    </row>
    <row r="329" spans="18:35" x14ac:dyDescent="0.2">
      <c r="R329" s="54"/>
      <c r="S329" s="54"/>
      <c r="T329" s="54"/>
      <c r="W329" s="54"/>
      <c r="X329" s="54"/>
      <c r="Y329" s="54"/>
      <c r="AB329" s="54"/>
      <c r="AC329" s="54"/>
      <c r="AD329" s="54"/>
      <c r="AG329" s="54"/>
      <c r="AH329" s="54"/>
      <c r="AI329" s="54"/>
    </row>
    <row r="330" spans="18:35" x14ac:dyDescent="0.2">
      <c r="R330" s="54"/>
      <c r="S330" s="54"/>
      <c r="T330" s="54"/>
      <c r="W330" s="54"/>
      <c r="X330" s="54"/>
      <c r="Y330" s="54"/>
      <c r="AB330" s="54"/>
      <c r="AC330" s="54"/>
      <c r="AD330" s="54"/>
      <c r="AG330" s="54"/>
      <c r="AH330" s="54"/>
      <c r="AI330" s="54"/>
    </row>
    <row r="331" spans="18:35" x14ac:dyDescent="0.2">
      <c r="R331" s="54"/>
      <c r="S331" s="54"/>
      <c r="T331" s="54"/>
      <c r="W331" s="54"/>
      <c r="X331" s="54"/>
      <c r="Y331" s="54"/>
      <c r="AB331" s="54"/>
      <c r="AC331" s="54"/>
      <c r="AD331" s="54"/>
      <c r="AG331" s="54"/>
      <c r="AH331" s="54"/>
      <c r="AI331" s="54"/>
    </row>
    <row r="332" spans="18:35" x14ac:dyDescent="0.2">
      <c r="R332" s="54"/>
      <c r="S332" s="54"/>
      <c r="T332" s="54"/>
      <c r="W332" s="54"/>
      <c r="X332" s="54"/>
      <c r="Y332" s="54"/>
      <c r="AB332" s="54"/>
      <c r="AC332" s="54"/>
      <c r="AD332" s="54"/>
      <c r="AG332" s="54"/>
      <c r="AH332" s="54"/>
      <c r="AI332" s="54"/>
    </row>
    <row r="333" spans="18:35" x14ac:dyDescent="0.2">
      <c r="R333" s="54"/>
      <c r="S333" s="54"/>
      <c r="T333" s="54"/>
      <c r="W333" s="54"/>
      <c r="X333" s="54"/>
      <c r="Y333" s="54"/>
      <c r="AB333" s="54"/>
      <c r="AC333" s="54"/>
      <c r="AD333" s="54"/>
      <c r="AG333" s="54"/>
      <c r="AH333" s="54"/>
      <c r="AI333" s="54"/>
    </row>
    <row r="334" spans="18:35" x14ac:dyDescent="0.2">
      <c r="R334" s="54"/>
      <c r="S334" s="54"/>
      <c r="T334" s="54"/>
      <c r="W334" s="54"/>
      <c r="X334" s="54"/>
      <c r="Y334" s="54"/>
      <c r="AB334" s="54"/>
      <c r="AC334" s="54"/>
      <c r="AD334" s="54"/>
      <c r="AG334" s="54"/>
      <c r="AH334" s="54"/>
      <c r="AI334" s="54"/>
    </row>
    <row r="335" spans="18:35" x14ac:dyDescent="0.2">
      <c r="R335" s="54"/>
      <c r="S335" s="54"/>
      <c r="T335" s="54"/>
      <c r="W335" s="54"/>
      <c r="X335" s="54"/>
      <c r="Y335" s="54"/>
      <c r="AB335" s="54"/>
      <c r="AC335" s="54"/>
      <c r="AD335" s="54"/>
      <c r="AG335" s="54"/>
      <c r="AH335" s="54"/>
      <c r="AI335" s="54"/>
    </row>
    <row r="336" spans="18:35" x14ac:dyDescent="0.2">
      <c r="R336" s="54"/>
      <c r="S336" s="54"/>
      <c r="T336" s="54"/>
      <c r="W336" s="54"/>
      <c r="X336" s="54"/>
      <c r="Y336" s="54"/>
      <c r="AB336" s="54"/>
      <c r="AC336" s="54"/>
      <c r="AD336" s="54"/>
      <c r="AG336" s="54"/>
      <c r="AH336" s="54"/>
      <c r="AI336" s="54"/>
    </row>
    <row r="337" spans="18:35" x14ac:dyDescent="0.2">
      <c r="R337" s="54"/>
      <c r="S337" s="54"/>
      <c r="T337" s="54"/>
      <c r="W337" s="54"/>
      <c r="X337" s="54"/>
      <c r="Y337" s="54"/>
      <c r="AB337" s="54"/>
      <c r="AC337" s="54"/>
      <c r="AD337" s="54"/>
      <c r="AG337" s="54"/>
      <c r="AH337" s="54"/>
      <c r="AI337" s="54"/>
    </row>
    <row r="338" spans="18:35" x14ac:dyDescent="0.2">
      <c r="R338" s="54"/>
      <c r="S338" s="54"/>
      <c r="T338" s="54"/>
      <c r="W338" s="54"/>
      <c r="X338" s="54"/>
      <c r="Y338" s="54"/>
      <c r="AB338" s="54"/>
      <c r="AC338" s="54"/>
      <c r="AD338" s="54"/>
      <c r="AG338" s="54"/>
      <c r="AH338" s="54"/>
      <c r="AI338" s="54"/>
    </row>
    <row r="339" spans="18:35" x14ac:dyDescent="0.2">
      <c r="R339" s="54"/>
      <c r="S339" s="54"/>
      <c r="T339" s="54"/>
      <c r="W339" s="54"/>
      <c r="X339" s="54"/>
      <c r="Y339" s="54"/>
      <c r="AB339" s="54"/>
      <c r="AC339" s="54"/>
      <c r="AD339" s="54"/>
      <c r="AG339" s="54"/>
      <c r="AH339" s="54"/>
      <c r="AI339" s="54"/>
    </row>
    <row r="340" spans="18:35" x14ac:dyDescent="0.2">
      <c r="R340" s="54"/>
      <c r="S340" s="54"/>
      <c r="T340" s="54"/>
      <c r="W340" s="54"/>
      <c r="X340" s="54"/>
      <c r="Y340" s="54"/>
      <c r="AB340" s="54"/>
      <c r="AC340" s="54"/>
      <c r="AD340" s="54"/>
      <c r="AG340" s="54"/>
      <c r="AH340" s="54"/>
      <c r="AI340" s="54"/>
    </row>
    <row r="341" spans="18:35" x14ac:dyDescent="0.2">
      <c r="R341" s="54"/>
      <c r="S341" s="54"/>
      <c r="T341" s="54"/>
      <c r="W341" s="54"/>
      <c r="X341" s="54"/>
      <c r="Y341" s="54"/>
      <c r="AB341" s="54"/>
      <c r="AC341" s="54"/>
      <c r="AD341" s="54"/>
      <c r="AG341" s="54"/>
      <c r="AH341" s="54"/>
      <c r="AI341" s="54"/>
    </row>
    <row r="342" spans="18:35" x14ac:dyDescent="0.2">
      <c r="R342" s="54"/>
      <c r="S342" s="54"/>
      <c r="T342" s="54"/>
      <c r="W342" s="54"/>
      <c r="X342" s="54"/>
      <c r="Y342" s="54"/>
      <c r="AB342" s="54"/>
      <c r="AC342" s="54"/>
      <c r="AD342" s="54"/>
      <c r="AG342" s="54"/>
      <c r="AH342" s="54"/>
      <c r="AI342" s="54"/>
    </row>
    <row r="343" spans="18:35" x14ac:dyDescent="0.2">
      <c r="R343" s="54"/>
      <c r="S343" s="54"/>
      <c r="T343" s="54"/>
      <c r="W343" s="54"/>
      <c r="X343" s="54"/>
      <c r="Y343" s="54"/>
      <c r="AB343" s="54"/>
      <c r="AC343" s="54"/>
      <c r="AD343" s="54"/>
      <c r="AG343" s="54"/>
      <c r="AH343" s="54"/>
      <c r="AI343" s="54"/>
    </row>
    <row r="344" spans="18:35" x14ac:dyDescent="0.2">
      <c r="R344" s="54"/>
      <c r="S344" s="54"/>
      <c r="T344" s="54"/>
      <c r="W344" s="54"/>
      <c r="X344" s="54"/>
      <c r="Y344" s="54"/>
      <c r="AB344" s="54"/>
      <c r="AC344" s="54"/>
      <c r="AD344" s="54"/>
      <c r="AG344" s="54"/>
      <c r="AH344" s="54"/>
      <c r="AI344" s="54"/>
    </row>
    <row r="345" spans="18:35" x14ac:dyDescent="0.2">
      <c r="R345" s="54"/>
      <c r="S345" s="54"/>
      <c r="T345" s="54"/>
      <c r="W345" s="54"/>
      <c r="X345" s="54"/>
      <c r="Y345" s="54"/>
      <c r="AB345" s="54"/>
      <c r="AC345" s="54"/>
      <c r="AD345" s="54"/>
      <c r="AG345" s="54"/>
      <c r="AH345" s="54"/>
      <c r="AI345" s="54"/>
    </row>
    <row r="346" spans="18:35" x14ac:dyDescent="0.2">
      <c r="R346" s="54"/>
      <c r="S346" s="54"/>
      <c r="T346" s="54"/>
      <c r="W346" s="54"/>
      <c r="X346" s="54"/>
      <c r="Y346" s="54"/>
      <c r="AB346" s="54"/>
      <c r="AC346" s="54"/>
      <c r="AD346" s="54"/>
      <c r="AG346" s="54"/>
      <c r="AH346" s="54"/>
      <c r="AI346" s="54"/>
    </row>
    <row r="347" spans="18:35" x14ac:dyDescent="0.2">
      <c r="R347" s="54"/>
      <c r="S347" s="54"/>
      <c r="T347" s="54"/>
      <c r="W347" s="54"/>
      <c r="X347" s="54"/>
      <c r="Y347" s="54"/>
      <c r="AB347" s="54"/>
      <c r="AC347" s="54"/>
      <c r="AD347" s="54"/>
      <c r="AG347" s="54"/>
      <c r="AH347" s="54"/>
      <c r="AI347" s="54"/>
    </row>
    <row r="348" spans="18:35" x14ac:dyDescent="0.2">
      <c r="R348" s="54"/>
      <c r="S348" s="54"/>
      <c r="T348" s="54"/>
      <c r="W348" s="54"/>
      <c r="X348" s="54"/>
      <c r="Y348" s="54"/>
      <c r="AB348" s="54"/>
      <c r="AC348" s="54"/>
      <c r="AD348" s="54"/>
      <c r="AG348" s="54"/>
      <c r="AH348" s="54"/>
      <c r="AI348" s="54"/>
    </row>
    <row r="349" spans="18:35" x14ac:dyDescent="0.2">
      <c r="R349" s="54"/>
      <c r="S349" s="54"/>
      <c r="T349" s="54"/>
      <c r="W349" s="54"/>
      <c r="X349" s="54"/>
      <c r="Y349" s="54"/>
      <c r="AB349" s="54"/>
      <c r="AC349" s="54"/>
      <c r="AD349" s="54"/>
      <c r="AG349" s="54"/>
      <c r="AH349" s="54"/>
      <c r="AI349" s="54"/>
    </row>
    <row r="350" spans="18:35" x14ac:dyDescent="0.2">
      <c r="R350" s="54"/>
      <c r="S350" s="54"/>
      <c r="T350" s="54"/>
      <c r="W350" s="54"/>
      <c r="X350" s="54"/>
      <c r="Y350" s="54"/>
      <c r="AB350" s="54"/>
      <c r="AC350" s="54"/>
      <c r="AD350" s="54"/>
      <c r="AG350" s="54"/>
      <c r="AH350" s="54"/>
      <c r="AI350" s="54"/>
    </row>
    <row r="351" spans="18:35" x14ac:dyDescent="0.2">
      <c r="R351" s="54"/>
      <c r="S351" s="54"/>
      <c r="T351" s="54"/>
      <c r="W351" s="54"/>
      <c r="X351" s="54"/>
      <c r="Y351" s="54"/>
      <c r="AB351" s="54"/>
      <c r="AC351" s="54"/>
      <c r="AD351" s="54"/>
      <c r="AG351" s="54"/>
      <c r="AH351" s="54"/>
      <c r="AI351" s="54"/>
    </row>
    <row r="352" spans="18:35" x14ac:dyDescent="0.2">
      <c r="R352" s="54"/>
      <c r="S352" s="54"/>
      <c r="T352" s="54"/>
      <c r="W352" s="54"/>
      <c r="X352" s="54"/>
      <c r="Y352" s="54"/>
      <c r="AB352" s="54"/>
      <c r="AC352" s="54"/>
      <c r="AD352" s="54"/>
      <c r="AG352" s="54"/>
      <c r="AH352" s="54"/>
      <c r="AI352" s="54"/>
    </row>
    <row r="353" spans="18:35" x14ac:dyDescent="0.2">
      <c r="R353" s="54"/>
      <c r="S353" s="54"/>
      <c r="T353" s="54"/>
      <c r="W353" s="54"/>
      <c r="X353" s="54"/>
      <c r="Y353" s="54"/>
      <c r="AB353" s="54"/>
      <c r="AC353" s="54"/>
      <c r="AD353" s="54"/>
      <c r="AG353" s="54"/>
      <c r="AH353" s="54"/>
      <c r="AI353" s="54"/>
    </row>
    <row r="354" spans="18:35" x14ac:dyDescent="0.2">
      <c r="R354" s="54"/>
      <c r="S354" s="54"/>
      <c r="T354" s="54"/>
      <c r="W354" s="54"/>
      <c r="X354" s="54"/>
      <c r="Y354" s="54"/>
      <c r="AB354" s="54"/>
      <c r="AC354" s="54"/>
      <c r="AD354" s="54"/>
      <c r="AG354" s="54"/>
      <c r="AH354" s="54"/>
      <c r="AI354" s="54"/>
    </row>
    <row r="355" spans="18:35" x14ac:dyDescent="0.2">
      <c r="R355" s="54"/>
      <c r="S355" s="54"/>
      <c r="T355" s="54"/>
      <c r="W355" s="54"/>
      <c r="X355" s="54"/>
      <c r="Y355" s="54"/>
      <c r="AB355" s="54"/>
      <c r="AC355" s="54"/>
      <c r="AD355" s="54"/>
      <c r="AG355" s="54"/>
      <c r="AH355" s="54"/>
      <c r="AI355" s="54"/>
    </row>
    <row r="356" spans="18:35" x14ac:dyDescent="0.2">
      <c r="R356" s="54"/>
      <c r="S356" s="54"/>
      <c r="T356" s="54"/>
      <c r="W356" s="54"/>
      <c r="X356" s="54"/>
      <c r="Y356" s="54"/>
      <c r="AB356" s="54"/>
      <c r="AC356" s="54"/>
      <c r="AD356" s="54"/>
      <c r="AG356" s="54"/>
      <c r="AH356" s="54"/>
      <c r="AI356" s="54"/>
    </row>
    <row r="357" spans="18:35" x14ac:dyDescent="0.2">
      <c r="R357" s="54"/>
      <c r="S357" s="54"/>
      <c r="T357" s="54"/>
      <c r="W357" s="54"/>
      <c r="X357" s="54"/>
      <c r="Y357" s="54"/>
      <c r="AB357" s="54"/>
      <c r="AC357" s="54"/>
      <c r="AD357" s="54"/>
      <c r="AG357" s="54"/>
      <c r="AH357" s="54"/>
      <c r="AI357" s="54"/>
    </row>
    <row r="358" spans="18:35" x14ac:dyDescent="0.2">
      <c r="R358" s="54"/>
      <c r="S358" s="54"/>
      <c r="T358" s="54"/>
      <c r="W358" s="54"/>
      <c r="X358" s="54"/>
      <c r="Y358" s="54"/>
      <c r="AB358" s="54"/>
      <c r="AC358" s="54"/>
      <c r="AD358" s="54"/>
      <c r="AG358" s="54"/>
      <c r="AH358" s="54"/>
      <c r="AI358" s="54"/>
    </row>
    <row r="359" spans="18:35" x14ac:dyDescent="0.2">
      <c r="R359" s="54"/>
      <c r="S359" s="54"/>
      <c r="T359" s="54"/>
      <c r="W359" s="54"/>
      <c r="X359" s="54"/>
      <c r="Y359" s="54"/>
      <c r="AB359" s="54"/>
      <c r="AC359" s="54"/>
      <c r="AD359" s="54"/>
      <c r="AG359" s="54"/>
      <c r="AH359" s="54"/>
      <c r="AI359" s="54"/>
    </row>
    <row r="360" spans="18:35" x14ac:dyDescent="0.2">
      <c r="R360" s="54"/>
      <c r="S360" s="54"/>
      <c r="T360" s="54"/>
      <c r="W360" s="54"/>
      <c r="X360" s="54"/>
      <c r="Y360" s="54"/>
      <c r="AB360" s="54"/>
      <c r="AC360" s="54"/>
      <c r="AD360" s="54"/>
      <c r="AG360" s="54"/>
      <c r="AH360" s="54"/>
      <c r="AI360" s="54"/>
    </row>
    <row r="361" spans="18:35" x14ac:dyDescent="0.2">
      <c r="R361" s="54"/>
      <c r="S361" s="54"/>
      <c r="T361" s="54"/>
      <c r="W361" s="54"/>
      <c r="X361" s="54"/>
      <c r="Y361" s="54"/>
      <c r="AB361" s="54"/>
      <c r="AC361" s="54"/>
      <c r="AD361" s="54"/>
      <c r="AG361" s="54"/>
      <c r="AH361" s="54"/>
      <c r="AI361" s="54"/>
    </row>
    <row r="362" spans="18:35" x14ac:dyDescent="0.2">
      <c r="R362" s="54"/>
      <c r="S362" s="54"/>
      <c r="T362" s="54"/>
      <c r="W362" s="54"/>
      <c r="X362" s="54"/>
      <c r="Y362" s="54"/>
      <c r="AB362" s="54"/>
      <c r="AC362" s="54"/>
      <c r="AD362" s="54"/>
      <c r="AG362" s="54"/>
      <c r="AH362" s="54"/>
      <c r="AI362" s="54"/>
    </row>
    <row r="363" spans="18:35" x14ac:dyDescent="0.2">
      <c r="R363" s="54"/>
      <c r="S363" s="54"/>
      <c r="T363" s="54"/>
      <c r="W363" s="54"/>
      <c r="X363" s="54"/>
      <c r="Y363" s="54"/>
      <c r="AB363" s="54"/>
      <c r="AC363" s="54"/>
      <c r="AD363" s="54"/>
      <c r="AG363" s="54"/>
      <c r="AH363" s="54"/>
      <c r="AI363" s="54"/>
    </row>
    <row r="364" spans="18:35" x14ac:dyDescent="0.2">
      <c r="R364" s="54"/>
      <c r="S364" s="54"/>
      <c r="T364" s="54"/>
      <c r="W364" s="54"/>
      <c r="X364" s="54"/>
      <c r="Y364" s="54"/>
      <c r="AB364" s="54"/>
      <c r="AC364" s="54"/>
      <c r="AD364" s="54"/>
      <c r="AG364" s="54"/>
      <c r="AH364" s="54"/>
      <c r="AI364" s="54"/>
    </row>
    <row r="365" spans="18:35" x14ac:dyDescent="0.2">
      <c r="R365" s="54"/>
      <c r="S365" s="54"/>
      <c r="T365" s="54"/>
      <c r="W365" s="54"/>
      <c r="X365" s="54"/>
      <c r="Y365" s="54"/>
      <c r="AB365" s="54"/>
      <c r="AC365" s="54"/>
      <c r="AD365" s="54"/>
      <c r="AG365" s="54"/>
      <c r="AH365" s="54"/>
      <c r="AI365" s="54"/>
    </row>
    <row r="366" spans="18:35" x14ac:dyDescent="0.2">
      <c r="R366" s="54"/>
      <c r="S366" s="54"/>
      <c r="T366" s="54"/>
      <c r="W366" s="54"/>
      <c r="X366" s="54"/>
      <c r="Y366" s="54"/>
      <c r="AB366" s="54"/>
      <c r="AC366" s="54"/>
      <c r="AD366" s="54"/>
      <c r="AG366" s="54"/>
      <c r="AH366" s="54"/>
      <c r="AI366" s="54"/>
    </row>
    <row r="367" spans="18:35" x14ac:dyDescent="0.2">
      <c r="R367" s="54"/>
      <c r="S367" s="54"/>
      <c r="T367" s="54"/>
      <c r="W367" s="54"/>
      <c r="X367" s="54"/>
      <c r="Y367" s="54"/>
      <c r="AB367" s="54"/>
      <c r="AC367" s="54"/>
      <c r="AD367" s="54"/>
      <c r="AG367" s="54"/>
      <c r="AH367" s="54"/>
      <c r="AI367" s="54"/>
    </row>
    <row r="368" spans="18:35" x14ac:dyDescent="0.2">
      <c r="R368" s="54"/>
      <c r="S368" s="54"/>
      <c r="T368" s="54"/>
      <c r="W368" s="54"/>
      <c r="X368" s="54"/>
      <c r="Y368" s="54"/>
      <c r="AB368" s="54"/>
      <c r="AC368" s="54"/>
      <c r="AD368" s="54"/>
      <c r="AG368" s="54"/>
      <c r="AH368" s="54"/>
      <c r="AI368" s="54"/>
    </row>
    <row r="369" spans="18:35" x14ac:dyDescent="0.2">
      <c r="R369" s="54"/>
      <c r="S369" s="54"/>
      <c r="T369" s="54"/>
      <c r="W369" s="54"/>
      <c r="X369" s="54"/>
      <c r="Y369" s="54"/>
      <c r="AB369" s="54"/>
      <c r="AC369" s="54"/>
      <c r="AD369" s="54"/>
      <c r="AG369" s="54"/>
      <c r="AH369" s="54"/>
      <c r="AI369" s="54"/>
    </row>
    <row r="370" spans="18:35" x14ac:dyDescent="0.2">
      <c r="R370" s="54"/>
      <c r="S370" s="54"/>
      <c r="T370" s="54"/>
      <c r="W370" s="54"/>
      <c r="X370" s="54"/>
      <c r="Y370" s="54"/>
      <c r="AB370" s="54"/>
      <c r="AC370" s="54"/>
      <c r="AD370" s="54"/>
      <c r="AG370" s="54"/>
      <c r="AH370" s="54"/>
      <c r="AI370" s="54"/>
    </row>
    <row r="371" spans="18:35" x14ac:dyDescent="0.2">
      <c r="R371" s="54"/>
      <c r="S371" s="54"/>
      <c r="T371" s="54"/>
      <c r="W371" s="54"/>
      <c r="X371" s="54"/>
      <c r="Y371" s="54"/>
      <c r="AB371" s="54"/>
      <c r="AC371" s="54"/>
      <c r="AD371" s="54"/>
      <c r="AG371" s="54"/>
      <c r="AH371" s="54"/>
      <c r="AI371" s="54"/>
    </row>
    <row r="372" spans="18:35" x14ac:dyDescent="0.2">
      <c r="R372" s="54"/>
      <c r="S372" s="54"/>
      <c r="T372" s="54"/>
      <c r="W372" s="54"/>
      <c r="X372" s="54"/>
      <c r="Y372" s="54"/>
      <c r="AB372" s="54"/>
      <c r="AC372" s="54"/>
      <c r="AD372" s="54"/>
      <c r="AG372" s="54"/>
      <c r="AH372" s="54"/>
      <c r="AI372" s="54"/>
    </row>
    <row r="373" spans="18:35" x14ac:dyDescent="0.2">
      <c r="R373" s="54"/>
      <c r="S373" s="54"/>
      <c r="T373" s="54"/>
      <c r="W373" s="54"/>
      <c r="X373" s="54"/>
      <c r="Y373" s="54"/>
      <c r="AB373" s="54"/>
      <c r="AC373" s="54"/>
      <c r="AD373" s="54"/>
      <c r="AG373" s="54"/>
      <c r="AH373" s="54"/>
      <c r="AI373" s="54"/>
    </row>
    <row r="374" spans="18:35" x14ac:dyDescent="0.2">
      <c r="R374" s="54"/>
      <c r="S374" s="54"/>
      <c r="T374" s="54"/>
      <c r="W374" s="54"/>
      <c r="X374" s="54"/>
      <c r="Y374" s="54"/>
      <c r="AB374" s="54"/>
      <c r="AC374" s="54"/>
      <c r="AD374" s="54"/>
      <c r="AG374" s="54"/>
      <c r="AH374" s="54"/>
      <c r="AI374" s="54"/>
    </row>
    <row r="375" spans="18:35" x14ac:dyDescent="0.2">
      <c r="R375" s="54"/>
      <c r="S375" s="54"/>
      <c r="T375" s="54"/>
      <c r="W375" s="54"/>
      <c r="X375" s="54"/>
      <c r="Y375" s="54"/>
      <c r="AB375" s="54"/>
      <c r="AC375" s="54"/>
      <c r="AD375" s="54"/>
      <c r="AG375" s="54"/>
      <c r="AH375" s="54"/>
      <c r="AI375" s="54"/>
    </row>
    <row r="376" spans="18:35" x14ac:dyDescent="0.2">
      <c r="R376" s="54"/>
      <c r="S376" s="54"/>
      <c r="T376" s="54"/>
      <c r="W376" s="54"/>
      <c r="X376" s="54"/>
      <c r="Y376" s="54"/>
      <c r="AB376" s="54"/>
      <c r="AC376" s="54"/>
      <c r="AD376" s="54"/>
      <c r="AG376" s="54"/>
      <c r="AH376" s="54"/>
      <c r="AI376" s="54"/>
    </row>
    <row r="377" spans="18:35" x14ac:dyDescent="0.2">
      <c r="R377" s="54"/>
      <c r="S377" s="54"/>
      <c r="T377" s="54"/>
      <c r="W377" s="54"/>
      <c r="X377" s="54"/>
      <c r="Y377" s="54"/>
      <c r="AB377" s="54"/>
      <c r="AC377" s="54"/>
      <c r="AD377" s="54"/>
      <c r="AG377" s="54"/>
      <c r="AH377" s="54"/>
      <c r="AI377" s="54"/>
    </row>
    <row r="378" spans="18:35" x14ac:dyDescent="0.2">
      <c r="R378" s="54"/>
      <c r="S378" s="54"/>
      <c r="T378" s="54"/>
      <c r="W378" s="54"/>
      <c r="X378" s="54"/>
      <c r="Y378" s="54"/>
      <c r="AB378" s="54"/>
      <c r="AC378" s="54"/>
      <c r="AD378" s="54"/>
      <c r="AG378" s="54"/>
      <c r="AH378" s="54"/>
      <c r="AI378" s="54"/>
    </row>
    <row r="379" spans="18:35" x14ac:dyDescent="0.2">
      <c r="R379" s="54"/>
      <c r="S379" s="54"/>
      <c r="T379" s="54"/>
      <c r="W379" s="54"/>
      <c r="X379" s="54"/>
      <c r="Y379" s="54"/>
      <c r="AB379" s="54"/>
      <c r="AC379" s="54"/>
      <c r="AD379" s="54"/>
      <c r="AG379" s="54"/>
      <c r="AH379" s="54"/>
      <c r="AI379" s="54"/>
    </row>
    <row r="380" spans="18:35" x14ac:dyDescent="0.2">
      <c r="R380" s="54"/>
      <c r="S380" s="54"/>
      <c r="T380" s="54"/>
      <c r="W380" s="54"/>
      <c r="X380" s="54"/>
      <c r="Y380" s="54"/>
      <c r="AB380" s="54"/>
      <c r="AC380" s="54"/>
      <c r="AD380" s="54"/>
      <c r="AG380" s="54"/>
      <c r="AH380" s="54"/>
      <c r="AI380" s="54"/>
    </row>
    <row r="381" spans="18:35" x14ac:dyDescent="0.2">
      <c r="R381" s="54"/>
      <c r="S381" s="54"/>
      <c r="T381" s="54"/>
      <c r="W381" s="54"/>
      <c r="X381" s="54"/>
      <c r="Y381" s="54"/>
      <c r="AB381" s="54"/>
      <c r="AC381" s="54"/>
      <c r="AD381" s="54"/>
      <c r="AG381" s="54"/>
      <c r="AH381" s="54"/>
      <c r="AI381" s="54"/>
    </row>
    <row r="382" spans="18:35" x14ac:dyDescent="0.2">
      <c r="R382" s="54"/>
      <c r="S382" s="54"/>
      <c r="T382" s="54"/>
      <c r="W382" s="54"/>
      <c r="X382" s="54"/>
      <c r="Y382" s="54"/>
      <c r="AB382" s="54"/>
      <c r="AC382" s="54"/>
      <c r="AD382" s="54"/>
      <c r="AG382" s="54"/>
      <c r="AH382" s="54"/>
      <c r="AI382" s="54"/>
    </row>
    <row r="383" spans="18:35" x14ac:dyDescent="0.2">
      <c r="R383" s="54"/>
      <c r="S383" s="54"/>
      <c r="T383" s="54"/>
      <c r="W383" s="54"/>
      <c r="X383" s="54"/>
      <c r="Y383" s="54"/>
      <c r="AB383" s="54"/>
      <c r="AC383" s="54"/>
      <c r="AD383" s="54"/>
      <c r="AG383" s="54"/>
      <c r="AH383" s="54"/>
      <c r="AI383" s="54"/>
    </row>
    <row r="384" spans="18:35" x14ac:dyDescent="0.2">
      <c r="R384" s="54"/>
      <c r="S384" s="54"/>
      <c r="T384" s="54"/>
      <c r="W384" s="54"/>
      <c r="X384" s="54"/>
      <c r="Y384" s="54"/>
      <c r="AB384" s="54"/>
      <c r="AC384" s="54"/>
      <c r="AD384" s="54"/>
      <c r="AG384" s="54"/>
      <c r="AH384" s="54"/>
      <c r="AI384" s="54"/>
    </row>
    <row r="385" spans="18:35" x14ac:dyDescent="0.2">
      <c r="R385" s="54"/>
      <c r="S385" s="54"/>
      <c r="T385" s="54"/>
      <c r="W385" s="54"/>
      <c r="X385" s="54"/>
      <c r="Y385" s="54"/>
      <c r="AB385" s="54"/>
      <c r="AC385" s="54"/>
      <c r="AD385" s="54"/>
      <c r="AG385" s="54"/>
      <c r="AH385" s="54"/>
      <c r="AI385" s="54"/>
    </row>
    <row r="386" spans="18:35" x14ac:dyDescent="0.2">
      <c r="R386" s="54"/>
      <c r="S386" s="54"/>
      <c r="T386" s="54"/>
      <c r="W386" s="54"/>
      <c r="X386" s="54"/>
      <c r="Y386" s="54"/>
      <c r="AB386" s="54"/>
      <c r="AC386" s="54"/>
      <c r="AD386" s="54"/>
      <c r="AG386" s="54"/>
      <c r="AH386" s="54"/>
      <c r="AI386" s="54"/>
    </row>
    <row r="387" spans="18:35" x14ac:dyDescent="0.2">
      <c r="R387" s="54"/>
      <c r="S387" s="54"/>
      <c r="T387" s="54"/>
      <c r="W387" s="54"/>
      <c r="X387" s="54"/>
      <c r="Y387" s="54"/>
      <c r="AB387" s="54"/>
      <c r="AC387" s="54"/>
      <c r="AD387" s="54"/>
      <c r="AG387" s="54"/>
      <c r="AH387" s="54"/>
      <c r="AI387" s="54"/>
    </row>
    <row r="388" spans="18:35" x14ac:dyDescent="0.2">
      <c r="R388" s="54"/>
      <c r="S388" s="54"/>
      <c r="T388" s="54"/>
      <c r="W388" s="54"/>
      <c r="X388" s="54"/>
      <c r="Y388" s="54"/>
      <c r="AB388" s="54"/>
      <c r="AC388" s="54"/>
      <c r="AD388" s="54"/>
      <c r="AG388" s="54"/>
      <c r="AH388" s="54"/>
      <c r="AI388" s="54"/>
    </row>
    <row r="389" spans="18:35" x14ac:dyDescent="0.2">
      <c r="R389" s="54"/>
      <c r="S389" s="54"/>
      <c r="T389" s="54"/>
      <c r="W389" s="54"/>
      <c r="X389" s="54"/>
      <c r="Y389" s="54"/>
      <c r="AB389" s="54"/>
      <c r="AC389" s="54"/>
      <c r="AD389" s="54"/>
      <c r="AG389" s="54"/>
      <c r="AH389" s="54"/>
      <c r="AI389" s="54"/>
    </row>
    <row r="390" spans="18:35" x14ac:dyDescent="0.2">
      <c r="R390" s="54"/>
      <c r="S390" s="54"/>
      <c r="T390" s="54"/>
      <c r="W390" s="54"/>
      <c r="X390" s="54"/>
      <c r="Y390" s="54"/>
      <c r="AB390" s="54"/>
      <c r="AC390" s="54"/>
      <c r="AD390" s="54"/>
      <c r="AG390" s="54"/>
      <c r="AH390" s="54"/>
      <c r="AI390" s="54"/>
    </row>
    <row r="391" spans="18:35" x14ac:dyDescent="0.2">
      <c r="R391" s="54"/>
      <c r="S391" s="54"/>
      <c r="T391" s="54"/>
      <c r="W391" s="54"/>
      <c r="X391" s="54"/>
      <c r="Y391" s="54"/>
      <c r="AB391" s="54"/>
      <c r="AC391" s="54"/>
      <c r="AD391" s="54"/>
      <c r="AG391" s="54"/>
      <c r="AH391" s="54"/>
      <c r="AI391" s="54"/>
    </row>
    <row r="392" spans="18:35" x14ac:dyDescent="0.2">
      <c r="R392" s="54"/>
      <c r="S392" s="54"/>
      <c r="T392" s="54"/>
      <c r="W392" s="54"/>
      <c r="X392" s="54"/>
      <c r="Y392" s="54"/>
      <c r="AB392" s="54"/>
      <c r="AC392" s="54"/>
      <c r="AD392" s="54"/>
      <c r="AG392" s="54"/>
      <c r="AH392" s="54"/>
      <c r="AI392" s="54"/>
    </row>
    <row r="393" spans="18:35" x14ac:dyDescent="0.2">
      <c r="R393" s="54"/>
      <c r="S393" s="54"/>
      <c r="T393" s="54"/>
      <c r="W393" s="54"/>
      <c r="X393" s="54"/>
      <c r="Y393" s="54"/>
      <c r="AB393" s="54"/>
      <c r="AC393" s="54"/>
      <c r="AD393" s="54"/>
      <c r="AG393" s="54"/>
      <c r="AH393" s="54"/>
      <c r="AI393" s="54"/>
    </row>
    <row r="394" spans="18:35" x14ac:dyDescent="0.2">
      <c r="R394" s="54"/>
      <c r="S394" s="54"/>
      <c r="T394" s="54"/>
      <c r="W394" s="54"/>
      <c r="X394" s="54"/>
      <c r="Y394" s="54"/>
      <c r="AB394" s="54"/>
      <c r="AC394" s="54"/>
      <c r="AD394" s="54"/>
      <c r="AG394" s="54"/>
      <c r="AH394" s="54"/>
      <c r="AI394" s="54"/>
    </row>
    <row r="395" spans="18:35" x14ac:dyDescent="0.2">
      <c r="R395" s="54"/>
      <c r="S395" s="54"/>
      <c r="T395" s="54"/>
      <c r="W395" s="54"/>
      <c r="X395" s="54"/>
      <c r="Y395" s="54"/>
      <c r="AB395" s="54"/>
      <c r="AC395" s="54"/>
      <c r="AD395" s="54"/>
      <c r="AG395" s="54"/>
      <c r="AH395" s="54"/>
      <c r="AI395" s="54"/>
    </row>
    <row r="396" spans="18:35" x14ac:dyDescent="0.2">
      <c r="R396" s="54"/>
      <c r="S396" s="54"/>
      <c r="T396" s="54"/>
      <c r="W396" s="54"/>
      <c r="X396" s="54"/>
      <c r="Y396" s="54"/>
      <c r="AB396" s="54"/>
      <c r="AC396" s="54"/>
      <c r="AD396" s="54"/>
      <c r="AG396" s="54"/>
      <c r="AH396" s="54"/>
      <c r="AI396" s="54"/>
    </row>
    <row r="397" spans="18:35" x14ac:dyDescent="0.2">
      <c r="R397" s="54"/>
      <c r="S397" s="54"/>
      <c r="T397" s="54"/>
      <c r="W397" s="54"/>
      <c r="X397" s="54"/>
      <c r="Y397" s="54"/>
      <c r="AB397" s="54"/>
      <c r="AC397" s="54"/>
      <c r="AD397" s="54"/>
      <c r="AG397" s="54"/>
      <c r="AH397" s="54"/>
      <c r="AI397" s="54"/>
    </row>
    <row r="398" spans="18:35" x14ac:dyDescent="0.2">
      <c r="R398" s="54"/>
      <c r="S398" s="54"/>
      <c r="T398" s="54"/>
      <c r="W398" s="54"/>
      <c r="X398" s="54"/>
      <c r="Y398" s="54"/>
      <c r="AB398" s="54"/>
      <c r="AC398" s="54"/>
      <c r="AD398" s="54"/>
      <c r="AG398" s="54"/>
      <c r="AH398" s="54"/>
      <c r="AI398" s="54"/>
    </row>
    <row r="399" spans="18:35" x14ac:dyDescent="0.2">
      <c r="R399" s="54"/>
      <c r="S399" s="54"/>
      <c r="T399" s="54"/>
      <c r="W399" s="54"/>
      <c r="X399" s="54"/>
      <c r="Y399" s="54"/>
      <c r="AB399" s="54"/>
      <c r="AC399" s="54"/>
      <c r="AD399" s="54"/>
      <c r="AG399" s="54"/>
      <c r="AH399" s="54"/>
      <c r="AI399" s="54"/>
    </row>
    <row r="400" spans="18:35" x14ac:dyDescent="0.2">
      <c r="R400" s="54"/>
      <c r="S400" s="54"/>
      <c r="T400" s="54"/>
      <c r="W400" s="54"/>
      <c r="X400" s="54"/>
      <c r="Y400" s="54"/>
      <c r="AB400" s="54"/>
      <c r="AC400" s="54"/>
      <c r="AD400" s="54"/>
      <c r="AG400" s="54"/>
      <c r="AH400" s="54"/>
      <c r="AI400" s="54"/>
    </row>
    <row r="401" spans="18:35" x14ac:dyDescent="0.2">
      <c r="R401" s="54"/>
      <c r="S401" s="54"/>
      <c r="T401" s="54"/>
      <c r="W401" s="54"/>
      <c r="X401" s="54"/>
      <c r="Y401" s="54"/>
      <c r="AB401" s="54"/>
      <c r="AC401" s="54"/>
      <c r="AD401" s="54"/>
      <c r="AG401" s="54"/>
      <c r="AH401" s="54"/>
      <c r="AI401" s="54"/>
    </row>
    <row r="402" spans="18:35" x14ac:dyDescent="0.2">
      <c r="R402" s="54"/>
      <c r="S402" s="54"/>
      <c r="T402" s="54"/>
      <c r="W402" s="54"/>
      <c r="X402" s="54"/>
      <c r="Y402" s="54"/>
      <c r="AB402" s="54"/>
      <c r="AC402" s="54"/>
      <c r="AD402" s="54"/>
      <c r="AG402" s="54"/>
      <c r="AH402" s="54"/>
      <c r="AI402" s="54"/>
    </row>
    <row r="403" spans="18:35" x14ac:dyDescent="0.2">
      <c r="R403" s="54"/>
      <c r="S403" s="54"/>
      <c r="T403" s="54"/>
      <c r="W403" s="54"/>
      <c r="X403" s="54"/>
      <c r="Y403" s="54"/>
      <c r="AB403" s="54"/>
      <c r="AC403" s="54"/>
      <c r="AD403" s="54"/>
      <c r="AG403" s="54"/>
      <c r="AH403" s="54"/>
      <c r="AI403" s="54"/>
    </row>
    <row r="404" spans="18:35" x14ac:dyDescent="0.2">
      <c r="R404" s="54"/>
      <c r="S404" s="54"/>
      <c r="T404" s="54"/>
      <c r="W404" s="54"/>
      <c r="X404" s="54"/>
      <c r="Y404" s="54"/>
      <c r="AB404" s="54"/>
      <c r="AC404" s="54"/>
      <c r="AD404" s="54"/>
      <c r="AG404" s="54"/>
      <c r="AH404" s="54"/>
      <c r="AI404" s="54"/>
    </row>
    <row r="405" spans="18:35" x14ac:dyDescent="0.2">
      <c r="R405" s="54"/>
      <c r="S405" s="54"/>
      <c r="T405" s="54"/>
      <c r="W405" s="54"/>
      <c r="X405" s="54"/>
      <c r="Y405" s="54"/>
      <c r="AB405" s="54"/>
      <c r="AC405" s="54"/>
      <c r="AD405" s="54"/>
      <c r="AG405" s="54"/>
      <c r="AH405" s="54"/>
      <c r="AI405" s="54"/>
    </row>
    <row r="406" spans="18:35" x14ac:dyDescent="0.2">
      <c r="R406" s="54"/>
      <c r="S406" s="54"/>
      <c r="T406" s="54"/>
      <c r="W406" s="54"/>
      <c r="X406" s="54"/>
      <c r="Y406" s="54"/>
      <c r="AB406" s="54"/>
      <c r="AC406" s="54"/>
      <c r="AD406" s="54"/>
      <c r="AG406" s="54"/>
      <c r="AH406" s="54"/>
      <c r="AI406" s="54"/>
    </row>
    <row r="407" spans="18:35" x14ac:dyDescent="0.2">
      <c r="R407" s="54"/>
      <c r="S407" s="54"/>
      <c r="T407" s="54"/>
      <c r="W407" s="54"/>
      <c r="X407" s="54"/>
      <c r="Y407" s="54"/>
      <c r="AB407" s="54"/>
      <c r="AC407" s="54"/>
      <c r="AD407" s="54"/>
      <c r="AG407" s="54"/>
      <c r="AH407" s="54"/>
      <c r="AI407" s="54"/>
    </row>
    <row r="408" spans="18:35" x14ac:dyDescent="0.2">
      <c r="R408" s="54"/>
      <c r="S408" s="54"/>
      <c r="T408" s="54"/>
      <c r="W408" s="54"/>
      <c r="X408" s="54"/>
      <c r="Y408" s="54"/>
      <c r="AB408" s="54"/>
      <c r="AC408" s="54"/>
      <c r="AD408" s="54"/>
      <c r="AG408" s="54"/>
      <c r="AH408" s="54"/>
      <c r="AI408" s="54"/>
    </row>
    <row r="409" spans="18:35" x14ac:dyDescent="0.2">
      <c r="R409" s="54"/>
      <c r="S409" s="54"/>
      <c r="T409" s="54"/>
      <c r="W409" s="54"/>
      <c r="X409" s="54"/>
      <c r="Y409" s="54"/>
      <c r="AB409" s="54"/>
      <c r="AC409" s="54"/>
      <c r="AD409" s="54"/>
      <c r="AG409" s="54"/>
      <c r="AH409" s="54"/>
      <c r="AI409" s="54"/>
    </row>
    <row r="410" spans="18:35" x14ac:dyDescent="0.2">
      <c r="R410" s="54"/>
      <c r="S410" s="54"/>
      <c r="T410" s="54"/>
      <c r="W410" s="54"/>
      <c r="X410" s="54"/>
      <c r="Y410" s="54"/>
      <c r="AB410" s="54"/>
      <c r="AC410" s="54"/>
      <c r="AD410" s="54"/>
      <c r="AG410" s="54"/>
      <c r="AH410" s="54"/>
      <c r="AI410" s="54"/>
    </row>
    <row r="411" spans="18:35" x14ac:dyDescent="0.2">
      <c r="R411" s="54"/>
      <c r="S411" s="54"/>
      <c r="T411" s="54"/>
      <c r="W411" s="54"/>
      <c r="X411" s="54"/>
      <c r="Y411" s="54"/>
      <c r="AB411" s="54"/>
      <c r="AC411" s="54"/>
      <c r="AD411" s="54"/>
      <c r="AG411" s="54"/>
      <c r="AH411" s="54"/>
      <c r="AI411" s="54"/>
    </row>
    <row r="412" spans="18:35" x14ac:dyDescent="0.2">
      <c r="R412" s="54"/>
      <c r="S412" s="54"/>
      <c r="T412" s="54"/>
      <c r="W412" s="54"/>
      <c r="X412" s="54"/>
      <c r="Y412" s="54"/>
      <c r="AB412" s="54"/>
      <c r="AC412" s="54"/>
      <c r="AD412" s="54"/>
      <c r="AG412" s="54"/>
      <c r="AH412" s="54"/>
      <c r="AI412" s="54"/>
    </row>
    <row r="413" spans="18:35" x14ac:dyDescent="0.2">
      <c r="R413" s="54"/>
      <c r="S413" s="54"/>
      <c r="T413" s="54"/>
      <c r="W413" s="54"/>
      <c r="X413" s="54"/>
      <c r="Y413" s="54"/>
      <c r="AB413" s="54"/>
      <c r="AC413" s="54"/>
      <c r="AD413" s="54"/>
      <c r="AG413" s="54"/>
      <c r="AH413" s="54"/>
      <c r="AI413" s="54"/>
    </row>
    <row r="414" spans="18:35" x14ac:dyDescent="0.2">
      <c r="R414" s="54"/>
      <c r="S414" s="54"/>
      <c r="T414" s="54"/>
      <c r="W414" s="54"/>
      <c r="X414" s="54"/>
      <c r="Y414" s="54"/>
      <c r="AB414" s="54"/>
      <c r="AC414" s="54"/>
      <c r="AD414" s="54"/>
      <c r="AG414" s="54"/>
      <c r="AH414" s="54"/>
      <c r="AI414" s="54"/>
    </row>
    <row r="415" spans="18:35" x14ac:dyDescent="0.2">
      <c r="R415" s="54"/>
      <c r="S415" s="54"/>
      <c r="T415" s="54"/>
      <c r="W415" s="54"/>
      <c r="X415" s="54"/>
      <c r="Y415" s="54"/>
      <c r="AB415" s="54"/>
      <c r="AC415" s="54"/>
      <c r="AD415" s="54"/>
      <c r="AG415" s="54"/>
      <c r="AH415" s="54"/>
      <c r="AI415" s="54"/>
    </row>
    <row r="416" spans="18:35" x14ac:dyDescent="0.2">
      <c r="R416" s="54"/>
      <c r="S416" s="54"/>
      <c r="T416" s="54"/>
      <c r="W416" s="54"/>
      <c r="X416" s="54"/>
      <c r="Y416" s="54"/>
      <c r="AB416" s="54"/>
      <c r="AC416" s="54"/>
      <c r="AD416" s="54"/>
      <c r="AG416" s="54"/>
      <c r="AH416" s="54"/>
      <c r="AI416" s="54"/>
    </row>
    <row r="417" spans="18:35" x14ac:dyDescent="0.2">
      <c r="R417" s="54"/>
      <c r="S417" s="54"/>
      <c r="T417" s="54"/>
      <c r="W417" s="54"/>
      <c r="X417" s="54"/>
      <c r="Y417" s="54"/>
      <c r="AB417" s="54"/>
      <c r="AC417" s="54"/>
      <c r="AD417" s="54"/>
      <c r="AG417" s="54"/>
      <c r="AH417" s="54"/>
      <c r="AI417" s="54"/>
    </row>
    <row r="418" spans="18:35" x14ac:dyDescent="0.2">
      <c r="R418" s="54"/>
      <c r="S418" s="54"/>
      <c r="T418" s="54"/>
      <c r="W418" s="54"/>
      <c r="X418" s="54"/>
      <c r="Y418" s="54"/>
      <c r="AB418" s="54"/>
      <c r="AC418" s="54"/>
      <c r="AD418" s="54"/>
      <c r="AG418" s="54"/>
      <c r="AH418" s="54"/>
      <c r="AI418" s="54"/>
    </row>
    <row r="419" spans="18:35" x14ac:dyDescent="0.2">
      <c r="R419" s="54"/>
      <c r="S419" s="54"/>
      <c r="T419" s="54"/>
      <c r="W419" s="54"/>
      <c r="X419" s="54"/>
      <c r="Y419" s="54"/>
      <c r="AB419" s="54"/>
      <c r="AC419" s="54"/>
      <c r="AD419" s="54"/>
      <c r="AG419" s="54"/>
      <c r="AH419" s="54"/>
      <c r="AI419" s="54"/>
    </row>
    <row r="420" spans="18:35" x14ac:dyDescent="0.2">
      <c r="R420" s="54"/>
      <c r="S420" s="54"/>
      <c r="T420" s="54"/>
      <c r="W420" s="54"/>
      <c r="X420" s="54"/>
      <c r="Y420" s="54"/>
      <c r="AB420" s="54"/>
      <c r="AC420" s="54"/>
      <c r="AD420" s="54"/>
      <c r="AG420" s="54"/>
      <c r="AH420" s="54"/>
      <c r="AI420" s="54"/>
    </row>
    <row r="421" spans="18:35" x14ac:dyDescent="0.2">
      <c r="R421" s="54"/>
      <c r="S421" s="54"/>
      <c r="T421" s="54"/>
      <c r="W421" s="54"/>
      <c r="X421" s="54"/>
      <c r="Y421" s="54"/>
      <c r="AB421" s="54"/>
      <c r="AC421" s="54"/>
      <c r="AD421" s="54"/>
      <c r="AG421" s="54"/>
      <c r="AH421" s="54"/>
      <c r="AI421" s="54"/>
    </row>
    <row r="422" spans="18:35" x14ac:dyDescent="0.2">
      <c r="R422" s="54"/>
      <c r="S422" s="54"/>
      <c r="T422" s="54"/>
      <c r="W422" s="54"/>
      <c r="X422" s="54"/>
      <c r="Y422" s="54"/>
      <c r="AB422" s="54"/>
      <c r="AC422" s="54"/>
      <c r="AD422" s="54"/>
      <c r="AG422" s="54"/>
      <c r="AH422" s="54"/>
      <c r="AI422" s="54"/>
    </row>
    <row r="423" spans="18:35" x14ac:dyDescent="0.2">
      <c r="R423" s="54"/>
      <c r="S423" s="54"/>
      <c r="T423" s="54"/>
      <c r="W423" s="54"/>
      <c r="X423" s="54"/>
      <c r="Y423" s="54"/>
      <c r="AB423" s="54"/>
      <c r="AC423" s="54"/>
      <c r="AD423" s="54"/>
      <c r="AG423" s="54"/>
      <c r="AH423" s="54"/>
      <c r="AI423" s="54"/>
    </row>
    <row r="424" spans="18:35" x14ac:dyDescent="0.2">
      <c r="R424" s="54"/>
      <c r="S424" s="54"/>
      <c r="T424" s="54"/>
      <c r="W424" s="54"/>
      <c r="X424" s="54"/>
      <c r="Y424" s="54"/>
      <c r="AB424" s="54"/>
      <c r="AC424" s="54"/>
      <c r="AD424" s="54"/>
      <c r="AG424" s="54"/>
      <c r="AH424" s="54"/>
      <c r="AI424" s="54"/>
    </row>
    <row r="425" spans="18:35" x14ac:dyDescent="0.2">
      <c r="R425" s="54"/>
      <c r="S425" s="54"/>
      <c r="T425" s="54"/>
      <c r="W425" s="54"/>
      <c r="X425" s="54"/>
      <c r="Y425" s="54"/>
      <c r="AB425" s="54"/>
      <c r="AC425" s="54"/>
      <c r="AD425" s="54"/>
      <c r="AG425" s="54"/>
      <c r="AH425" s="54"/>
      <c r="AI425" s="54"/>
    </row>
    <row r="426" spans="18:35" x14ac:dyDescent="0.2">
      <c r="R426" s="54"/>
      <c r="S426" s="54"/>
      <c r="T426" s="54"/>
      <c r="W426" s="54"/>
      <c r="X426" s="54"/>
      <c r="Y426" s="54"/>
      <c r="AB426" s="54"/>
      <c r="AC426" s="54"/>
      <c r="AD426" s="54"/>
      <c r="AG426" s="54"/>
      <c r="AH426" s="54"/>
      <c r="AI426" s="54"/>
    </row>
    <row r="427" spans="18:35" x14ac:dyDescent="0.2">
      <c r="R427" s="54"/>
      <c r="S427" s="54"/>
      <c r="T427" s="54"/>
      <c r="W427" s="54"/>
      <c r="X427" s="54"/>
      <c r="Y427" s="54"/>
      <c r="AB427" s="54"/>
      <c r="AC427" s="54"/>
      <c r="AD427" s="54"/>
      <c r="AG427" s="54"/>
      <c r="AH427" s="54"/>
      <c r="AI427" s="54"/>
    </row>
    <row r="428" spans="18:35" x14ac:dyDescent="0.2">
      <c r="R428" s="54"/>
      <c r="S428" s="54"/>
      <c r="T428" s="54"/>
      <c r="W428" s="54"/>
      <c r="X428" s="54"/>
      <c r="Y428" s="54"/>
      <c r="AB428" s="54"/>
      <c r="AC428" s="54"/>
      <c r="AD428" s="54"/>
      <c r="AG428" s="54"/>
      <c r="AH428" s="54"/>
      <c r="AI428" s="54"/>
    </row>
    <row r="429" spans="18:35" x14ac:dyDescent="0.2">
      <c r="R429" s="54"/>
      <c r="S429" s="54"/>
      <c r="T429" s="54"/>
      <c r="W429" s="54"/>
      <c r="X429" s="54"/>
      <c r="Y429" s="54"/>
      <c r="AB429" s="54"/>
      <c r="AC429" s="54"/>
      <c r="AD429" s="54"/>
      <c r="AG429" s="54"/>
      <c r="AH429" s="54"/>
      <c r="AI429" s="54"/>
    </row>
    <row r="430" spans="18:35" x14ac:dyDescent="0.2">
      <c r="R430" s="54"/>
      <c r="S430" s="54"/>
      <c r="T430" s="54"/>
      <c r="W430" s="54"/>
      <c r="X430" s="54"/>
      <c r="Y430" s="54"/>
      <c r="AB430" s="54"/>
      <c r="AC430" s="54"/>
      <c r="AD430" s="54"/>
      <c r="AG430" s="54"/>
      <c r="AH430" s="54"/>
      <c r="AI430" s="54"/>
    </row>
    <row r="431" spans="18:35" x14ac:dyDescent="0.2">
      <c r="R431" s="54"/>
      <c r="S431" s="54"/>
      <c r="T431" s="54"/>
      <c r="W431" s="54"/>
      <c r="X431" s="54"/>
      <c r="Y431" s="54"/>
      <c r="AB431" s="54"/>
      <c r="AC431" s="54"/>
      <c r="AD431" s="54"/>
      <c r="AG431" s="54"/>
      <c r="AH431" s="54"/>
      <c r="AI431" s="54"/>
    </row>
    <row r="432" spans="18:35" x14ac:dyDescent="0.2">
      <c r="R432" s="54"/>
      <c r="S432" s="54"/>
      <c r="T432" s="54"/>
      <c r="W432" s="54"/>
      <c r="X432" s="54"/>
      <c r="Y432" s="54"/>
      <c r="AB432" s="54"/>
      <c r="AC432" s="54"/>
      <c r="AD432" s="54"/>
      <c r="AG432" s="54"/>
      <c r="AH432" s="54"/>
      <c r="AI432" s="54"/>
    </row>
    <row r="433" spans="18:35" x14ac:dyDescent="0.2">
      <c r="R433" s="54"/>
      <c r="S433" s="54"/>
      <c r="T433" s="54"/>
      <c r="W433" s="54"/>
      <c r="X433" s="54"/>
      <c r="Y433" s="54"/>
      <c r="AB433" s="54"/>
      <c r="AC433" s="54"/>
      <c r="AD433" s="54"/>
      <c r="AG433" s="54"/>
      <c r="AH433" s="54"/>
      <c r="AI433" s="54"/>
    </row>
    <row r="434" spans="18:35" x14ac:dyDescent="0.2">
      <c r="R434" s="54"/>
      <c r="S434" s="54"/>
      <c r="T434" s="54"/>
      <c r="W434" s="54"/>
      <c r="X434" s="54"/>
      <c r="Y434" s="54"/>
      <c r="AB434" s="54"/>
      <c r="AC434" s="54"/>
      <c r="AD434" s="54"/>
      <c r="AG434" s="54"/>
      <c r="AH434" s="54"/>
      <c r="AI434" s="54"/>
    </row>
    <row r="435" spans="18:35" x14ac:dyDescent="0.2">
      <c r="R435" s="54"/>
      <c r="S435" s="54"/>
      <c r="T435" s="54"/>
      <c r="W435" s="54"/>
      <c r="X435" s="54"/>
      <c r="Y435" s="54"/>
      <c r="AB435" s="54"/>
      <c r="AC435" s="54"/>
      <c r="AD435" s="54"/>
      <c r="AG435" s="54"/>
      <c r="AH435" s="54"/>
      <c r="AI435" s="54"/>
    </row>
    <row r="436" spans="18:35" x14ac:dyDescent="0.2">
      <c r="R436" s="54"/>
      <c r="S436" s="54"/>
      <c r="T436" s="54"/>
      <c r="W436" s="54"/>
      <c r="X436" s="54"/>
      <c r="Y436" s="54"/>
      <c r="AB436" s="54"/>
      <c r="AC436" s="54"/>
      <c r="AD436" s="54"/>
      <c r="AG436" s="54"/>
      <c r="AH436" s="54"/>
      <c r="AI436" s="54"/>
    </row>
    <row r="437" spans="18:35" x14ac:dyDescent="0.2">
      <c r="R437" s="54"/>
      <c r="S437" s="54"/>
      <c r="T437" s="54"/>
      <c r="W437" s="54"/>
      <c r="X437" s="54"/>
      <c r="Y437" s="54"/>
      <c r="AB437" s="54"/>
      <c r="AC437" s="54"/>
      <c r="AD437" s="54"/>
      <c r="AG437" s="54"/>
      <c r="AH437" s="54"/>
      <c r="AI437" s="54"/>
    </row>
    <row r="438" spans="18:35" x14ac:dyDescent="0.2">
      <c r="R438" s="54"/>
      <c r="S438" s="54"/>
      <c r="T438" s="54"/>
      <c r="W438" s="54"/>
      <c r="X438" s="54"/>
      <c r="Y438" s="54"/>
      <c r="AB438" s="54"/>
      <c r="AC438" s="54"/>
      <c r="AD438" s="54"/>
      <c r="AG438" s="54"/>
      <c r="AH438" s="54"/>
      <c r="AI438" s="54"/>
    </row>
    <row r="439" spans="18:35" x14ac:dyDescent="0.2">
      <c r="R439" s="54"/>
      <c r="S439" s="54"/>
      <c r="T439" s="54"/>
      <c r="W439" s="54"/>
      <c r="X439" s="54"/>
      <c r="Y439" s="54"/>
      <c r="AB439" s="54"/>
      <c r="AC439" s="54"/>
      <c r="AD439" s="54"/>
      <c r="AG439" s="54"/>
      <c r="AH439" s="54"/>
      <c r="AI439" s="54"/>
    </row>
    <row r="440" spans="18:35" x14ac:dyDescent="0.2">
      <c r="R440" s="54"/>
      <c r="S440" s="54"/>
      <c r="T440" s="54"/>
      <c r="W440" s="54"/>
      <c r="X440" s="54"/>
      <c r="Y440" s="54"/>
      <c r="AB440" s="54"/>
      <c r="AC440" s="54"/>
      <c r="AD440" s="54"/>
      <c r="AG440" s="54"/>
      <c r="AH440" s="54"/>
      <c r="AI440" s="54"/>
    </row>
    <row r="441" spans="18:35" x14ac:dyDescent="0.2">
      <c r="R441" s="54"/>
      <c r="S441" s="54"/>
      <c r="T441" s="54"/>
      <c r="W441" s="54"/>
      <c r="X441" s="54"/>
      <c r="Y441" s="54"/>
      <c r="AB441" s="54"/>
      <c r="AC441" s="54"/>
      <c r="AD441" s="54"/>
      <c r="AG441" s="54"/>
      <c r="AH441" s="54"/>
      <c r="AI441" s="54"/>
    </row>
    <row r="442" spans="18:35" x14ac:dyDescent="0.2">
      <c r="R442" s="54"/>
      <c r="S442" s="54"/>
      <c r="T442" s="54"/>
      <c r="W442" s="54"/>
      <c r="X442" s="54"/>
      <c r="Y442" s="54"/>
      <c r="AB442" s="54"/>
      <c r="AC442" s="54"/>
      <c r="AD442" s="54"/>
      <c r="AG442" s="54"/>
      <c r="AH442" s="54"/>
      <c r="AI442" s="54"/>
    </row>
    <row r="443" spans="18:35" x14ac:dyDescent="0.2">
      <c r="R443" s="54"/>
      <c r="S443" s="54"/>
      <c r="T443" s="54"/>
      <c r="W443" s="54"/>
      <c r="X443" s="54"/>
      <c r="Y443" s="54"/>
      <c r="AB443" s="54"/>
      <c r="AC443" s="54"/>
      <c r="AD443" s="54"/>
      <c r="AG443" s="54"/>
      <c r="AH443" s="54"/>
      <c r="AI443" s="54"/>
    </row>
    <row r="444" spans="18:35" x14ac:dyDescent="0.2">
      <c r="R444" s="54"/>
      <c r="S444" s="54"/>
      <c r="T444" s="54"/>
      <c r="W444" s="54"/>
      <c r="X444" s="54"/>
      <c r="Y444" s="54"/>
      <c r="AB444" s="54"/>
      <c r="AC444" s="54"/>
      <c r="AD444" s="54"/>
      <c r="AG444" s="54"/>
      <c r="AH444" s="54"/>
      <c r="AI444" s="54"/>
    </row>
    <row r="445" spans="18:35" x14ac:dyDescent="0.2">
      <c r="R445" s="54"/>
      <c r="S445" s="54"/>
      <c r="T445" s="54"/>
      <c r="W445" s="54"/>
      <c r="X445" s="54"/>
      <c r="Y445" s="54"/>
      <c r="AB445" s="54"/>
      <c r="AC445" s="54"/>
      <c r="AD445" s="54"/>
      <c r="AG445" s="54"/>
      <c r="AH445" s="54"/>
      <c r="AI445" s="54"/>
    </row>
    <row r="446" spans="18:35" x14ac:dyDescent="0.2">
      <c r="R446" s="54"/>
      <c r="S446" s="54"/>
      <c r="T446" s="54"/>
      <c r="W446" s="54"/>
      <c r="X446" s="54"/>
      <c r="Y446" s="54"/>
      <c r="AB446" s="54"/>
      <c r="AC446" s="54"/>
      <c r="AD446" s="54"/>
      <c r="AG446" s="54"/>
      <c r="AH446" s="54"/>
      <c r="AI446" s="54"/>
    </row>
    <row r="447" spans="18:35" x14ac:dyDescent="0.2">
      <c r="R447" s="54"/>
      <c r="S447" s="54"/>
      <c r="T447" s="54"/>
      <c r="W447" s="54"/>
      <c r="X447" s="54"/>
      <c r="Y447" s="54"/>
      <c r="AB447" s="54"/>
      <c r="AC447" s="54"/>
      <c r="AD447" s="54"/>
      <c r="AG447" s="54"/>
      <c r="AH447" s="54"/>
      <c r="AI447" s="54"/>
    </row>
    <row r="448" spans="18:35" x14ac:dyDescent="0.2">
      <c r="R448" s="54"/>
      <c r="S448" s="54"/>
      <c r="T448" s="54"/>
      <c r="W448" s="54"/>
      <c r="X448" s="54"/>
      <c r="Y448" s="54"/>
      <c r="AB448" s="54"/>
      <c r="AC448" s="54"/>
      <c r="AD448" s="54"/>
      <c r="AG448" s="54"/>
      <c r="AH448" s="54"/>
      <c r="AI448" s="54"/>
    </row>
    <row r="449" spans="18:35" x14ac:dyDescent="0.2">
      <c r="R449" s="54"/>
      <c r="S449" s="54"/>
      <c r="T449" s="54"/>
      <c r="W449" s="54"/>
      <c r="X449" s="54"/>
      <c r="Y449" s="54"/>
      <c r="AB449" s="54"/>
      <c r="AC449" s="54"/>
      <c r="AD449" s="54"/>
      <c r="AG449" s="54"/>
      <c r="AH449" s="54"/>
      <c r="AI449" s="54"/>
    </row>
    <row r="450" spans="18:35" x14ac:dyDescent="0.2">
      <c r="R450" s="54"/>
      <c r="S450" s="54"/>
      <c r="T450" s="54"/>
      <c r="W450" s="54"/>
      <c r="X450" s="54"/>
      <c r="Y450" s="54"/>
      <c r="AB450" s="54"/>
      <c r="AC450" s="54"/>
      <c r="AD450" s="54"/>
      <c r="AG450" s="54"/>
      <c r="AH450" s="54"/>
      <c r="AI450" s="54"/>
    </row>
    <row r="451" spans="18:35" x14ac:dyDescent="0.2">
      <c r="R451" s="54"/>
      <c r="S451" s="54"/>
      <c r="T451" s="54"/>
      <c r="W451" s="54"/>
      <c r="X451" s="54"/>
      <c r="Y451" s="54"/>
      <c r="AB451" s="54"/>
      <c r="AC451" s="54"/>
      <c r="AD451" s="54"/>
      <c r="AG451" s="54"/>
      <c r="AH451" s="54"/>
      <c r="AI451" s="54"/>
    </row>
    <row r="452" spans="18:35" x14ac:dyDescent="0.2">
      <c r="R452" s="54"/>
      <c r="S452" s="54"/>
      <c r="T452" s="54"/>
      <c r="W452" s="54"/>
      <c r="X452" s="54"/>
      <c r="Y452" s="54"/>
      <c r="AB452" s="54"/>
      <c r="AC452" s="54"/>
      <c r="AD452" s="54"/>
      <c r="AG452" s="54"/>
      <c r="AH452" s="54"/>
      <c r="AI452" s="54"/>
    </row>
    <row r="453" spans="18:35" x14ac:dyDescent="0.2">
      <c r="R453" s="54"/>
      <c r="S453" s="54"/>
      <c r="T453" s="54"/>
      <c r="W453" s="54"/>
      <c r="X453" s="54"/>
      <c r="Y453" s="54"/>
      <c r="AB453" s="54"/>
      <c r="AC453" s="54"/>
      <c r="AD453" s="54"/>
      <c r="AG453" s="54"/>
      <c r="AH453" s="54"/>
      <c r="AI453" s="54"/>
    </row>
    <row r="454" spans="18:35" x14ac:dyDescent="0.2">
      <c r="R454" s="54"/>
      <c r="S454" s="54"/>
      <c r="T454" s="54"/>
      <c r="W454" s="54"/>
      <c r="X454" s="54"/>
      <c r="Y454" s="54"/>
      <c r="AB454" s="54"/>
      <c r="AC454" s="54"/>
      <c r="AD454" s="54"/>
      <c r="AG454" s="54"/>
      <c r="AH454" s="54"/>
      <c r="AI454" s="54"/>
    </row>
    <row r="455" spans="18:35" x14ac:dyDescent="0.2">
      <c r="R455" s="54"/>
      <c r="S455" s="54"/>
      <c r="T455" s="54"/>
      <c r="W455" s="54"/>
      <c r="X455" s="54"/>
      <c r="Y455" s="54"/>
      <c r="AB455" s="54"/>
      <c r="AC455" s="54"/>
      <c r="AD455" s="54"/>
      <c r="AG455" s="54"/>
      <c r="AH455" s="54"/>
      <c r="AI455" s="54"/>
    </row>
    <row r="456" spans="18:35" x14ac:dyDescent="0.2">
      <c r="R456" s="54"/>
      <c r="S456" s="54"/>
      <c r="T456" s="54"/>
      <c r="W456" s="54"/>
      <c r="X456" s="54"/>
      <c r="Y456" s="54"/>
      <c r="AB456" s="54"/>
      <c r="AC456" s="54"/>
      <c r="AD456" s="54"/>
      <c r="AG456" s="54"/>
      <c r="AH456" s="54"/>
      <c r="AI456" s="54"/>
    </row>
    <row r="457" spans="18:35" x14ac:dyDescent="0.2">
      <c r="AG457" s="54"/>
      <c r="AH457" s="54"/>
      <c r="AI457" s="54"/>
    </row>
  </sheetData>
  <sheetProtection algorithmName="SHA-512" hashValue="LuMi5JKQoEbHFolvfoY33ZCHLWAengPhdzvNG2LZ4iKaWlkCv2mIE5XiL7YvUCahCdbj3iJVZbNU6vdGgYxKxA==" saltValue="uXnht86mJ+Lzi0OBfJLlUg==" spinCount="100000" sheet="1" objects="1" scenarios="1" selectLockedCells="1"/>
  <mergeCells count="5">
    <mergeCell ref="F69:H69"/>
    <mergeCell ref="O3:P3"/>
    <mergeCell ref="A1:Q1"/>
    <mergeCell ref="F82:G82"/>
    <mergeCell ref="L35:Q36"/>
  </mergeCells>
  <phoneticPr fontId="5" type="noConversion"/>
  <conditionalFormatting sqref="E7 E9">
    <cfRule type="cellIs" dxfId="29" priority="39" stopIfTrue="1" operator="notBetween">
      <formula>3.5</formula>
      <formula>VIN_MAX_RATING</formula>
    </cfRule>
  </conditionalFormatting>
  <conditionalFormatting sqref="E10">
    <cfRule type="cellIs" dxfId="28" priority="36" stopIfTrue="1" operator="notBetween">
      <formula>0.6</formula>
      <formula>VOUT_MAX_RATING</formula>
    </cfRule>
  </conditionalFormatting>
  <conditionalFormatting sqref="E33">
    <cfRule type="cellIs" dxfId="27" priority="34" stopIfTrue="1" operator="lessThanOrEqual">
      <formula>0</formula>
    </cfRule>
  </conditionalFormatting>
  <conditionalFormatting sqref="E35">
    <cfRule type="cellIs" dxfId="26" priority="33" stopIfTrue="1" operator="lessThan">
      <formula>$E$34</formula>
    </cfRule>
  </conditionalFormatting>
  <conditionalFormatting sqref="E37">
    <cfRule type="cellIs" dxfId="25" priority="32" stopIfTrue="1" operator="greaterThan">
      <formula>$E$36</formula>
    </cfRule>
  </conditionalFormatting>
  <conditionalFormatting sqref="E42">
    <cfRule type="cellIs" dxfId="24" priority="30" stopIfTrue="1" operator="equal">
      <formula>0</formula>
    </cfRule>
  </conditionalFormatting>
  <conditionalFormatting sqref="E44">
    <cfRule type="cellIs" dxfId="23" priority="29" stopIfTrue="1" operator="lessThan">
      <formula>$E$43</formula>
    </cfRule>
  </conditionalFormatting>
  <conditionalFormatting sqref="E46">
    <cfRule type="cellIs" dxfId="22" priority="27" stopIfTrue="1" operator="greaterThan">
      <formula>$E$45</formula>
    </cfRule>
    <cfRule type="cellIs" dxfId="21" priority="28" stopIfTrue="1" operator="equal">
      <formula>0</formula>
    </cfRule>
  </conditionalFormatting>
  <conditionalFormatting sqref="E51">
    <cfRule type="cellIs" dxfId="20" priority="23" operator="lessThan">
      <formula>0.1</formula>
    </cfRule>
  </conditionalFormatting>
  <conditionalFormatting sqref="E12">
    <cfRule type="cellIs" dxfId="19" priority="42" stopIfTrue="1" operator="notBetween">
      <formula>2500</formula>
      <formula>100</formula>
    </cfRule>
  </conditionalFormatting>
  <conditionalFormatting sqref="E55">
    <cfRule type="expression" dxfId="18" priority="21">
      <formula>DITHER=2</formula>
    </cfRule>
  </conditionalFormatting>
  <conditionalFormatting sqref="D56">
    <cfRule type="expression" dxfId="17" priority="20">
      <formula>DITHER=2</formula>
    </cfRule>
  </conditionalFormatting>
  <conditionalFormatting sqref="D55">
    <cfRule type="expression" dxfId="16" priority="19">
      <formula>DITHER=2</formula>
    </cfRule>
  </conditionalFormatting>
  <conditionalFormatting sqref="E8">
    <cfRule type="cellIs" dxfId="15" priority="43" operator="notBetween">
      <formula>$E$7</formula>
      <formula>$E$9</formula>
    </cfRule>
  </conditionalFormatting>
  <conditionalFormatting sqref="J10">
    <cfRule type="cellIs" dxfId="14" priority="16" stopIfTrue="1" operator="notBetween">
      <formula>0.6</formula>
      <formula>VOUT_MAX_RATING</formula>
    </cfRule>
  </conditionalFormatting>
  <conditionalFormatting sqref="J33">
    <cfRule type="cellIs" dxfId="13" priority="15" stopIfTrue="1" operator="lessThanOrEqual">
      <formula>0</formula>
    </cfRule>
  </conditionalFormatting>
  <conditionalFormatting sqref="J35">
    <cfRule type="cellIs" dxfId="12" priority="14" stopIfTrue="1" operator="lessThan">
      <formula>$J$34</formula>
    </cfRule>
  </conditionalFormatting>
  <conditionalFormatting sqref="J37">
    <cfRule type="cellIs" dxfId="11" priority="13" stopIfTrue="1" operator="greaterThan">
      <formula>$J$36</formula>
    </cfRule>
  </conditionalFormatting>
  <conditionalFormatting sqref="E53">
    <cfRule type="cellIs" dxfId="10" priority="12" operator="lessThan">
      <formula>0</formula>
    </cfRule>
  </conditionalFormatting>
  <conditionalFormatting sqref="A73:G75">
    <cfRule type="expression" dxfId="9" priority="11">
      <formula>MODE=2</formula>
    </cfRule>
  </conditionalFormatting>
  <conditionalFormatting sqref="G61:K66 G33:K39 G17:K24 G27:K30 G10:K11">
    <cfRule type="expression" dxfId="8" priority="8">
      <formula>MODE=2</formula>
    </cfRule>
  </conditionalFormatting>
  <conditionalFormatting sqref="D65">
    <cfRule type="expression" dxfId="7" priority="9">
      <formula>OR((Ch1_VOUT=1),(Ch1_VOUT=2))</formula>
    </cfRule>
  </conditionalFormatting>
  <conditionalFormatting sqref="I65">
    <cfRule type="expression" dxfId="6" priority="10">
      <formula>OR((Ch2_VOUT=1),(Ch2_VOUT=2))</formula>
    </cfRule>
  </conditionalFormatting>
  <conditionalFormatting sqref="E65:F66">
    <cfRule type="expression" dxfId="5" priority="7">
      <formula>OR((Ch1_VOUT=1),(Ch1_VOUT=2))</formula>
    </cfRule>
  </conditionalFormatting>
  <conditionalFormatting sqref="J65:K66">
    <cfRule type="expression" dxfId="4" priority="6">
      <formula>OR((Ch2_VOUT=1),(Ch2_VOUT=2))</formula>
    </cfRule>
  </conditionalFormatting>
  <conditionalFormatting sqref="F97:F98">
    <cfRule type="expression" dxfId="3" priority="5">
      <formula>MODE=2</formula>
    </cfRule>
  </conditionalFormatting>
  <conditionalFormatting sqref="D81 G80">
    <cfRule type="expression" dxfId="2" priority="4">
      <formula>MODE=2</formula>
    </cfRule>
  </conditionalFormatting>
  <conditionalFormatting sqref="H80:J94">
    <cfRule type="expression" dxfId="1" priority="2">
      <formula>MODE=2</formula>
    </cfRule>
  </conditionalFormatting>
  <conditionalFormatting sqref="D19:F19 D21:F21 D18:F18 I18:K18 I19:K19 I21:K21">
    <cfRule type="expression" dxfId="0" priority="1">
      <formula>SENSING_TYPE=2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4" orientation="portrait" r:id="rId3"/>
  <headerFooter alignWithMargins="0"/>
  <rowBreaks count="1" manualBreakCount="1">
    <brk id="109" max="16383" man="1"/>
  </rowBreaks>
  <ignoredErrors>
    <ignoredError sqref="E68"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00372" r:id="rId7" name="Drop Down 3028">
              <controlPr defaultSize="0" autoLine="0" autoPict="0">
                <anchor moveWithCells="1">
                  <from>
                    <xdr:col>16</xdr:col>
                    <xdr:colOff>4819650</xdr:colOff>
                    <xdr:row>0</xdr:row>
                    <xdr:rowOff>476250</xdr:rowOff>
                  </from>
                  <to>
                    <xdr:col>16</xdr:col>
                    <xdr:colOff>5200650</xdr:colOff>
                    <xdr:row>1</xdr:row>
                    <xdr:rowOff>133350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314325</xdr:colOff>
                    <xdr:row>69</xdr:row>
                    <xdr:rowOff>76200</xdr:rowOff>
                  </from>
                  <to>
                    <xdr:col>2</xdr:col>
                    <xdr:colOff>895350</xdr:colOff>
                    <xdr:row>71</xdr:row>
                    <xdr:rowOff>133350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314325</xdr:colOff>
                    <xdr:row>69</xdr:row>
                    <xdr:rowOff>76200</xdr:rowOff>
                  </from>
                  <to>
                    <xdr:col>2</xdr:col>
                    <xdr:colOff>895350</xdr:colOff>
                    <xdr:row>71</xdr:row>
                    <xdr:rowOff>133350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9525</xdr:colOff>
                    <xdr:row>62</xdr:row>
                    <xdr:rowOff>0</xdr:rowOff>
                  </from>
                  <to>
                    <xdr:col>5</xdr:col>
                    <xdr:colOff>180975</xdr:colOff>
                    <xdr:row>62</xdr:row>
                    <xdr:rowOff>180975</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123825</xdr:colOff>
                    <xdr:row>7</xdr:row>
                    <xdr:rowOff>9525</xdr:rowOff>
                  </from>
                  <to>
                    <xdr:col>5</xdr:col>
                    <xdr:colOff>304800</xdr:colOff>
                    <xdr:row>8</xdr:row>
                    <xdr:rowOff>19050</xdr:rowOff>
                  </to>
                </anchor>
              </controlPr>
            </control>
          </mc:Choice>
        </mc:AlternateContent>
        <mc:AlternateContent xmlns:mc="http://schemas.openxmlformats.org/markup-compatibility/2006">
          <mc:Choice Requires="x14">
            <control shapeId="672924" r:id="rId12" name="Drop Down 156">
              <controlPr defaultSize="0" autoLine="0" autoPict="0">
                <anchor>
                  <from>
                    <xdr:col>11</xdr:col>
                    <xdr:colOff>371475</xdr:colOff>
                    <xdr:row>77</xdr:row>
                    <xdr:rowOff>28575</xdr:rowOff>
                  </from>
                  <to>
                    <xdr:col>13</xdr:col>
                    <xdr:colOff>428625</xdr:colOff>
                    <xdr:row>78</xdr:row>
                    <xdr:rowOff>104775</xdr:rowOff>
                  </to>
                </anchor>
              </controlPr>
            </control>
          </mc:Choice>
        </mc:AlternateContent>
        <mc:AlternateContent xmlns:mc="http://schemas.openxmlformats.org/markup-compatibility/2006">
          <mc:Choice Requires="x14">
            <control shapeId="673029" r:id="rId13" name="Drop Down 261">
              <controlPr defaultSize="0" autoLine="0" autoPict="0">
                <anchor moveWithCells="1">
                  <from>
                    <xdr:col>0</xdr:col>
                    <xdr:colOff>9525</xdr:colOff>
                    <xdr:row>54</xdr:row>
                    <xdr:rowOff>0</xdr:rowOff>
                  </from>
                  <to>
                    <xdr:col>1</xdr:col>
                    <xdr:colOff>476250</xdr:colOff>
                    <xdr:row>55</xdr:row>
                    <xdr:rowOff>0</xdr:rowOff>
                  </to>
                </anchor>
              </controlPr>
            </control>
          </mc:Choice>
        </mc:AlternateContent>
        <mc:AlternateContent xmlns:mc="http://schemas.openxmlformats.org/markup-compatibility/2006">
          <mc:Choice Requires="x14">
            <control shapeId="685346" r:id="rId14" name="Drop Down 1314">
              <controlPr defaultSize="0" autoLine="0" autoPict="0">
                <anchor moveWithCells="1">
                  <from>
                    <xdr:col>2</xdr:col>
                    <xdr:colOff>514350</xdr:colOff>
                    <xdr:row>5</xdr:row>
                    <xdr:rowOff>9525</xdr:rowOff>
                  </from>
                  <to>
                    <xdr:col>5</xdr:col>
                    <xdr:colOff>95250</xdr:colOff>
                    <xdr:row>6</xdr:row>
                    <xdr:rowOff>9525</xdr:rowOff>
                  </to>
                </anchor>
              </controlPr>
            </control>
          </mc:Choice>
        </mc:AlternateContent>
        <mc:AlternateContent xmlns:mc="http://schemas.openxmlformats.org/markup-compatibility/2006">
          <mc:Choice Requires="x14">
            <control shapeId="685442" r:id="rId15" name="Drop Down 1410">
              <controlPr defaultSize="0" autoLine="0" autoPict="0">
                <anchor moveWithCells="1">
                  <from>
                    <xdr:col>0</xdr:col>
                    <xdr:colOff>9525</xdr:colOff>
                    <xdr:row>56</xdr:row>
                    <xdr:rowOff>0</xdr:rowOff>
                  </from>
                  <to>
                    <xdr:col>1</xdr:col>
                    <xdr:colOff>76200</xdr:colOff>
                    <xdr:row>56</xdr:row>
                    <xdr:rowOff>180975</xdr:rowOff>
                  </to>
                </anchor>
              </controlPr>
            </control>
          </mc:Choice>
        </mc:AlternateContent>
        <mc:AlternateContent xmlns:mc="http://schemas.openxmlformats.org/markup-compatibility/2006">
          <mc:Choice Requires="x14">
            <control shapeId="685525" r:id="rId16" name="Spinner 1493">
              <controlPr defaultSize="0" autoPict="0">
                <anchor moveWithCells="1" sizeWithCells="1">
                  <from>
                    <xdr:col>10</xdr:col>
                    <xdr:colOff>9525</xdr:colOff>
                    <xdr:row>62</xdr:row>
                    <xdr:rowOff>0</xdr:rowOff>
                  </from>
                  <to>
                    <xdr:col>10</xdr:col>
                    <xdr:colOff>180975</xdr:colOff>
                    <xdr:row>62</xdr:row>
                    <xdr:rowOff>180975</xdr:rowOff>
                  </to>
                </anchor>
              </controlPr>
            </control>
          </mc:Choice>
        </mc:AlternateContent>
        <mc:AlternateContent xmlns:mc="http://schemas.openxmlformats.org/markup-compatibility/2006">
          <mc:Choice Requires="x14">
            <control shapeId="685729" r:id="rId17" name="Drop Down 1697">
              <controlPr defaultSize="0" autoLine="0" autoPict="0">
                <anchor>
                  <from>
                    <xdr:col>11</xdr:col>
                    <xdr:colOff>66675</xdr:colOff>
                    <xdr:row>41</xdr:row>
                    <xdr:rowOff>76200</xdr:rowOff>
                  </from>
                  <to>
                    <xdr:col>12</xdr:col>
                    <xdr:colOff>333375</xdr:colOff>
                    <xdr:row>43</xdr:row>
                    <xdr:rowOff>0</xdr:rowOff>
                  </to>
                </anchor>
              </controlPr>
            </control>
          </mc:Choice>
        </mc:AlternateContent>
        <mc:AlternateContent xmlns:mc="http://schemas.openxmlformats.org/markup-compatibility/2006">
          <mc:Choice Requires="x14">
            <control shapeId="685906" r:id="rId18" name="Drop Down 1874">
              <controlPr defaultSize="0" autoLine="0" autoPict="0">
                <anchor moveWithCells="1">
                  <from>
                    <xdr:col>0</xdr:col>
                    <xdr:colOff>19050</xdr:colOff>
                    <xdr:row>102</xdr:row>
                    <xdr:rowOff>0</xdr:rowOff>
                  </from>
                  <to>
                    <xdr:col>2</xdr:col>
                    <xdr:colOff>9525</xdr:colOff>
                    <xdr:row>103</xdr:row>
                    <xdr:rowOff>0</xdr:rowOff>
                  </to>
                </anchor>
              </controlPr>
            </control>
          </mc:Choice>
        </mc:AlternateContent>
        <mc:AlternateContent xmlns:mc="http://schemas.openxmlformats.org/markup-compatibility/2006">
          <mc:Choice Requires="x14">
            <control shapeId="700259" r:id="rId19" name="Drop Down 2915">
              <controlPr locked="0" defaultSize="0" autoLine="0" autoPict="0">
                <anchor moveWithCells="1">
                  <from>
                    <xdr:col>6</xdr:col>
                    <xdr:colOff>371475</xdr:colOff>
                    <xdr:row>4</xdr:row>
                    <xdr:rowOff>9525</xdr:rowOff>
                  </from>
                  <to>
                    <xdr:col>7</xdr:col>
                    <xdr:colOff>514350</xdr:colOff>
                    <xdr:row>4</xdr:row>
                    <xdr:rowOff>238125</xdr:rowOff>
                  </to>
                </anchor>
              </controlPr>
            </control>
          </mc:Choice>
        </mc:AlternateContent>
        <mc:AlternateContent xmlns:mc="http://schemas.openxmlformats.org/markup-compatibility/2006">
          <mc:Choice Requires="x14">
            <control shapeId="713934" r:id="rId20" name="Drop Down 3278">
              <controlPr locked="0" defaultSize="0" autoLine="0" autoPict="0">
                <anchor moveWithCells="1">
                  <from>
                    <xdr:col>5</xdr:col>
                    <xdr:colOff>219075</xdr:colOff>
                    <xdr:row>15</xdr:row>
                    <xdr:rowOff>9525</xdr:rowOff>
                  </from>
                  <to>
                    <xdr:col>7</xdr:col>
                    <xdr:colOff>476250</xdr:colOff>
                    <xdr:row>15</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topLeftCell="D51" zoomScale="181" zoomScaleNormal="100" workbookViewId="0">
      <selection activeCell="D77" sqref="D77"/>
    </sheetView>
  </sheetViews>
  <sheetFormatPr defaultRowHeight="12.75" x14ac:dyDescent="0.2"/>
  <cols>
    <col min="1" max="1" width="9.5703125" style="214" customWidth="1"/>
    <col min="2" max="2" width="20.28515625" style="214" customWidth="1"/>
    <col min="3" max="3" width="16.140625" style="214" customWidth="1"/>
    <col min="4" max="4" width="20.140625" style="214" customWidth="1"/>
    <col min="5" max="5" width="17.28515625" style="214" customWidth="1"/>
    <col min="6" max="6" width="20.5703125" style="214" bestFit="1" customWidth="1"/>
    <col min="7" max="7" width="9.7109375" style="214" customWidth="1"/>
    <col min="8" max="8" width="16.140625" style="214" customWidth="1"/>
    <col min="9" max="9" width="17.28515625" style="214" customWidth="1"/>
    <col min="10" max="10" width="18.42578125" style="214" customWidth="1"/>
    <col min="11" max="11" width="26.42578125" style="214" customWidth="1"/>
    <col min="12" max="12" width="9.140625" style="214"/>
    <col min="13" max="13" width="9.140625" style="215"/>
    <col min="14" max="256" width="9.140625" style="214"/>
    <col min="257" max="257" width="8.7109375" style="214" bestFit="1" customWidth="1"/>
    <col min="258" max="258" width="13.28515625" style="214" customWidth="1"/>
    <col min="259" max="259" width="16.140625" style="214" bestFit="1" customWidth="1"/>
    <col min="260" max="260" width="23.5703125" style="214" customWidth="1"/>
    <col min="261" max="261" width="17.28515625" style="214" customWidth="1"/>
    <col min="262" max="262" width="20.5703125" style="214" bestFit="1" customWidth="1"/>
    <col min="263" max="263" width="17.140625" style="214" customWidth="1"/>
    <col min="264" max="264" width="21.85546875" style="214" bestFit="1" customWidth="1"/>
    <col min="265" max="265" width="17.140625" style="214" bestFit="1" customWidth="1"/>
    <col min="266" max="266" width="18.140625" style="214" bestFit="1" customWidth="1"/>
    <col min="267" max="267" width="26.42578125" style="214" customWidth="1"/>
    <col min="268" max="512" width="9.140625" style="214"/>
    <col min="513" max="513" width="8.7109375" style="214" bestFit="1" customWidth="1"/>
    <col min="514" max="514" width="13.28515625" style="214" customWidth="1"/>
    <col min="515" max="515" width="16.140625" style="214" bestFit="1" customWidth="1"/>
    <col min="516" max="516" width="23.5703125" style="214" customWidth="1"/>
    <col min="517" max="517" width="17.28515625" style="214" customWidth="1"/>
    <col min="518" max="518" width="20.5703125" style="214" bestFit="1" customWidth="1"/>
    <col min="519" max="519" width="17.140625" style="214" customWidth="1"/>
    <col min="520" max="520" width="21.85546875" style="214" bestFit="1" customWidth="1"/>
    <col min="521" max="521" width="17.140625" style="214" bestFit="1" customWidth="1"/>
    <col min="522" max="522" width="18.140625" style="214" bestFit="1" customWidth="1"/>
    <col min="523" max="523" width="26.42578125" style="214" customWidth="1"/>
    <col min="524" max="768" width="9.140625" style="214"/>
    <col min="769" max="769" width="8.7109375" style="214" bestFit="1" customWidth="1"/>
    <col min="770" max="770" width="13.28515625" style="214" customWidth="1"/>
    <col min="771" max="771" width="16.140625" style="214" bestFit="1" customWidth="1"/>
    <col min="772" max="772" width="23.5703125" style="214" customWidth="1"/>
    <col min="773" max="773" width="17.28515625" style="214" customWidth="1"/>
    <col min="774" max="774" width="20.5703125" style="214" bestFit="1" customWidth="1"/>
    <col min="775" max="775" width="17.140625" style="214" customWidth="1"/>
    <col min="776" max="776" width="21.85546875" style="214" bestFit="1" customWidth="1"/>
    <col min="777" max="777" width="17.140625" style="214" bestFit="1" customWidth="1"/>
    <col min="778" max="778" width="18.140625" style="214" bestFit="1" customWidth="1"/>
    <col min="779" max="779" width="26.42578125" style="214" customWidth="1"/>
    <col min="780" max="1024" width="9.140625" style="214"/>
    <col min="1025" max="1025" width="8.7109375" style="214" bestFit="1" customWidth="1"/>
    <col min="1026" max="1026" width="13.28515625" style="214" customWidth="1"/>
    <col min="1027" max="1027" width="16.140625" style="214" bestFit="1" customWidth="1"/>
    <col min="1028" max="1028" width="23.5703125" style="214" customWidth="1"/>
    <col min="1029" max="1029" width="17.28515625" style="214" customWidth="1"/>
    <col min="1030" max="1030" width="20.5703125" style="214" bestFit="1" customWidth="1"/>
    <col min="1031" max="1031" width="17.140625" style="214" customWidth="1"/>
    <col min="1032" max="1032" width="21.85546875" style="214" bestFit="1" customWidth="1"/>
    <col min="1033" max="1033" width="17.140625" style="214" bestFit="1" customWidth="1"/>
    <col min="1034" max="1034" width="18.140625" style="214" bestFit="1" customWidth="1"/>
    <col min="1035" max="1035" width="26.42578125" style="214" customWidth="1"/>
    <col min="1036" max="1280" width="9.140625" style="214"/>
    <col min="1281" max="1281" width="8.7109375" style="214" bestFit="1" customWidth="1"/>
    <col min="1282" max="1282" width="13.28515625" style="214" customWidth="1"/>
    <col min="1283" max="1283" width="16.140625" style="214" bestFit="1" customWidth="1"/>
    <col min="1284" max="1284" width="23.5703125" style="214" customWidth="1"/>
    <col min="1285" max="1285" width="17.28515625" style="214" customWidth="1"/>
    <col min="1286" max="1286" width="20.5703125" style="214" bestFit="1" customWidth="1"/>
    <col min="1287" max="1287" width="17.140625" style="214" customWidth="1"/>
    <col min="1288" max="1288" width="21.85546875" style="214" bestFit="1" customWidth="1"/>
    <col min="1289" max="1289" width="17.140625" style="214" bestFit="1" customWidth="1"/>
    <col min="1290" max="1290" width="18.140625" style="214" bestFit="1" customWidth="1"/>
    <col min="1291" max="1291" width="26.42578125" style="214" customWidth="1"/>
    <col min="1292" max="1536" width="9.140625" style="214"/>
    <col min="1537" max="1537" width="8.7109375" style="214" bestFit="1" customWidth="1"/>
    <col min="1538" max="1538" width="13.28515625" style="214" customWidth="1"/>
    <col min="1539" max="1539" width="16.140625" style="214" bestFit="1" customWidth="1"/>
    <col min="1540" max="1540" width="23.5703125" style="214" customWidth="1"/>
    <col min="1541" max="1541" width="17.28515625" style="214" customWidth="1"/>
    <col min="1542" max="1542" width="20.5703125" style="214" bestFit="1" customWidth="1"/>
    <col min="1543" max="1543" width="17.140625" style="214" customWidth="1"/>
    <col min="1544" max="1544" width="21.85546875" style="214" bestFit="1" customWidth="1"/>
    <col min="1545" max="1545" width="17.140625" style="214" bestFit="1" customWidth="1"/>
    <col min="1546" max="1546" width="18.140625" style="214" bestFit="1" customWidth="1"/>
    <col min="1547" max="1547" width="26.42578125" style="214" customWidth="1"/>
    <col min="1548" max="1792" width="9.140625" style="214"/>
    <col min="1793" max="1793" width="8.7109375" style="214" bestFit="1" customWidth="1"/>
    <col min="1794" max="1794" width="13.28515625" style="214" customWidth="1"/>
    <col min="1795" max="1795" width="16.140625" style="214" bestFit="1" customWidth="1"/>
    <col min="1796" max="1796" width="23.5703125" style="214" customWidth="1"/>
    <col min="1797" max="1797" width="17.28515625" style="214" customWidth="1"/>
    <col min="1798" max="1798" width="20.5703125" style="214" bestFit="1" customWidth="1"/>
    <col min="1799" max="1799" width="17.140625" style="214" customWidth="1"/>
    <col min="1800" max="1800" width="21.85546875" style="214" bestFit="1" customWidth="1"/>
    <col min="1801" max="1801" width="17.140625" style="214" bestFit="1" customWidth="1"/>
    <col min="1802" max="1802" width="18.140625" style="214" bestFit="1" customWidth="1"/>
    <col min="1803" max="1803" width="26.42578125" style="214" customWidth="1"/>
    <col min="1804" max="2048" width="9.140625" style="214"/>
    <col min="2049" max="2049" width="8.7109375" style="214" bestFit="1" customWidth="1"/>
    <col min="2050" max="2050" width="13.28515625" style="214" customWidth="1"/>
    <col min="2051" max="2051" width="16.140625" style="214" bestFit="1" customWidth="1"/>
    <col min="2052" max="2052" width="23.5703125" style="214" customWidth="1"/>
    <col min="2053" max="2053" width="17.28515625" style="214" customWidth="1"/>
    <col min="2054" max="2054" width="20.5703125" style="214" bestFit="1" customWidth="1"/>
    <col min="2055" max="2055" width="17.140625" style="214" customWidth="1"/>
    <col min="2056" max="2056" width="21.85546875" style="214" bestFit="1" customWidth="1"/>
    <col min="2057" max="2057" width="17.140625" style="214" bestFit="1" customWidth="1"/>
    <col min="2058" max="2058" width="18.140625" style="214" bestFit="1" customWidth="1"/>
    <col min="2059" max="2059" width="26.42578125" style="214" customWidth="1"/>
    <col min="2060" max="2304" width="9.140625" style="214"/>
    <col min="2305" max="2305" width="8.7109375" style="214" bestFit="1" customWidth="1"/>
    <col min="2306" max="2306" width="13.28515625" style="214" customWidth="1"/>
    <col min="2307" max="2307" width="16.140625" style="214" bestFit="1" customWidth="1"/>
    <col min="2308" max="2308" width="23.5703125" style="214" customWidth="1"/>
    <col min="2309" max="2309" width="17.28515625" style="214" customWidth="1"/>
    <col min="2310" max="2310" width="20.5703125" style="214" bestFit="1" customWidth="1"/>
    <col min="2311" max="2311" width="17.140625" style="214" customWidth="1"/>
    <col min="2312" max="2312" width="21.85546875" style="214" bestFit="1" customWidth="1"/>
    <col min="2313" max="2313" width="17.140625" style="214" bestFit="1" customWidth="1"/>
    <col min="2314" max="2314" width="18.140625" style="214" bestFit="1" customWidth="1"/>
    <col min="2315" max="2315" width="26.42578125" style="214" customWidth="1"/>
    <col min="2316" max="2560" width="9.140625" style="214"/>
    <col min="2561" max="2561" width="8.7109375" style="214" bestFit="1" customWidth="1"/>
    <col min="2562" max="2562" width="13.28515625" style="214" customWidth="1"/>
    <col min="2563" max="2563" width="16.140625" style="214" bestFit="1" customWidth="1"/>
    <col min="2564" max="2564" width="23.5703125" style="214" customWidth="1"/>
    <col min="2565" max="2565" width="17.28515625" style="214" customWidth="1"/>
    <col min="2566" max="2566" width="20.5703125" style="214" bestFit="1" customWidth="1"/>
    <col min="2567" max="2567" width="17.140625" style="214" customWidth="1"/>
    <col min="2568" max="2568" width="21.85546875" style="214" bestFit="1" customWidth="1"/>
    <col min="2569" max="2569" width="17.140625" style="214" bestFit="1" customWidth="1"/>
    <col min="2570" max="2570" width="18.140625" style="214" bestFit="1" customWidth="1"/>
    <col min="2571" max="2571" width="26.42578125" style="214" customWidth="1"/>
    <col min="2572" max="2816" width="9.140625" style="214"/>
    <col min="2817" max="2817" width="8.7109375" style="214" bestFit="1" customWidth="1"/>
    <col min="2818" max="2818" width="13.28515625" style="214" customWidth="1"/>
    <col min="2819" max="2819" width="16.140625" style="214" bestFit="1" customWidth="1"/>
    <col min="2820" max="2820" width="23.5703125" style="214" customWidth="1"/>
    <col min="2821" max="2821" width="17.28515625" style="214" customWidth="1"/>
    <col min="2822" max="2822" width="20.5703125" style="214" bestFit="1" customWidth="1"/>
    <col min="2823" max="2823" width="17.140625" style="214" customWidth="1"/>
    <col min="2824" max="2824" width="21.85546875" style="214" bestFit="1" customWidth="1"/>
    <col min="2825" max="2825" width="17.140625" style="214" bestFit="1" customWidth="1"/>
    <col min="2826" max="2826" width="18.140625" style="214" bestFit="1" customWidth="1"/>
    <col min="2827" max="2827" width="26.42578125" style="214" customWidth="1"/>
    <col min="2828" max="3072" width="9.140625" style="214"/>
    <col min="3073" max="3073" width="8.7109375" style="214" bestFit="1" customWidth="1"/>
    <col min="3074" max="3074" width="13.28515625" style="214" customWidth="1"/>
    <col min="3075" max="3075" width="16.140625" style="214" bestFit="1" customWidth="1"/>
    <col min="3076" max="3076" width="23.5703125" style="214" customWidth="1"/>
    <col min="3077" max="3077" width="17.28515625" style="214" customWidth="1"/>
    <col min="3078" max="3078" width="20.5703125" style="214" bestFit="1" customWidth="1"/>
    <col min="3079" max="3079" width="17.140625" style="214" customWidth="1"/>
    <col min="3080" max="3080" width="21.85546875" style="214" bestFit="1" customWidth="1"/>
    <col min="3081" max="3081" width="17.140625" style="214" bestFit="1" customWidth="1"/>
    <col min="3082" max="3082" width="18.140625" style="214" bestFit="1" customWidth="1"/>
    <col min="3083" max="3083" width="26.42578125" style="214" customWidth="1"/>
    <col min="3084" max="3328" width="9.140625" style="214"/>
    <col min="3329" max="3329" width="8.7109375" style="214" bestFit="1" customWidth="1"/>
    <col min="3330" max="3330" width="13.28515625" style="214" customWidth="1"/>
    <col min="3331" max="3331" width="16.140625" style="214" bestFit="1" customWidth="1"/>
    <col min="3332" max="3332" width="23.5703125" style="214" customWidth="1"/>
    <col min="3333" max="3333" width="17.28515625" style="214" customWidth="1"/>
    <col min="3334" max="3334" width="20.5703125" style="214" bestFit="1" customWidth="1"/>
    <col min="3335" max="3335" width="17.140625" style="214" customWidth="1"/>
    <col min="3336" max="3336" width="21.85546875" style="214" bestFit="1" customWidth="1"/>
    <col min="3337" max="3337" width="17.140625" style="214" bestFit="1" customWidth="1"/>
    <col min="3338" max="3338" width="18.140625" style="214" bestFit="1" customWidth="1"/>
    <col min="3339" max="3339" width="26.42578125" style="214" customWidth="1"/>
    <col min="3340" max="3584" width="9.140625" style="214"/>
    <col min="3585" max="3585" width="8.7109375" style="214" bestFit="1" customWidth="1"/>
    <col min="3586" max="3586" width="13.28515625" style="214" customWidth="1"/>
    <col min="3587" max="3587" width="16.140625" style="214" bestFit="1" customWidth="1"/>
    <col min="3588" max="3588" width="23.5703125" style="214" customWidth="1"/>
    <col min="3589" max="3589" width="17.28515625" style="214" customWidth="1"/>
    <col min="3590" max="3590" width="20.5703125" style="214" bestFit="1" customWidth="1"/>
    <col min="3591" max="3591" width="17.140625" style="214" customWidth="1"/>
    <col min="3592" max="3592" width="21.85546875" style="214" bestFit="1" customWidth="1"/>
    <col min="3593" max="3593" width="17.140625" style="214" bestFit="1" customWidth="1"/>
    <col min="3594" max="3594" width="18.140625" style="214" bestFit="1" customWidth="1"/>
    <col min="3595" max="3595" width="26.42578125" style="214" customWidth="1"/>
    <col min="3596" max="3840" width="9.140625" style="214"/>
    <col min="3841" max="3841" width="8.7109375" style="214" bestFit="1" customWidth="1"/>
    <col min="3842" max="3842" width="13.28515625" style="214" customWidth="1"/>
    <col min="3843" max="3843" width="16.140625" style="214" bestFit="1" customWidth="1"/>
    <col min="3844" max="3844" width="23.5703125" style="214" customWidth="1"/>
    <col min="3845" max="3845" width="17.28515625" style="214" customWidth="1"/>
    <col min="3846" max="3846" width="20.5703125" style="214" bestFit="1" customWidth="1"/>
    <col min="3847" max="3847" width="17.140625" style="214" customWidth="1"/>
    <col min="3848" max="3848" width="21.85546875" style="214" bestFit="1" customWidth="1"/>
    <col min="3849" max="3849" width="17.140625" style="214" bestFit="1" customWidth="1"/>
    <col min="3850" max="3850" width="18.140625" style="214" bestFit="1" customWidth="1"/>
    <col min="3851" max="3851" width="26.42578125" style="214" customWidth="1"/>
    <col min="3852" max="4096" width="9.140625" style="214"/>
    <col min="4097" max="4097" width="8.7109375" style="214" bestFit="1" customWidth="1"/>
    <col min="4098" max="4098" width="13.28515625" style="214" customWidth="1"/>
    <col min="4099" max="4099" width="16.140625" style="214" bestFit="1" customWidth="1"/>
    <col min="4100" max="4100" width="23.5703125" style="214" customWidth="1"/>
    <col min="4101" max="4101" width="17.28515625" style="214" customWidth="1"/>
    <col min="4102" max="4102" width="20.5703125" style="214" bestFit="1" customWidth="1"/>
    <col min="4103" max="4103" width="17.140625" style="214" customWidth="1"/>
    <col min="4104" max="4104" width="21.85546875" style="214" bestFit="1" customWidth="1"/>
    <col min="4105" max="4105" width="17.140625" style="214" bestFit="1" customWidth="1"/>
    <col min="4106" max="4106" width="18.140625" style="214" bestFit="1" customWidth="1"/>
    <col min="4107" max="4107" width="26.42578125" style="214" customWidth="1"/>
    <col min="4108" max="4352" width="9.140625" style="214"/>
    <col min="4353" max="4353" width="8.7109375" style="214" bestFit="1" customWidth="1"/>
    <col min="4354" max="4354" width="13.28515625" style="214" customWidth="1"/>
    <col min="4355" max="4355" width="16.140625" style="214" bestFit="1" customWidth="1"/>
    <col min="4356" max="4356" width="23.5703125" style="214" customWidth="1"/>
    <col min="4357" max="4357" width="17.28515625" style="214" customWidth="1"/>
    <col min="4358" max="4358" width="20.5703125" style="214" bestFit="1" customWidth="1"/>
    <col min="4359" max="4359" width="17.140625" style="214" customWidth="1"/>
    <col min="4360" max="4360" width="21.85546875" style="214" bestFit="1" customWidth="1"/>
    <col min="4361" max="4361" width="17.140625" style="214" bestFit="1" customWidth="1"/>
    <col min="4362" max="4362" width="18.140625" style="214" bestFit="1" customWidth="1"/>
    <col min="4363" max="4363" width="26.42578125" style="214" customWidth="1"/>
    <col min="4364" max="4608" width="9.140625" style="214"/>
    <col min="4609" max="4609" width="8.7109375" style="214" bestFit="1" customWidth="1"/>
    <col min="4610" max="4610" width="13.28515625" style="214" customWidth="1"/>
    <col min="4611" max="4611" width="16.140625" style="214" bestFit="1" customWidth="1"/>
    <col min="4612" max="4612" width="23.5703125" style="214" customWidth="1"/>
    <col min="4613" max="4613" width="17.28515625" style="214" customWidth="1"/>
    <col min="4614" max="4614" width="20.5703125" style="214" bestFit="1" customWidth="1"/>
    <col min="4615" max="4615" width="17.140625" style="214" customWidth="1"/>
    <col min="4616" max="4616" width="21.85546875" style="214" bestFit="1" customWidth="1"/>
    <col min="4617" max="4617" width="17.140625" style="214" bestFit="1" customWidth="1"/>
    <col min="4618" max="4618" width="18.140625" style="214" bestFit="1" customWidth="1"/>
    <col min="4619" max="4619" width="26.42578125" style="214" customWidth="1"/>
    <col min="4620" max="4864" width="9.140625" style="214"/>
    <col min="4865" max="4865" width="8.7109375" style="214" bestFit="1" customWidth="1"/>
    <col min="4866" max="4866" width="13.28515625" style="214" customWidth="1"/>
    <col min="4867" max="4867" width="16.140625" style="214" bestFit="1" customWidth="1"/>
    <col min="4868" max="4868" width="23.5703125" style="214" customWidth="1"/>
    <col min="4869" max="4869" width="17.28515625" style="214" customWidth="1"/>
    <col min="4870" max="4870" width="20.5703125" style="214" bestFit="1" customWidth="1"/>
    <col min="4871" max="4871" width="17.140625" style="214" customWidth="1"/>
    <col min="4872" max="4872" width="21.85546875" style="214" bestFit="1" customWidth="1"/>
    <col min="4873" max="4873" width="17.140625" style="214" bestFit="1" customWidth="1"/>
    <col min="4874" max="4874" width="18.140625" style="214" bestFit="1" customWidth="1"/>
    <col min="4875" max="4875" width="26.42578125" style="214" customWidth="1"/>
    <col min="4876" max="5120" width="9.140625" style="214"/>
    <col min="5121" max="5121" width="8.7109375" style="214" bestFit="1" customWidth="1"/>
    <col min="5122" max="5122" width="13.28515625" style="214" customWidth="1"/>
    <col min="5123" max="5123" width="16.140625" style="214" bestFit="1" customWidth="1"/>
    <col min="5124" max="5124" width="23.5703125" style="214" customWidth="1"/>
    <col min="5125" max="5125" width="17.28515625" style="214" customWidth="1"/>
    <col min="5126" max="5126" width="20.5703125" style="214" bestFit="1" customWidth="1"/>
    <col min="5127" max="5127" width="17.140625" style="214" customWidth="1"/>
    <col min="5128" max="5128" width="21.85546875" style="214" bestFit="1" customWidth="1"/>
    <col min="5129" max="5129" width="17.140625" style="214" bestFit="1" customWidth="1"/>
    <col min="5130" max="5130" width="18.140625" style="214" bestFit="1" customWidth="1"/>
    <col min="5131" max="5131" width="26.42578125" style="214" customWidth="1"/>
    <col min="5132" max="5376" width="9.140625" style="214"/>
    <col min="5377" max="5377" width="8.7109375" style="214" bestFit="1" customWidth="1"/>
    <col min="5378" max="5378" width="13.28515625" style="214" customWidth="1"/>
    <col min="5379" max="5379" width="16.140625" style="214" bestFit="1" customWidth="1"/>
    <col min="5380" max="5380" width="23.5703125" style="214" customWidth="1"/>
    <col min="5381" max="5381" width="17.28515625" style="214" customWidth="1"/>
    <col min="5382" max="5382" width="20.5703125" style="214" bestFit="1" customWidth="1"/>
    <col min="5383" max="5383" width="17.140625" style="214" customWidth="1"/>
    <col min="5384" max="5384" width="21.85546875" style="214" bestFit="1" customWidth="1"/>
    <col min="5385" max="5385" width="17.140625" style="214" bestFit="1" customWidth="1"/>
    <col min="5386" max="5386" width="18.140625" style="214" bestFit="1" customWidth="1"/>
    <col min="5387" max="5387" width="26.42578125" style="214" customWidth="1"/>
    <col min="5388" max="5632" width="9.140625" style="214"/>
    <col min="5633" max="5633" width="8.7109375" style="214" bestFit="1" customWidth="1"/>
    <col min="5634" max="5634" width="13.28515625" style="214" customWidth="1"/>
    <col min="5635" max="5635" width="16.140625" style="214" bestFit="1" customWidth="1"/>
    <col min="5636" max="5636" width="23.5703125" style="214" customWidth="1"/>
    <col min="5637" max="5637" width="17.28515625" style="214" customWidth="1"/>
    <col min="5638" max="5638" width="20.5703125" style="214" bestFit="1" customWidth="1"/>
    <col min="5639" max="5639" width="17.140625" style="214" customWidth="1"/>
    <col min="5640" max="5640" width="21.85546875" style="214" bestFit="1" customWidth="1"/>
    <col min="5641" max="5641" width="17.140625" style="214" bestFit="1" customWidth="1"/>
    <col min="5642" max="5642" width="18.140625" style="214" bestFit="1" customWidth="1"/>
    <col min="5643" max="5643" width="26.42578125" style="214" customWidth="1"/>
    <col min="5644" max="5888" width="9.140625" style="214"/>
    <col min="5889" max="5889" width="8.7109375" style="214" bestFit="1" customWidth="1"/>
    <col min="5890" max="5890" width="13.28515625" style="214" customWidth="1"/>
    <col min="5891" max="5891" width="16.140625" style="214" bestFit="1" customWidth="1"/>
    <col min="5892" max="5892" width="23.5703125" style="214" customWidth="1"/>
    <col min="5893" max="5893" width="17.28515625" style="214" customWidth="1"/>
    <col min="5894" max="5894" width="20.5703125" style="214" bestFit="1" customWidth="1"/>
    <col min="5895" max="5895" width="17.140625" style="214" customWidth="1"/>
    <col min="5896" max="5896" width="21.85546875" style="214" bestFit="1" customWidth="1"/>
    <col min="5897" max="5897" width="17.140625" style="214" bestFit="1" customWidth="1"/>
    <col min="5898" max="5898" width="18.140625" style="214" bestFit="1" customWidth="1"/>
    <col min="5899" max="5899" width="26.42578125" style="214" customWidth="1"/>
    <col min="5900" max="6144" width="9.140625" style="214"/>
    <col min="6145" max="6145" width="8.7109375" style="214" bestFit="1" customWidth="1"/>
    <col min="6146" max="6146" width="13.28515625" style="214" customWidth="1"/>
    <col min="6147" max="6147" width="16.140625" style="214" bestFit="1" customWidth="1"/>
    <col min="6148" max="6148" width="23.5703125" style="214" customWidth="1"/>
    <col min="6149" max="6149" width="17.28515625" style="214" customWidth="1"/>
    <col min="6150" max="6150" width="20.5703125" style="214" bestFit="1" customWidth="1"/>
    <col min="6151" max="6151" width="17.140625" style="214" customWidth="1"/>
    <col min="6152" max="6152" width="21.85546875" style="214" bestFit="1" customWidth="1"/>
    <col min="6153" max="6153" width="17.140625" style="214" bestFit="1" customWidth="1"/>
    <col min="6154" max="6154" width="18.140625" style="214" bestFit="1" customWidth="1"/>
    <col min="6155" max="6155" width="26.42578125" style="214" customWidth="1"/>
    <col min="6156" max="6400" width="9.140625" style="214"/>
    <col min="6401" max="6401" width="8.7109375" style="214" bestFit="1" customWidth="1"/>
    <col min="6402" max="6402" width="13.28515625" style="214" customWidth="1"/>
    <col min="6403" max="6403" width="16.140625" style="214" bestFit="1" customWidth="1"/>
    <col min="6404" max="6404" width="23.5703125" style="214" customWidth="1"/>
    <col min="6405" max="6405" width="17.28515625" style="214" customWidth="1"/>
    <col min="6406" max="6406" width="20.5703125" style="214" bestFit="1" customWidth="1"/>
    <col min="6407" max="6407" width="17.140625" style="214" customWidth="1"/>
    <col min="6408" max="6408" width="21.85546875" style="214" bestFit="1" customWidth="1"/>
    <col min="6409" max="6409" width="17.140625" style="214" bestFit="1" customWidth="1"/>
    <col min="6410" max="6410" width="18.140625" style="214" bestFit="1" customWidth="1"/>
    <col min="6411" max="6411" width="26.42578125" style="214" customWidth="1"/>
    <col min="6412" max="6656" width="9.140625" style="214"/>
    <col min="6657" max="6657" width="8.7109375" style="214" bestFit="1" customWidth="1"/>
    <col min="6658" max="6658" width="13.28515625" style="214" customWidth="1"/>
    <col min="6659" max="6659" width="16.140625" style="214" bestFit="1" customWidth="1"/>
    <col min="6660" max="6660" width="23.5703125" style="214" customWidth="1"/>
    <col min="6661" max="6661" width="17.28515625" style="214" customWidth="1"/>
    <col min="6662" max="6662" width="20.5703125" style="214" bestFit="1" customWidth="1"/>
    <col min="6663" max="6663" width="17.140625" style="214" customWidth="1"/>
    <col min="6664" max="6664" width="21.85546875" style="214" bestFit="1" customWidth="1"/>
    <col min="6665" max="6665" width="17.140625" style="214" bestFit="1" customWidth="1"/>
    <col min="6666" max="6666" width="18.140625" style="214" bestFit="1" customWidth="1"/>
    <col min="6667" max="6667" width="26.42578125" style="214" customWidth="1"/>
    <col min="6668" max="6912" width="9.140625" style="214"/>
    <col min="6913" max="6913" width="8.7109375" style="214" bestFit="1" customWidth="1"/>
    <col min="6914" max="6914" width="13.28515625" style="214" customWidth="1"/>
    <col min="6915" max="6915" width="16.140625" style="214" bestFit="1" customWidth="1"/>
    <col min="6916" max="6916" width="23.5703125" style="214" customWidth="1"/>
    <col min="6917" max="6917" width="17.28515625" style="214" customWidth="1"/>
    <col min="6918" max="6918" width="20.5703125" style="214" bestFit="1" customWidth="1"/>
    <col min="6919" max="6919" width="17.140625" style="214" customWidth="1"/>
    <col min="6920" max="6920" width="21.85546875" style="214" bestFit="1" customWidth="1"/>
    <col min="6921" max="6921" width="17.140625" style="214" bestFit="1" customWidth="1"/>
    <col min="6922" max="6922" width="18.140625" style="214" bestFit="1" customWidth="1"/>
    <col min="6923" max="6923" width="26.42578125" style="214" customWidth="1"/>
    <col min="6924" max="7168" width="9.140625" style="214"/>
    <col min="7169" max="7169" width="8.7109375" style="214" bestFit="1" customWidth="1"/>
    <col min="7170" max="7170" width="13.28515625" style="214" customWidth="1"/>
    <col min="7171" max="7171" width="16.140625" style="214" bestFit="1" customWidth="1"/>
    <col min="7172" max="7172" width="23.5703125" style="214" customWidth="1"/>
    <col min="7173" max="7173" width="17.28515625" style="214" customWidth="1"/>
    <col min="7174" max="7174" width="20.5703125" style="214" bestFit="1" customWidth="1"/>
    <col min="7175" max="7175" width="17.140625" style="214" customWidth="1"/>
    <col min="7176" max="7176" width="21.85546875" style="214" bestFit="1" customWidth="1"/>
    <col min="7177" max="7177" width="17.140625" style="214" bestFit="1" customWidth="1"/>
    <col min="7178" max="7178" width="18.140625" style="214" bestFit="1" customWidth="1"/>
    <col min="7179" max="7179" width="26.42578125" style="214" customWidth="1"/>
    <col min="7180" max="7424" width="9.140625" style="214"/>
    <col min="7425" max="7425" width="8.7109375" style="214" bestFit="1" customWidth="1"/>
    <col min="7426" max="7426" width="13.28515625" style="214" customWidth="1"/>
    <col min="7427" max="7427" width="16.140625" style="214" bestFit="1" customWidth="1"/>
    <col min="7428" max="7428" width="23.5703125" style="214" customWidth="1"/>
    <col min="7429" max="7429" width="17.28515625" style="214" customWidth="1"/>
    <col min="7430" max="7430" width="20.5703125" style="214" bestFit="1" customWidth="1"/>
    <col min="7431" max="7431" width="17.140625" style="214" customWidth="1"/>
    <col min="7432" max="7432" width="21.85546875" style="214" bestFit="1" customWidth="1"/>
    <col min="7433" max="7433" width="17.140625" style="214" bestFit="1" customWidth="1"/>
    <col min="7434" max="7434" width="18.140625" style="214" bestFit="1" customWidth="1"/>
    <col min="7435" max="7435" width="26.42578125" style="214" customWidth="1"/>
    <col min="7436" max="7680" width="9.140625" style="214"/>
    <col min="7681" max="7681" width="8.7109375" style="214" bestFit="1" customWidth="1"/>
    <col min="7682" max="7682" width="13.28515625" style="214" customWidth="1"/>
    <col min="7683" max="7683" width="16.140625" style="214" bestFit="1" customWidth="1"/>
    <col min="7684" max="7684" width="23.5703125" style="214" customWidth="1"/>
    <col min="7685" max="7685" width="17.28515625" style="214" customWidth="1"/>
    <col min="7686" max="7686" width="20.5703125" style="214" bestFit="1" customWidth="1"/>
    <col min="7687" max="7687" width="17.140625" style="214" customWidth="1"/>
    <col min="7688" max="7688" width="21.85546875" style="214" bestFit="1" customWidth="1"/>
    <col min="7689" max="7689" width="17.140625" style="214" bestFit="1" customWidth="1"/>
    <col min="7690" max="7690" width="18.140625" style="214" bestFit="1" customWidth="1"/>
    <col min="7691" max="7691" width="26.42578125" style="214" customWidth="1"/>
    <col min="7692" max="7936" width="9.140625" style="214"/>
    <col min="7937" max="7937" width="8.7109375" style="214" bestFit="1" customWidth="1"/>
    <col min="7938" max="7938" width="13.28515625" style="214" customWidth="1"/>
    <col min="7939" max="7939" width="16.140625" style="214" bestFit="1" customWidth="1"/>
    <col min="7940" max="7940" width="23.5703125" style="214" customWidth="1"/>
    <col min="7941" max="7941" width="17.28515625" style="214" customWidth="1"/>
    <col min="7942" max="7942" width="20.5703125" style="214" bestFit="1" customWidth="1"/>
    <col min="7943" max="7943" width="17.140625" style="214" customWidth="1"/>
    <col min="7944" max="7944" width="21.85546875" style="214" bestFit="1" customWidth="1"/>
    <col min="7945" max="7945" width="17.140625" style="214" bestFit="1" customWidth="1"/>
    <col min="7946" max="7946" width="18.140625" style="214" bestFit="1" customWidth="1"/>
    <col min="7947" max="7947" width="26.42578125" style="214" customWidth="1"/>
    <col min="7948" max="8192" width="9.140625" style="214"/>
    <col min="8193" max="8193" width="8.7109375" style="214" bestFit="1" customWidth="1"/>
    <col min="8194" max="8194" width="13.28515625" style="214" customWidth="1"/>
    <col min="8195" max="8195" width="16.140625" style="214" bestFit="1" customWidth="1"/>
    <col min="8196" max="8196" width="23.5703125" style="214" customWidth="1"/>
    <col min="8197" max="8197" width="17.28515625" style="214" customWidth="1"/>
    <col min="8198" max="8198" width="20.5703125" style="214" bestFit="1" customWidth="1"/>
    <col min="8199" max="8199" width="17.140625" style="214" customWidth="1"/>
    <col min="8200" max="8200" width="21.85546875" style="214" bestFit="1" customWidth="1"/>
    <col min="8201" max="8201" width="17.140625" style="214" bestFit="1" customWidth="1"/>
    <col min="8202" max="8202" width="18.140625" style="214" bestFit="1" customWidth="1"/>
    <col min="8203" max="8203" width="26.42578125" style="214" customWidth="1"/>
    <col min="8204" max="8448" width="9.140625" style="214"/>
    <col min="8449" max="8449" width="8.7109375" style="214" bestFit="1" customWidth="1"/>
    <col min="8450" max="8450" width="13.28515625" style="214" customWidth="1"/>
    <col min="8451" max="8451" width="16.140625" style="214" bestFit="1" customWidth="1"/>
    <col min="8452" max="8452" width="23.5703125" style="214" customWidth="1"/>
    <col min="8453" max="8453" width="17.28515625" style="214" customWidth="1"/>
    <col min="8454" max="8454" width="20.5703125" style="214" bestFit="1" customWidth="1"/>
    <col min="8455" max="8455" width="17.140625" style="214" customWidth="1"/>
    <col min="8456" max="8456" width="21.85546875" style="214" bestFit="1" customWidth="1"/>
    <col min="8457" max="8457" width="17.140625" style="214" bestFit="1" customWidth="1"/>
    <col min="8458" max="8458" width="18.140625" style="214" bestFit="1" customWidth="1"/>
    <col min="8459" max="8459" width="26.42578125" style="214" customWidth="1"/>
    <col min="8460" max="8704" width="9.140625" style="214"/>
    <col min="8705" max="8705" width="8.7109375" style="214" bestFit="1" customWidth="1"/>
    <col min="8706" max="8706" width="13.28515625" style="214" customWidth="1"/>
    <col min="8707" max="8707" width="16.140625" style="214" bestFit="1" customWidth="1"/>
    <col min="8708" max="8708" width="23.5703125" style="214" customWidth="1"/>
    <col min="8709" max="8709" width="17.28515625" style="214" customWidth="1"/>
    <col min="8710" max="8710" width="20.5703125" style="214" bestFit="1" customWidth="1"/>
    <col min="8711" max="8711" width="17.140625" style="214" customWidth="1"/>
    <col min="8712" max="8712" width="21.85546875" style="214" bestFit="1" customWidth="1"/>
    <col min="8713" max="8713" width="17.140625" style="214" bestFit="1" customWidth="1"/>
    <col min="8714" max="8714" width="18.140625" style="214" bestFit="1" customWidth="1"/>
    <col min="8715" max="8715" width="26.42578125" style="214" customWidth="1"/>
    <col min="8716" max="8960" width="9.140625" style="214"/>
    <col min="8961" max="8961" width="8.7109375" style="214" bestFit="1" customWidth="1"/>
    <col min="8962" max="8962" width="13.28515625" style="214" customWidth="1"/>
    <col min="8963" max="8963" width="16.140625" style="214" bestFit="1" customWidth="1"/>
    <col min="8964" max="8964" width="23.5703125" style="214" customWidth="1"/>
    <col min="8965" max="8965" width="17.28515625" style="214" customWidth="1"/>
    <col min="8966" max="8966" width="20.5703125" style="214" bestFit="1" customWidth="1"/>
    <col min="8967" max="8967" width="17.140625" style="214" customWidth="1"/>
    <col min="8968" max="8968" width="21.85546875" style="214" bestFit="1" customWidth="1"/>
    <col min="8969" max="8969" width="17.140625" style="214" bestFit="1" customWidth="1"/>
    <col min="8970" max="8970" width="18.140625" style="214" bestFit="1" customWidth="1"/>
    <col min="8971" max="8971" width="26.42578125" style="214" customWidth="1"/>
    <col min="8972" max="9216" width="9.140625" style="214"/>
    <col min="9217" max="9217" width="8.7109375" style="214" bestFit="1" customWidth="1"/>
    <col min="9218" max="9218" width="13.28515625" style="214" customWidth="1"/>
    <col min="9219" max="9219" width="16.140625" style="214" bestFit="1" customWidth="1"/>
    <col min="9220" max="9220" width="23.5703125" style="214" customWidth="1"/>
    <col min="9221" max="9221" width="17.28515625" style="214" customWidth="1"/>
    <col min="9222" max="9222" width="20.5703125" style="214" bestFit="1" customWidth="1"/>
    <col min="9223" max="9223" width="17.140625" style="214" customWidth="1"/>
    <col min="9224" max="9224" width="21.85546875" style="214" bestFit="1" customWidth="1"/>
    <col min="9225" max="9225" width="17.140625" style="214" bestFit="1" customWidth="1"/>
    <col min="9226" max="9226" width="18.140625" style="214" bestFit="1" customWidth="1"/>
    <col min="9227" max="9227" width="26.42578125" style="214" customWidth="1"/>
    <col min="9228" max="9472" width="9.140625" style="214"/>
    <col min="9473" max="9473" width="8.7109375" style="214" bestFit="1" customWidth="1"/>
    <col min="9474" max="9474" width="13.28515625" style="214" customWidth="1"/>
    <col min="9475" max="9475" width="16.140625" style="214" bestFit="1" customWidth="1"/>
    <col min="9476" max="9476" width="23.5703125" style="214" customWidth="1"/>
    <col min="9477" max="9477" width="17.28515625" style="214" customWidth="1"/>
    <col min="9478" max="9478" width="20.5703125" style="214" bestFit="1" customWidth="1"/>
    <col min="9479" max="9479" width="17.140625" style="214" customWidth="1"/>
    <col min="9480" max="9480" width="21.85546875" style="214" bestFit="1" customWidth="1"/>
    <col min="9481" max="9481" width="17.140625" style="214" bestFit="1" customWidth="1"/>
    <col min="9482" max="9482" width="18.140625" style="214" bestFit="1" customWidth="1"/>
    <col min="9483" max="9483" width="26.42578125" style="214" customWidth="1"/>
    <col min="9484" max="9728" width="9.140625" style="214"/>
    <col min="9729" max="9729" width="8.7109375" style="214" bestFit="1" customWidth="1"/>
    <col min="9730" max="9730" width="13.28515625" style="214" customWidth="1"/>
    <col min="9731" max="9731" width="16.140625" style="214" bestFit="1" customWidth="1"/>
    <col min="9732" max="9732" width="23.5703125" style="214" customWidth="1"/>
    <col min="9733" max="9733" width="17.28515625" style="214" customWidth="1"/>
    <col min="9734" max="9734" width="20.5703125" style="214" bestFit="1" customWidth="1"/>
    <col min="9735" max="9735" width="17.140625" style="214" customWidth="1"/>
    <col min="9736" max="9736" width="21.85546875" style="214" bestFit="1" customWidth="1"/>
    <col min="9737" max="9737" width="17.140625" style="214" bestFit="1" customWidth="1"/>
    <col min="9738" max="9738" width="18.140625" style="214" bestFit="1" customWidth="1"/>
    <col min="9739" max="9739" width="26.42578125" style="214" customWidth="1"/>
    <col min="9740" max="9984" width="9.140625" style="214"/>
    <col min="9985" max="9985" width="8.7109375" style="214" bestFit="1" customWidth="1"/>
    <col min="9986" max="9986" width="13.28515625" style="214" customWidth="1"/>
    <col min="9987" max="9987" width="16.140625" style="214" bestFit="1" customWidth="1"/>
    <col min="9988" max="9988" width="23.5703125" style="214" customWidth="1"/>
    <col min="9989" max="9989" width="17.28515625" style="214" customWidth="1"/>
    <col min="9990" max="9990" width="20.5703125" style="214" bestFit="1" customWidth="1"/>
    <col min="9991" max="9991" width="17.140625" style="214" customWidth="1"/>
    <col min="9992" max="9992" width="21.85546875" style="214" bestFit="1" customWidth="1"/>
    <col min="9993" max="9993" width="17.140625" style="214" bestFit="1" customWidth="1"/>
    <col min="9994" max="9994" width="18.140625" style="214" bestFit="1" customWidth="1"/>
    <col min="9995" max="9995" width="26.42578125" style="214" customWidth="1"/>
    <col min="9996" max="10240" width="9.140625" style="214"/>
    <col min="10241" max="10241" width="8.7109375" style="214" bestFit="1" customWidth="1"/>
    <col min="10242" max="10242" width="13.28515625" style="214" customWidth="1"/>
    <col min="10243" max="10243" width="16.140625" style="214" bestFit="1" customWidth="1"/>
    <col min="10244" max="10244" width="23.5703125" style="214" customWidth="1"/>
    <col min="10245" max="10245" width="17.28515625" style="214" customWidth="1"/>
    <col min="10246" max="10246" width="20.5703125" style="214" bestFit="1" customWidth="1"/>
    <col min="10247" max="10247" width="17.140625" style="214" customWidth="1"/>
    <col min="10248" max="10248" width="21.85546875" style="214" bestFit="1" customWidth="1"/>
    <col min="10249" max="10249" width="17.140625" style="214" bestFit="1" customWidth="1"/>
    <col min="10250" max="10250" width="18.140625" style="214" bestFit="1" customWidth="1"/>
    <col min="10251" max="10251" width="26.42578125" style="214" customWidth="1"/>
    <col min="10252" max="10496" width="9.140625" style="214"/>
    <col min="10497" max="10497" width="8.7109375" style="214" bestFit="1" customWidth="1"/>
    <col min="10498" max="10498" width="13.28515625" style="214" customWidth="1"/>
    <col min="10499" max="10499" width="16.140625" style="214" bestFit="1" customWidth="1"/>
    <col min="10500" max="10500" width="23.5703125" style="214" customWidth="1"/>
    <col min="10501" max="10501" width="17.28515625" style="214" customWidth="1"/>
    <col min="10502" max="10502" width="20.5703125" style="214" bestFit="1" customWidth="1"/>
    <col min="10503" max="10503" width="17.140625" style="214" customWidth="1"/>
    <col min="10504" max="10504" width="21.85546875" style="214" bestFit="1" customWidth="1"/>
    <col min="10505" max="10505" width="17.140625" style="214" bestFit="1" customWidth="1"/>
    <col min="10506" max="10506" width="18.140625" style="214" bestFit="1" customWidth="1"/>
    <col min="10507" max="10507" width="26.42578125" style="214" customWidth="1"/>
    <col min="10508" max="10752" width="9.140625" style="214"/>
    <col min="10753" max="10753" width="8.7109375" style="214" bestFit="1" customWidth="1"/>
    <col min="10754" max="10754" width="13.28515625" style="214" customWidth="1"/>
    <col min="10755" max="10755" width="16.140625" style="214" bestFit="1" customWidth="1"/>
    <col min="10756" max="10756" width="23.5703125" style="214" customWidth="1"/>
    <col min="10757" max="10757" width="17.28515625" style="214" customWidth="1"/>
    <col min="10758" max="10758" width="20.5703125" style="214" bestFit="1" customWidth="1"/>
    <col min="10759" max="10759" width="17.140625" style="214" customWidth="1"/>
    <col min="10760" max="10760" width="21.85546875" style="214" bestFit="1" customWidth="1"/>
    <col min="10761" max="10761" width="17.140625" style="214" bestFit="1" customWidth="1"/>
    <col min="10762" max="10762" width="18.140625" style="214" bestFit="1" customWidth="1"/>
    <col min="10763" max="10763" width="26.42578125" style="214" customWidth="1"/>
    <col min="10764" max="11008" width="9.140625" style="214"/>
    <col min="11009" max="11009" width="8.7109375" style="214" bestFit="1" customWidth="1"/>
    <col min="11010" max="11010" width="13.28515625" style="214" customWidth="1"/>
    <col min="11011" max="11011" width="16.140625" style="214" bestFit="1" customWidth="1"/>
    <col min="11012" max="11012" width="23.5703125" style="214" customWidth="1"/>
    <col min="11013" max="11013" width="17.28515625" style="214" customWidth="1"/>
    <col min="11014" max="11014" width="20.5703125" style="214" bestFit="1" customWidth="1"/>
    <col min="11015" max="11015" width="17.140625" style="214" customWidth="1"/>
    <col min="11016" max="11016" width="21.85546875" style="214" bestFit="1" customWidth="1"/>
    <col min="11017" max="11017" width="17.140625" style="214" bestFit="1" customWidth="1"/>
    <col min="11018" max="11018" width="18.140625" style="214" bestFit="1" customWidth="1"/>
    <col min="11019" max="11019" width="26.42578125" style="214" customWidth="1"/>
    <col min="11020" max="11264" width="9.140625" style="214"/>
    <col min="11265" max="11265" width="8.7109375" style="214" bestFit="1" customWidth="1"/>
    <col min="11266" max="11266" width="13.28515625" style="214" customWidth="1"/>
    <col min="11267" max="11267" width="16.140625" style="214" bestFit="1" customWidth="1"/>
    <col min="11268" max="11268" width="23.5703125" style="214" customWidth="1"/>
    <col min="11269" max="11269" width="17.28515625" style="214" customWidth="1"/>
    <col min="11270" max="11270" width="20.5703125" style="214" bestFit="1" customWidth="1"/>
    <col min="11271" max="11271" width="17.140625" style="214" customWidth="1"/>
    <col min="11272" max="11272" width="21.85546875" style="214" bestFit="1" customWidth="1"/>
    <col min="11273" max="11273" width="17.140625" style="214" bestFit="1" customWidth="1"/>
    <col min="11274" max="11274" width="18.140625" style="214" bestFit="1" customWidth="1"/>
    <col min="11275" max="11275" width="26.42578125" style="214" customWidth="1"/>
    <col min="11276" max="11520" width="9.140625" style="214"/>
    <col min="11521" max="11521" width="8.7109375" style="214" bestFit="1" customWidth="1"/>
    <col min="11522" max="11522" width="13.28515625" style="214" customWidth="1"/>
    <col min="11523" max="11523" width="16.140625" style="214" bestFit="1" customWidth="1"/>
    <col min="11524" max="11524" width="23.5703125" style="214" customWidth="1"/>
    <col min="11525" max="11525" width="17.28515625" style="214" customWidth="1"/>
    <col min="11526" max="11526" width="20.5703125" style="214" bestFit="1" customWidth="1"/>
    <col min="11527" max="11527" width="17.140625" style="214" customWidth="1"/>
    <col min="11528" max="11528" width="21.85546875" style="214" bestFit="1" customWidth="1"/>
    <col min="11529" max="11529" width="17.140625" style="214" bestFit="1" customWidth="1"/>
    <col min="11530" max="11530" width="18.140625" style="214" bestFit="1" customWidth="1"/>
    <col min="11531" max="11531" width="26.42578125" style="214" customWidth="1"/>
    <col min="11532" max="11776" width="9.140625" style="214"/>
    <col min="11777" max="11777" width="8.7109375" style="214" bestFit="1" customWidth="1"/>
    <col min="11778" max="11778" width="13.28515625" style="214" customWidth="1"/>
    <col min="11779" max="11779" width="16.140625" style="214" bestFit="1" customWidth="1"/>
    <col min="11780" max="11780" width="23.5703125" style="214" customWidth="1"/>
    <col min="11781" max="11781" width="17.28515625" style="214" customWidth="1"/>
    <col min="11782" max="11782" width="20.5703125" style="214" bestFit="1" customWidth="1"/>
    <col min="11783" max="11783" width="17.140625" style="214" customWidth="1"/>
    <col min="11784" max="11784" width="21.85546875" style="214" bestFit="1" customWidth="1"/>
    <col min="11785" max="11785" width="17.140625" style="214" bestFit="1" customWidth="1"/>
    <col min="11786" max="11786" width="18.140625" style="214" bestFit="1" customWidth="1"/>
    <col min="11787" max="11787" width="26.42578125" style="214" customWidth="1"/>
    <col min="11788" max="12032" width="9.140625" style="214"/>
    <col min="12033" max="12033" width="8.7109375" style="214" bestFit="1" customWidth="1"/>
    <col min="12034" max="12034" width="13.28515625" style="214" customWidth="1"/>
    <col min="12035" max="12035" width="16.140625" style="214" bestFit="1" customWidth="1"/>
    <col min="12036" max="12036" width="23.5703125" style="214" customWidth="1"/>
    <col min="12037" max="12037" width="17.28515625" style="214" customWidth="1"/>
    <col min="12038" max="12038" width="20.5703125" style="214" bestFit="1" customWidth="1"/>
    <col min="12039" max="12039" width="17.140625" style="214" customWidth="1"/>
    <col min="12040" max="12040" width="21.85546875" style="214" bestFit="1" customWidth="1"/>
    <col min="12041" max="12041" width="17.140625" style="214" bestFit="1" customWidth="1"/>
    <col min="12042" max="12042" width="18.140625" style="214" bestFit="1" customWidth="1"/>
    <col min="12043" max="12043" width="26.42578125" style="214" customWidth="1"/>
    <col min="12044" max="12288" width="9.140625" style="214"/>
    <col min="12289" max="12289" width="8.7109375" style="214" bestFit="1" customWidth="1"/>
    <col min="12290" max="12290" width="13.28515625" style="214" customWidth="1"/>
    <col min="12291" max="12291" width="16.140625" style="214" bestFit="1" customWidth="1"/>
    <col min="12292" max="12292" width="23.5703125" style="214" customWidth="1"/>
    <col min="12293" max="12293" width="17.28515625" style="214" customWidth="1"/>
    <col min="12294" max="12294" width="20.5703125" style="214" bestFit="1" customWidth="1"/>
    <col min="12295" max="12295" width="17.140625" style="214" customWidth="1"/>
    <col min="12296" max="12296" width="21.85546875" style="214" bestFit="1" customWidth="1"/>
    <col min="12297" max="12297" width="17.140625" style="214" bestFit="1" customWidth="1"/>
    <col min="12298" max="12298" width="18.140625" style="214" bestFit="1" customWidth="1"/>
    <col min="12299" max="12299" width="26.42578125" style="214" customWidth="1"/>
    <col min="12300" max="12544" width="9.140625" style="214"/>
    <col min="12545" max="12545" width="8.7109375" style="214" bestFit="1" customWidth="1"/>
    <col min="12546" max="12546" width="13.28515625" style="214" customWidth="1"/>
    <col min="12547" max="12547" width="16.140625" style="214" bestFit="1" customWidth="1"/>
    <col min="12548" max="12548" width="23.5703125" style="214" customWidth="1"/>
    <col min="12549" max="12549" width="17.28515625" style="214" customWidth="1"/>
    <col min="12550" max="12550" width="20.5703125" style="214" bestFit="1" customWidth="1"/>
    <col min="12551" max="12551" width="17.140625" style="214" customWidth="1"/>
    <col min="12552" max="12552" width="21.85546875" style="214" bestFit="1" customWidth="1"/>
    <col min="12553" max="12553" width="17.140625" style="214" bestFit="1" customWidth="1"/>
    <col min="12554" max="12554" width="18.140625" style="214" bestFit="1" customWidth="1"/>
    <col min="12555" max="12555" width="26.42578125" style="214" customWidth="1"/>
    <col min="12556" max="12800" width="9.140625" style="214"/>
    <col min="12801" max="12801" width="8.7109375" style="214" bestFit="1" customWidth="1"/>
    <col min="12802" max="12802" width="13.28515625" style="214" customWidth="1"/>
    <col min="12803" max="12803" width="16.140625" style="214" bestFit="1" customWidth="1"/>
    <col min="12804" max="12804" width="23.5703125" style="214" customWidth="1"/>
    <col min="12805" max="12805" width="17.28515625" style="214" customWidth="1"/>
    <col min="12806" max="12806" width="20.5703125" style="214" bestFit="1" customWidth="1"/>
    <col min="12807" max="12807" width="17.140625" style="214" customWidth="1"/>
    <col min="12808" max="12808" width="21.85546875" style="214" bestFit="1" customWidth="1"/>
    <col min="12809" max="12809" width="17.140625" style="214" bestFit="1" customWidth="1"/>
    <col min="12810" max="12810" width="18.140625" style="214" bestFit="1" customWidth="1"/>
    <col min="12811" max="12811" width="26.42578125" style="214" customWidth="1"/>
    <col min="12812" max="13056" width="9.140625" style="214"/>
    <col min="13057" max="13057" width="8.7109375" style="214" bestFit="1" customWidth="1"/>
    <col min="13058" max="13058" width="13.28515625" style="214" customWidth="1"/>
    <col min="13059" max="13059" width="16.140625" style="214" bestFit="1" customWidth="1"/>
    <col min="13060" max="13060" width="23.5703125" style="214" customWidth="1"/>
    <col min="13061" max="13061" width="17.28515625" style="214" customWidth="1"/>
    <col min="13062" max="13062" width="20.5703125" style="214" bestFit="1" customWidth="1"/>
    <col min="13063" max="13063" width="17.140625" style="214" customWidth="1"/>
    <col min="13064" max="13064" width="21.85546875" style="214" bestFit="1" customWidth="1"/>
    <col min="13065" max="13065" width="17.140625" style="214" bestFit="1" customWidth="1"/>
    <col min="13066" max="13066" width="18.140625" style="214" bestFit="1" customWidth="1"/>
    <col min="13067" max="13067" width="26.42578125" style="214" customWidth="1"/>
    <col min="13068" max="13312" width="9.140625" style="214"/>
    <col min="13313" max="13313" width="8.7109375" style="214" bestFit="1" customWidth="1"/>
    <col min="13314" max="13314" width="13.28515625" style="214" customWidth="1"/>
    <col min="13315" max="13315" width="16.140625" style="214" bestFit="1" customWidth="1"/>
    <col min="13316" max="13316" width="23.5703125" style="214" customWidth="1"/>
    <col min="13317" max="13317" width="17.28515625" style="214" customWidth="1"/>
    <col min="13318" max="13318" width="20.5703125" style="214" bestFit="1" customWidth="1"/>
    <col min="13319" max="13319" width="17.140625" style="214" customWidth="1"/>
    <col min="13320" max="13320" width="21.85546875" style="214" bestFit="1" customWidth="1"/>
    <col min="13321" max="13321" width="17.140625" style="214" bestFit="1" customWidth="1"/>
    <col min="13322" max="13322" width="18.140625" style="214" bestFit="1" customWidth="1"/>
    <col min="13323" max="13323" width="26.42578125" style="214" customWidth="1"/>
    <col min="13324" max="13568" width="9.140625" style="214"/>
    <col min="13569" max="13569" width="8.7109375" style="214" bestFit="1" customWidth="1"/>
    <col min="13570" max="13570" width="13.28515625" style="214" customWidth="1"/>
    <col min="13571" max="13571" width="16.140625" style="214" bestFit="1" customWidth="1"/>
    <col min="13572" max="13572" width="23.5703125" style="214" customWidth="1"/>
    <col min="13573" max="13573" width="17.28515625" style="214" customWidth="1"/>
    <col min="13574" max="13574" width="20.5703125" style="214" bestFit="1" customWidth="1"/>
    <col min="13575" max="13575" width="17.140625" style="214" customWidth="1"/>
    <col min="13576" max="13576" width="21.85546875" style="214" bestFit="1" customWidth="1"/>
    <col min="13577" max="13577" width="17.140625" style="214" bestFit="1" customWidth="1"/>
    <col min="13578" max="13578" width="18.140625" style="214" bestFit="1" customWidth="1"/>
    <col min="13579" max="13579" width="26.42578125" style="214" customWidth="1"/>
    <col min="13580" max="13824" width="9.140625" style="214"/>
    <col min="13825" max="13825" width="8.7109375" style="214" bestFit="1" customWidth="1"/>
    <col min="13826" max="13826" width="13.28515625" style="214" customWidth="1"/>
    <col min="13827" max="13827" width="16.140625" style="214" bestFit="1" customWidth="1"/>
    <col min="13828" max="13828" width="23.5703125" style="214" customWidth="1"/>
    <col min="13829" max="13829" width="17.28515625" style="214" customWidth="1"/>
    <col min="13830" max="13830" width="20.5703125" style="214" bestFit="1" customWidth="1"/>
    <col min="13831" max="13831" width="17.140625" style="214" customWidth="1"/>
    <col min="13832" max="13832" width="21.85546875" style="214" bestFit="1" customWidth="1"/>
    <col min="13833" max="13833" width="17.140625" style="214" bestFit="1" customWidth="1"/>
    <col min="13834" max="13834" width="18.140625" style="214" bestFit="1" customWidth="1"/>
    <col min="13835" max="13835" width="26.42578125" style="214" customWidth="1"/>
    <col min="13836" max="14080" width="9.140625" style="214"/>
    <col min="14081" max="14081" width="8.7109375" style="214" bestFit="1" customWidth="1"/>
    <col min="14082" max="14082" width="13.28515625" style="214" customWidth="1"/>
    <col min="14083" max="14083" width="16.140625" style="214" bestFit="1" customWidth="1"/>
    <col min="14084" max="14084" width="23.5703125" style="214" customWidth="1"/>
    <col min="14085" max="14085" width="17.28515625" style="214" customWidth="1"/>
    <col min="14086" max="14086" width="20.5703125" style="214" bestFit="1" customWidth="1"/>
    <col min="14087" max="14087" width="17.140625" style="214" customWidth="1"/>
    <col min="14088" max="14088" width="21.85546875" style="214" bestFit="1" customWidth="1"/>
    <col min="14089" max="14089" width="17.140625" style="214" bestFit="1" customWidth="1"/>
    <col min="14090" max="14090" width="18.140625" style="214" bestFit="1" customWidth="1"/>
    <col min="14091" max="14091" width="26.42578125" style="214" customWidth="1"/>
    <col min="14092" max="14336" width="9.140625" style="214"/>
    <col min="14337" max="14337" width="8.7109375" style="214" bestFit="1" customWidth="1"/>
    <col min="14338" max="14338" width="13.28515625" style="214" customWidth="1"/>
    <col min="14339" max="14339" width="16.140625" style="214" bestFit="1" customWidth="1"/>
    <col min="14340" max="14340" width="23.5703125" style="214" customWidth="1"/>
    <col min="14341" max="14341" width="17.28515625" style="214" customWidth="1"/>
    <col min="14342" max="14342" width="20.5703125" style="214" bestFit="1" customWidth="1"/>
    <col min="14343" max="14343" width="17.140625" style="214" customWidth="1"/>
    <col min="14344" max="14344" width="21.85546875" style="214" bestFit="1" customWidth="1"/>
    <col min="14345" max="14345" width="17.140625" style="214" bestFit="1" customWidth="1"/>
    <col min="14346" max="14346" width="18.140625" style="214" bestFit="1" customWidth="1"/>
    <col min="14347" max="14347" width="26.42578125" style="214" customWidth="1"/>
    <col min="14348" max="14592" width="9.140625" style="214"/>
    <col min="14593" max="14593" width="8.7109375" style="214" bestFit="1" customWidth="1"/>
    <col min="14594" max="14594" width="13.28515625" style="214" customWidth="1"/>
    <col min="14595" max="14595" width="16.140625" style="214" bestFit="1" customWidth="1"/>
    <col min="14596" max="14596" width="23.5703125" style="214" customWidth="1"/>
    <col min="14597" max="14597" width="17.28515625" style="214" customWidth="1"/>
    <col min="14598" max="14598" width="20.5703125" style="214" bestFit="1" customWidth="1"/>
    <col min="14599" max="14599" width="17.140625" style="214" customWidth="1"/>
    <col min="14600" max="14600" width="21.85546875" style="214" bestFit="1" customWidth="1"/>
    <col min="14601" max="14601" width="17.140625" style="214" bestFit="1" customWidth="1"/>
    <col min="14602" max="14602" width="18.140625" style="214" bestFit="1" customWidth="1"/>
    <col min="14603" max="14603" width="26.42578125" style="214" customWidth="1"/>
    <col min="14604" max="14848" width="9.140625" style="214"/>
    <col min="14849" max="14849" width="8.7109375" style="214" bestFit="1" customWidth="1"/>
    <col min="14850" max="14850" width="13.28515625" style="214" customWidth="1"/>
    <col min="14851" max="14851" width="16.140625" style="214" bestFit="1" customWidth="1"/>
    <col min="14852" max="14852" width="23.5703125" style="214" customWidth="1"/>
    <col min="14853" max="14853" width="17.28515625" style="214" customWidth="1"/>
    <col min="14854" max="14854" width="20.5703125" style="214" bestFit="1" customWidth="1"/>
    <col min="14855" max="14855" width="17.140625" style="214" customWidth="1"/>
    <col min="14856" max="14856" width="21.85546875" style="214" bestFit="1" customWidth="1"/>
    <col min="14857" max="14857" width="17.140625" style="214" bestFit="1" customWidth="1"/>
    <col min="14858" max="14858" width="18.140625" style="214" bestFit="1" customWidth="1"/>
    <col min="14859" max="14859" width="26.42578125" style="214" customWidth="1"/>
    <col min="14860" max="15104" width="9.140625" style="214"/>
    <col min="15105" max="15105" width="8.7109375" style="214" bestFit="1" customWidth="1"/>
    <col min="15106" max="15106" width="13.28515625" style="214" customWidth="1"/>
    <col min="15107" max="15107" width="16.140625" style="214" bestFit="1" customWidth="1"/>
    <col min="15108" max="15108" width="23.5703125" style="214" customWidth="1"/>
    <col min="15109" max="15109" width="17.28515625" style="214" customWidth="1"/>
    <col min="15110" max="15110" width="20.5703125" style="214" bestFit="1" customWidth="1"/>
    <col min="15111" max="15111" width="17.140625" style="214" customWidth="1"/>
    <col min="15112" max="15112" width="21.85546875" style="214" bestFit="1" customWidth="1"/>
    <col min="15113" max="15113" width="17.140625" style="214" bestFit="1" customWidth="1"/>
    <col min="15114" max="15114" width="18.140625" style="214" bestFit="1" customWidth="1"/>
    <col min="15115" max="15115" width="26.42578125" style="214" customWidth="1"/>
    <col min="15116" max="15360" width="9.140625" style="214"/>
    <col min="15361" max="15361" width="8.7109375" style="214" bestFit="1" customWidth="1"/>
    <col min="15362" max="15362" width="13.28515625" style="214" customWidth="1"/>
    <col min="15363" max="15363" width="16.140625" style="214" bestFit="1" customWidth="1"/>
    <col min="15364" max="15364" width="23.5703125" style="214" customWidth="1"/>
    <col min="15365" max="15365" width="17.28515625" style="214" customWidth="1"/>
    <col min="15366" max="15366" width="20.5703125" style="214" bestFit="1" customWidth="1"/>
    <col min="15367" max="15367" width="17.140625" style="214" customWidth="1"/>
    <col min="15368" max="15368" width="21.85546875" style="214" bestFit="1" customWidth="1"/>
    <col min="15369" max="15369" width="17.140625" style="214" bestFit="1" customWidth="1"/>
    <col min="15370" max="15370" width="18.140625" style="214" bestFit="1" customWidth="1"/>
    <col min="15371" max="15371" width="26.42578125" style="214" customWidth="1"/>
    <col min="15372" max="15616" width="9.140625" style="214"/>
    <col min="15617" max="15617" width="8.7109375" style="214" bestFit="1" customWidth="1"/>
    <col min="15618" max="15618" width="13.28515625" style="214" customWidth="1"/>
    <col min="15619" max="15619" width="16.140625" style="214" bestFit="1" customWidth="1"/>
    <col min="15620" max="15620" width="23.5703125" style="214" customWidth="1"/>
    <col min="15621" max="15621" width="17.28515625" style="214" customWidth="1"/>
    <col min="15622" max="15622" width="20.5703125" style="214" bestFit="1" customWidth="1"/>
    <col min="15623" max="15623" width="17.140625" style="214" customWidth="1"/>
    <col min="15624" max="15624" width="21.85546875" style="214" bestFit="1" customWidth="1"/>
    <col min="15625" max="15625" width="17.140625" style="214" bestFit="1" customWidth="1"/>
    <col min="15626" max="15626" width="18.140625" style="214" bestFit="1" customWidth="1"/>
    <col min="15627" max="15627" width="26.42578125" style="214" customWidth="1"/>
    <col min="15628" max="15872" width="9.140625" style="214"/>
    <col min="15873" max="15873" width="8.7109375" style="214" bestFit="1" customWidth="1"/>
    <col min="15874" max="15874" width="13.28515625" style="214" customWidth="1"/>
    <col min="15875" max="15875" width="16.140625" style="214" bestFit="1" customWidth="1"/>
    <col min="15876" max="15876" width="23.5703125" style="214" customWidth="1"/>
    <col min="15877" max="15877" width="17.28515625" style="214" customWidth="1"/>
    <col min="15878" max="15878" width="20.5703125" style="214" bestFit="1" customWidth="1"/>
    <col min="15879" max="15879" width="17.140625" style="214" customWidth="1"/>
    <col min="15880" max="15880" width="21.85546875" style="214" bestFit="1" customWidth="1"/>
    <col min="15881" max="15881" width="17.140625" style="214" bestFit="1" customWidth="1"/>
    <col min="15882" max="15882" width="18.140625" style="214" bestFit="1" customWidth="1"/>
    <col min="15883" max="15883" width="26.42578125" style="214" customWidth="1"/>
    <col min="15884" max="16128" width="9.140625" style="214"/>
    <col min="16129" max="16129" width="8.7109375" style="214" bestFit="1" customWidth="1"/>
    <col min="16130" max="16130" width="13.28515625" style="214" customWidth="1"/>
    <col min="16131" max="16131" width="16.140625" style="214" bestFit="1" customWidth="1"/>
    <col min="16132" max="16132" width="23.5703125" style="214" customWidth="1"/>
    <col min="16133" max="16133" width="17.28515625" style="214" customWidth="1"/>
    <col min="16134" max="16134" width="20.5703125" style="214" bestFit="1" customWidth="1"/>
    <col min="16135" max="16135" width="17.140625" style="214" customWidth="1"/>
    <col min="16136" max="16136" width="21.85546875" style="214" bestFit="1" customWidth="1"/>
    <col min="16137" max="16137" width="17.140625" style="214" bestFit="1" customWidth="1"/>
    <col min="16138" max="16138" width="18.140625" style="214" bestFit="1" customWidth="1"/>
    <col min="16139" max="16139" width="26.42578125" style="214" customWidth="1"/>
    <col min="16140" max="16384" width="9.140625" style="214"/>
  </cols>
  <sheetData>
    <row r="1" spans="13:13" s="248" customFormat="1" x14ac:dyDescent="0.2">
      <c r="M1" s="249"/>
    </row>
    <row r="2" spans="13:13" s="248" customFormat="1" x14ac:dyDescent="0.2">
      <c r="M2" s="249"/>
    </row>
    <row r="3" spans="13:13" s="248" customFormat="1" x14ac:dyDescent="0.2">
      <c r="M3" s="249"/>
    </row>
    <row r="4" spans="13:13" s="248" customFormat="1" x14ac:dyDescent="0.2">
      <c r="M4" s="249"/>
    </row>
    <row r="5" spans="13:13" s="248" customFormat="1" x14ac:dyDescent="0.2">
      <c r="M5" s="249"/>
    </row>
    <row r="6" spans="13:13" s="248" customFormat="1" x14ac:dyDescent="0.2">
      <c r="M6" s="249"/>
    </row>
    <row r="7" spans="13:13" s="248" customFormat="1" x14ac:dyDescent="0.2">
      <c r="M7" s="249"/>
    </row>
    <row r="8" spans="13:13" s="248" customFormat="1" x14ac:dyDescent="0.2">
      <c r="M8" s="249"/>
    </row>
    <row r="9" spans="13:13" s="248" customFormat="1" x14ac:dyDescent="0.2">
      <c r="M9" s="249"/>
    </row>
    <row r="10" spans="13:13" s="248" customFormat="1" x14ac:dyDescent="0.2">
      <c r="M10" s="249"/>
    </row>
    <row r="11" spans="13:13" s="248" customFormat="1" x14ac:dyDescent="0.2">
      <c r="M11" s="249"/>
    </row>
    <row r="12" spans="13:13" s="248" customFormat="1" x14ac:dyDescent="0.2">
      <c r="M12" s="249"/>
    </row>
    <row r="13" spans="13:13" s="248" customFormat="1" x14ac:dyDescent="0.2">
      <c r="M13" s="249"/>
    </row>
    <row r="14" spans="13:13" s="248" customFormat="1" x14ac:dyDescent="0.2">
      <c r="M14" s="249"/>
    </row>
    <row r="15" spans="13:13" s="248" customFormat="1" x14ac:dyDescent="0.2">
      <c r="M15" s="249"/>
    </row>
    <row r="16" spans="13:13" s="248" customFormat="1" x14ac:dyDescent="0.2">
      <c r="M16" s="249"/>
    </row>
    <row r="17" spans="13:13" s="248" customFormat="1" x14ac:dyDescent="0.2">
      <c r="M17" s="249"/>
    </row>
    <row r="18" spans="13:13" s="248" customFormat="1" x14ac:dyDescent="0.2">
      <c r="M18" s="249"/>
    </row>
    <row r="19" spans="13:13" s="248" customFormat="1" x14ac:dyDescent="0.2">
      <c r="M19" s="249"/>
    </row>
    <row r="20" spans="13:13" s="248" customFormat="1" x14ac:dyDescent="0.2">
      <c r="M20" s="249"/>
    </row>
    <row r="21" spans="13:13" s="248" customFormat="1" x14ac:dyDescent="0.2">
      <c r="M21" s="249"/>
    </row>
    <row r="22" spans="13:13" s="248" customFormat="1" x14ac:dyDescent="0.2">
      <c r="M22" s="249"/>
    </row>
    <row r="23" spans="13:13" s="248" customFormat="1" x14ac:dyDescent="0.2">
      <c r="M23" s="249"/>
    </row>
    <row r="24" spans="13:13" s="248" customFormat="1" x14ac:dyDescent="0.2">
      <c r="M24" s="249"/>
    </row>
    <row r="25" spans="13:13" s="248" customFormat="1" x14ac:dyDescent="0.2">
      <c r="M25" s="249"/>
    </row>
    <row r="26" spans="13:13" s="248" customFormat="1" x14ac:dyDescent="0.2">
      <c r="M26" s="249"/>
    </row>
    <row r="27" spans="13:13" s="248" customFormat="1" x14ac:dyDescent="0.2">
      <c r="M27" s="249"/>
    </row>
    <row r="28" spans="13:13" s="248" customFormat="1" x14ac:dyDescent="0.2">
      <c r="M28" s="249"/>
    </row>
    <row r="29" spans="13:13" s="248" customFormat="1" x14ac:dyDescent="0.2">
      <c r="M29" s="249"/>
    </row>
    <row r="30" spans="13:13" s="248" customFormat="1" x14ac:dyDescent="0.2">
      <c r="M30" s="249"/>
    </row>
    <row r="31" spans="13:13" s="248" customFormat="1" x14ac:dyDescent="0.2">
      <c r="M31" s="249"/>
    </row>
    <row r="32" spans="13:13" s="248" customFormat="1" x14ac:dyDescent="0.2">
      <c r="M32" s="249"/>
    </row>
    <row r="33" spans="1:13" s="248" customFormat="1" x14ac:dyDescent="0.2">
      <c r="M33" s="249"/>
    </row>
    <row r="34" spans="1:13" s="248" customFormat="1" x14ac:dyDescent="0.2">
      <c r="M34" s="249"/>
    </row>
    <row r="35" spans="1:13" s="248" customFormat="1" x14ac:dyDescent="0.2">
      <c r="M35" s="249"/>
    </row>
    <row r="36" spans="1:13" s="248" customFormat="1" x14ac:dyDescent="0.2">
      <c r="M36" s="249"/>
    </row>
    <row r="37" spans="1:13" s="248" customFormat="1" ht="15.75" customHeight="1" x14ac:dyDescent="0.2">
      <c r="A37" s="248" t="s">
        <v>787</v>
      </c>
      <c r="I37" s="158" t="str">
        <f>IF(OR(SCH_MODE=3, SCH_MODE=4), "** Slave controller (CNTRL2) not shown **","** Tie VCCX to GND if not used **")</f>
        <v>** Tie VCCX to GND if not used **</v>
      </c>
    </row>
    <row r="38" spans="1:13" s="248" customFormat="1" ht="15.75" customHeight="1" x14ac:dyDescent="0.2">
      <c r="A38" s="248" t="s">
        <v>786</v>
      </c>
      <c r="I38" s="279" t="str">
        <f>IF(OR(SCH_MODE=3, SCH_MODE=4),"** Tie VCCX to GND if not used **", "")</f>
        <v/>
      </c>
    </row>
    <row r="39" spans="1:13" s="248" customFormat="1" ht="15.75" customHeight="1" x14ac:dyDescent="0.2">
      <c r="A39" s="248" t="s">
        <v>785</v>
      </c>
    </row>
    <row r="40" spans="1:13" s="248" customFormat="1" ht="15.75" customHeight="1" x14ac:dyDescent="0.2">
      <c r="A40" s="248" t="s">
        <v>788</v>
      </c>
    </row>
    <row r="41" spans="1:13" s="248" customFormat="1" ht="15.75" customHeight="1" x14ac:dyDescent="0.2">
      <c r="A41" s="248" t="s">
        <v>789</v>
      </c>
    </row>
    <row r="42" spans="1:13" s="248" customFormat="1" ht="24.75" customHeight="1" x14ac:dyDescent="0.25">
      <c r="A42" s="253" t="str">
        <f>CHOOSE(MODE, "VIN = "&amp;VIN_min&amp;" V to "&amp;VIN_max&amp;" V, VOUT1 = "&amp; Vout &amp;" V, IOUT1 = " &amp;Iout &amp;"A"&amp;", VOUT2 = "&amp; Vout2 &amp;" V, IOUT2 = " &amp;Iout2 &amp; " A,  Fsw = " &amp; Fsw/1000 &amp;" kHz, Current Limit = "&amp;ROUNDUP(Ilimit_DC,0)&amp;" A", "VIN = "&amp;VIN_min&amp;" V to "&amp;VIN_max&amp;" V, VOUT = "&amp; Vout &amp;" V, IOUT = " &amp;Iout &amp; " A,  Fsw = " &amp; Fsw/1000 &amp;" kHz, Current Limit = "&amp;ROUNDUP(Ilimit_DC,0)&amp;" A")</f>
        <v>VIN = 55 V to 65 V, VOUT1 = 10 V, IOUT1 = 10A, VOUT2 = 50 V, IOUT2 = 10 A,  Fsw = 600 kHz, Current Limit = 14 A</v>
      </c>
    </row>
    <row r="43" spans="1:13" ht="24.75" customHeight="1" thickBot="1" x14ac:dyDescent="0.25">
      <c r="A43" s="216" t="s">
        <v>755</v>
      </c>
    </row>
    <row r="44" spans="1:13" ht="18" customHeight="1" x14ac:dyDescent="0.2">
      <c r="A44" s="487" t="s">
        <v>254</v>
      </c>
      <c r="B44" s="488" t="s">
        <v>253</v>
      </c>
      <c r="C44" s="488" t="s">
        <v>7</v>
      </c>
      <c r="D44" s="696" t="s">
        <v>107</v>
      </c>
      <c r="E44" s="697"/>
      <c r="F44" s="697"/>
      <c r="G44" s="698"/>
      <c r="H44" s="489" t="s">
        <v>243</v>
      </c>
      <c r="I44" s="489" t="s">
        <v>159</v>
      </c>
      <c r="J44" s="489" t="s">
        <v>244</v>
      </c>
      <c r="L44" s="215"/>
      <c r="M44" s="214"/>
    </row>
    <row r="45" spans="1:13" s="221" customFormat="1" ht="15.75" customHeight="1" x14ac:dyDescent="0.2">
      <c r="A45" s="218">
        <v>2</v>
      </c>
      <c r="B45" s="219" t="s">
        <v>463</v>
      </c>
      <c r="C45" s="233">
        <v>0.1</v>
      </c>
      <c r="D45" s="711">
        <f t="shared" ref="D45:D56" si="0">C45</f>
        <v>0.1</v>
      </c>
      <c r="E45" s="712"/>
      <c r="F45" s="712"/>
      <c r="G45" s="234"/>
      <c r="H45" s="235" t="s">
        <v>248</v>
      </c>
      <c r="I45" s="220" t="s">
        <v>245</v>
      </c>
      <c r="J45" s="220" t="s">
        <v>245</v>
      </c>
      <c r="L45" s="222"/>
    </row>
    <row r="46" spans="1:13" s="221" customFormat="1" ht="15.75" x14ac:dyDescent="0.2">
      <c r="A46" s="217">
        <v>1</v>
      </c>
      <c r="B46" s="236" t="s">
        <v>249</v>
      </c>
      <c r="C46" s="244">
        <f>'Design Regulator'!D71</f>
        <v>39</v>
      </c>
      <c r="D46" s="688">
        <f t="shared" si="0"/>
        <v>39</v>
      </c>
      <c r="E46" s="689"/>
      <c r="F46" s="689"/>
      <c r="G46" s="238"/>
      <c r="H46" s="239" t="s">
        <v>248</v>
      </c>
      <c r="I46" s="240" t="s">
        <v>245</v>
      </c>
      <c r="J46" s="240" t="s">
        <v>245</v>
      </c>
      <c r="L46" s="222"/>
    </row>
    <row r="47" spans="1:13" s="221" customFormat="1" ht="15.75" x14ac:dyDescent="0.2">
      <c r="A47" s="217">
        <v>1</v>
      </c>
      <c r="B47" s="236" t="s">
        <v>250</v>
      </c>
      <c r="C47" s="237">
        <f>'Design Regulator'!D72</f>
        <v>82</v>
      </c>
      <c r="D47" s="679">
        <f t="shared" si="0"/>
        <v>82</v>
      </c>
      <c r="E47" s="680"/>
      <c r="F47" s="680"/>
      <c r="G47" s="238"/>
      <c r="H47" s="239" t="s">
        <v>248</v>
      </c>
      <c r="I47" s="240" t="s">
        <v>245</v>
      </c>
      <c r="J47" s="240" t="s">
        <v>245</v>
      </c>
      <c r="L47" s="222"/>
    </row>
    <row r="48" spans="1:13" s="221" customFormat="1" ht="15.75" x14ac:dyDescent="0.2">
      <c r="A48" s="217">
        <v>1</v>
      </c>
      <c r="B48" s="236" t="s">
        <v>770</v>
      </c>
      <c r="C48" s="244">
        <f>IF(MODE=1, 'Variable Management'!E354, "N/A")</f>
        <v>8.2000000000000028</v>
      </c>
      <c r="D48" s="688">
        <f t="shared" ref="D48:D49" si="1">C48</f>
        <v>8.2000000000000028</v>
      </c>
      <c r="E48" s="689"/>
      <c r="F48" s="689"/>
      <c r="G48" s="238"/>
      <c r="H48" s="239" t="str">
        <f>IF(MODE=1, "0603", "-")</f>
        <v>0603</v>
      </c>
      <c r="I48" s="239" t="str">
        <f>IF(MODE=1, "Std", "-")</f>
        <v>Std</v>
      </c>
      <c r="J48" s="239" t="str">
        <f>IF(MODE=1, "Std", "-")</f>
        <v>Std</v>
      </c>
      <c r="L48" s="222"/>
    </row>
    <row r="49" spans="1:12" s="221" customFormat="1" ht="15.75" x14ac:dyDescent="0.2">
      <c r="A49" s="217">
        <v>1</v>
      </c>
      <c r="B49" s="236" t="s">
        <v>771</v>
      </c>
      <c r="C49" s="237">
        <f>IF(MODE=1, 'Variable Management'!E355, "N/A")</f>
        <v>10</v>
      </c>
      <c r="D49" s="679">
        <f t="shared" si="1"/>
        <v>10</v>
      </c>
      <c r="E49" s="680"/>
      <c r="F49" s="680"/>
      <c r="G49" s="238"/>
      <c r="H49" s="239" t="str">
        <f>IF(MODE=1, "0603", "-")</f>
        <v>0603</v>
      </c>
      <c r="I49" s="239" t="str">
        <f>IF(MODE=1, "Std", "-")</f>
        <v>Std</v>
      </c>
      <c r="J49" s="239" t="str">
        <f>IF(MODE=1, "Std", "-")</f>
        <v>Std</v>
      </c>
      <c r="L49" s="222"/>
    </row>
    <row r="50" spans="1:12" s="221" customFormat="1" ht="15.75" x14ac:dyDescent="0.2">
      <c r="A50" s="223">
        <v>1</v>
      </c>
      <c r="B50" s="224" t="s">
        <v>769</v>
      </c>
      <c r="C50" s="438">
        <f>Cres_u*1000000000</f>
        <v>470</v>
      </c>
      <c r="D50" s="692">
        <f>C50</f>
        <v>470</v>
      </c>
      <c r="E50" s="693"/>
      <c r="F50" s="693"/>
      <c r="G50" s="439"/>
      <c r="H50" s="226" t="s">
        <v>248</v>
      </c>
      <c r="I50" s="227" t="s">
        <v>245</v>
      </c>
      <c r="J50" s="227" t="s">
        <v>245</v>
      </c>
      <c r="L50" s="222"/>
    </row>
    <row r="51" spans="1:12" s="221" customFormat="1" ht="15.75" x14ac:dyDescent="0.2">
      <c r="A51" s="223">
        <v>1</v>
      </c>
      <c r="B51" s="224" t="s">
        <v>462</v>
      </c>
      <c r="C51" s="438">
        <f>Cdither*1000000000</f>
        <v>10</v>
      </c>
      <c r="D51" s="692">
        <f>C51</f>
        <v>10</v>
      </c>
      <c r="E51" s="693"/>
      <c r="F51" s="693"/>
      <c r="G51" s="439"/>
      <c r="H51" s="226" t="s">
        <v>248</v>
      </c>
      <c r="I51" s="227" t="s">
        <v>245</v>
      </c>
      <c r="J51" s="227" t="s">
        <v>245</v>
      </c>
      <c r="L51" s="222"/>
    </row>
    <row r="52" spans="1:12" s="221" customFormat="1" ht="15.75" x14ac:dyDescent="0.2">
      <c r="A52" s="217">
        <f>ROUNDUP('Design Regulator'!E44/10,0)</f>
        <v>5</v>
      </c>
      <c r="B52" s="236" t="s">
        <v>251</v>
      </c>
      <c r="C52" s="243">
        <v>10</v>
      </c>
      <c r="D52" s="694">
        <f>C52</f>
        <v>10</v>
      </c>
      <c r="E52" s="695"/>
      <c r="F52" s="695"/>
      <c r="G52" s="238"/>
      <c r="H52" s="239">
        <v>1210</v>
      </c>
      <c r="I52" s="240" t="s">
        <v>245</v>
      </c>
      <c r="J52" s="240" t="s">
        <v>245</v>
      </c>
      <c r="L52" s="222"/>
    </row>
    <row r="53" spans="1:12" s="221" customFormat="1" ht="15.75" x14ac:dyDescent="0.2">
      <c r="A53" s="217">
        <f>ROUNDUP('Design Regulator'!E35/47,0)</f>
        <v>5</v>
      </c>
      <c r="B53" s="236" t="s">
        <v>252</v>
      </c>
      <c r="C53" s="243">
        <v>47</v>
      </c>
      <c r="D53" s="686">
        <f>C53</f>
        <v>47</v>
      </c>
      <c r="E53" s="687"/>
      <c r="F53" s="687"/>
      <c r="G53" s="238"/>
      <c r="H53" s="239">
        <v>1210</v>
      </c>
      <c r="I53" s="240" t="s">
        <v>245</v>
      </c>
      <c r="J53" s="240" t="s">
        <v>245</v>
      </c>
      <c r="L53" s="222"/>
    </row>
    <row r="54" spans="1:12" s="221" customFormat="1" ht="15.75" x14ac:dyDescent="0.2">
      <c r="A54" s="217">
        <v>2</v>
      </c>
      <c r="B54" s="236" t="s">
        <v>767</v>
      </c>
      <c r="C54" s="244">
        <f>'Design Regulator'!E52</f>
        <v>100</v>
      </c>
      <c r="D54" s="688">
        <f>C54</f>
        <v>100</v>
      </c>
      <c r="E54" s="689"/>
      <c r="F54" s="689"/>
      <c r="G54" s="238"/>
      <c r="H54" s="239" t="s">
        <v>248</v>
      </c>
      <c r="I54" s="240" t="s">
        <v>245</v>
      </c>
      <c r="J54" s="240" t="s">
        <v>245</v>
      </c>
      <c r="L54" s="222"/>
    </row>
    <row r="55" spans="1:12" s="221" customFormat="1" ht="15.75" x14ac:dyDescent="0.2">
      <c r="A55" s="228">
        <v>3</v>
      </c>
      <c r="B55" s="229" t="s">
        <v>768</v>
      </c>
      <c r="C55" s="242">
        <v>2.2000000000000002</v>
      </c>
      <c r="D55" s="690">
        <f t="shared" si="0"/>
        <v>2.2000000000000002</v>
      </c>
      <c r="E55" s="691"/>
      <c r="F55" s="691"/>
      <c r="G55" s="241"/>
      <c r="H55" s="231" t="s">
        <v>248</v>
      </c>
      <c r="I55" s="232" t="s">
        <v>245</v>
      </c>
      <c r="J55" s="232" t="s">
        <v>245</v>
      </c>
      <c r="L55" s="222"/>
    </row>
    <row r="56" spans="1:12" s="221" customFormat="1" ht="15.75" x14ac:dyDescent="0.2">
      <c r="A56" s="228">
        <v>1</v>
      </c>
      <c r="B56" s="229" t="s">
        <v>772</v>
      </c>
      <c r="C56" s="242">
        <v>0.47</v>
      </c>
      <c r="D56" s="690">
        <f t="shared" si="0"/>
        <v>0.47</v>
      </c>
      <c r="E56" s="691"/>
      <c r="F56" s="691"/>
      <c r="G56" s="241"/>
      <c r="H56" s="231" t="s">
        <v>248</v>
      </c>
      <c r="I56" s="232" t="s">
        <v>245</v>
      </c>
      <c r="J56" s="232" t="s">
        <v>245</v>
      </c>
      <c r="L56" s="222"/>
    </row>
    <row r="57" spans="1:12" s="221" customFormat="1" ht="15.75" customHeight="1" x14ac:dyDescent="0.2">
      <c r="A57" s="228">
        <v>2</v>
      </c>
      <c r="B57" s="229" t="s">
        <v>760</v>
      </c>
      <c r="C57" s="245" t="s">
        <v>246</v>
      </c>
      <c r="D57" s="684" t="s">
        <v>802</v>
      </c>
      <c r="E57" s="685"/>
      <c r="F57" s="685"/>
      <c r="G57" s="241"/>
      <c r="H57" s="246" t="s">
        <v>256</v>
      </c>
      <c r="I57" s="232" t="s">
        <v>256</v>
      </c>
      <c r="J57" s="232" t="s">
        <v>255</v>
      </c>
      <c r="L57" s="222"/>
    </row>
    <row r="58" spans="1:12" s="221" customFormat="1" ht="15.75" x14ac:dyDescent="0.2">
      <c r="A58" s="217">
        <v>1</v>
      </c>
      <c r="B58" s="236" t="s">
        <v>758</v>
      </c>
      <c r="C58" s="247">
        <f>'Design Regulator'!E28</f>
        <v>10</v>
      </c>
      <c r="D58" s="708" t="str">
        <f>"Inductor, "&amp;Lf*1000000&amp;"µH, "&amp;Rdcr*1000&amp;"mΩ, &gt;"&amp;ROUNDUP(Ilimit_DC*1.3/SCH_MODE,0)&amp;"A"</f>
        <v>Inductor, 10µH, 12mΩ, &gt;19A</v>
      </c>
      <c r="E58" s="709"/>
      <c r="F58" s="709"/>
      <c r="G58" s="710"/>
      <c r="H58" s="240" t="s">
        <v>256</v>
      </c>
      <c r="I58" s="240" t="s">
        <v>256</v>
      </c>
      <c r="J58" s="240" t="s">
        <v>255</v>
      </c>
      <c r="L58" s="222"/>
    </row>
    <row r="59" spans="1:12" s="221" customFormat="1" ht="15.75" x14ac:dyDescent="0.2">
      <c r="A59" s="217">
        <v>1</v>
      </c>
      <c r="B59" s="236" t="s">
        <v>759</v>
      </c>
      <c r="C59" s="247">
        <f>IF(MODE = 1, 'Design Regulator'!J28, 'Design Regulator'!E28)</f>
        <v>10</v>
      </c>
      <c r="D59" s="708" t="str">
        <f>IF(MODE=1, "Inductor, "&amp;Lo_2*1000000&amp;"µH, "&amp;Rdcr2*1000&amp;"mΩ, &gt;"&amp;ROUNDUP(Ilimit2_DC*1.3,0)&amp;"A", "Inductor, "&amp;Lf*1000000&amp;"µH, "&amp;Rdcr*1000&amp;"mΩ, &gt;"&amp;ROUNDUP(Ilimit_DC*1.3/SCH_MODE,0)&amp;"A")</f>
        <v>Inductor, 10µH, 12mΩ, &gt;19A</v>
      </c>
      <c r="E59" s="709"/>
      <c r="F59" s="709"/>
      <c r="G59" s="710"/>
      <c r="H59" s="240" t="s">
        <v>256</v>
      </c>
      <c r="I59" s="240" t="s">
        <v>256</v>
      </c>
      <c r="J59" s="240" t="s">
        <v>255</v>
      </c>
      <c r="L59" s="222"/>
    </row>
    <row r="60" spans="1:12" s="221" customFormat="1" ht="15.75" x14ac:dyDescent="0.2">
      <c r="A60" s="228">
        <v>2</v>
      </c>
      <c r="B60" s="229" t="s">
        <v>523</v>
      </c>
      <c r="C60" s="245" t="s">
        <v>246</v>
      </c>
      <c r="D60" s="702">
        <f>'Design Regulator'!E83</f>
        <v>6</v>
      </c>
      <c r="E60" s="703"/>
      <c r="F60" s="703"/>
      <c r="G60" s="704"/>
      <c r="H60" s="232" t="s">
        <v>245</v>
      </c>
      <c r="I60" s="232" t="str">
        <f>'Design Regulator'!E81</f>
        <v>NVMFS5H663, NVMFS5C628NL</v>
      </c>
      <c r="J60" s="232" t="s">
        <v>256</v>
      </c>
      <c r="L60" s="222"/>
    </row>
    <row r="61" spans="1:12" s="221" customFormat="1" ht="15.75" x14ac:dyDescent="0.2">
      <c r="A61" s="228">
        <v>2</v>
      </c>
      <c r="B61" s="229" t="s">
        <v>524</v>
      </c>
      <c r="C61" s="245" t="s">
        <v>246</v>
      </c>
      <c r="D61" s="702">
        <f>'Design Regulator'!H83</f>
        <v>6</v>
      </c>
      <c r="E61" s="703"/>
      <c r="F61" s="703"/>
      <c r="G61" s="704"/>
      <c r="H61" s="232" t="s">
        <v>245</v>
      </c>
      <c r="I61" s="232" t="str">
        <f>IF(MODE=1, 'Design Regulator'!H81, 'Design Regulator'!E81)</f>
        <v>NVMFS5H663, NVMFS5C628NL</v>
      </c>
      <c r="J61" s="232" t="s">
        <v>256</v>
      </c>
      <c r="L61" s="222"/>
    </row>
    <row r="62" spans="1:12" s="221" customFormat="1" ht="15.75" x14ac:dyDescent="0.2">
      <c r="A62" s="223">
        <v>1</v>
      </c>
      <c r="B62" s="224" t="s">
        <v>257</v>
      </c>
      <c r="C62" s="225">
        <f>'Design Regulator'!D70</f>
        <v>6.34</v>
      </c>
      <c r="D62" s="676">
        <f t="shared" ref="D62:D74" si="2">C62</f>
        <v>6.34</v>
      </c>
      <c r="E62" s="677"/>
      <c r="F62" s="677"/>
      <c r="G62" s="678"/>
      <c r="H62" s="226" t="s">
        <v>248</v>
      </c>
      <c r="I62" s="227" t="s">
        <v>245</v>
      </c>
      <c r="J62" s="227" t="s">
        <v>245</v>
      </c>
      <c r="L62" s="222"/>
    </row>
    <row r="63" spans="1:12" s="221" customFormat="1" ht="15.75" x14ac:dyDescent="0.2">
      <c r="A63" s="223">
        <v>1</v>
      </c>
      <c r="B63" s="224" t="s">
        <v>761</v>
      </c>
      <c r="C63" s="225">
        <f>IF(MODE=1, 'Variable Management'!E353, "N/A")</f>
        <v>31.6</v>
      </c>
      <c r="D63" s="676">
        <f t="shared" ref="D63" si="3">C63</f>
        <v>31.6</v>
      </c>
      <c r="E63" s="677"/>
      <c r="F63" s="677"/>
      <c r="G63" s="678"/>
      <c r="H63" s="239" t="str">
        <f>IF(MODE=1, "0603", "-")</f>
        <v>0603</v>
      </c>
      <c r="I63" s="239" t="str">
        <f>IF(MODE=1, "Std", "-")</f>
        <v>Std</v>
      </c>
      <c r="J63" s="239" t="str">
        <f>IF(MODE=1, "Std", "-")</f>
        <v>Std</v>
      </c>
      <c r="L63" s="222"/>
    </row>
    <row r="64" spans="1:12" s="221" customFormat="1" ht="15.75" x14ac:dyDescent="0.2">
      <c r="A64" s="223">
        <v>1</v>
      </c>
      <c r="B64" s="224" t="s">
        <v>762</v>
      </c>
      <c r="C64" s="437">
        <f>Rs*1000</f>
        <v>5</v>
      </c>
      <c r="D64" s="705">
        <f t="shared" si="2"/>
        <v>5</v>
      </c>
      <c r="E64" s="706"/>
      <c r="F64" s="706"/>
      <c r="G64" s="707"/>
      <c r="H64" s="226" t="s">
        <v>763</v>
      </c>
      <c r="I64" s="227" t="s">
        <v>245</v>
      </c>
      <c r="J64" s="227" t="s">
        <v>245</v>
      </c>
      <c r="L64" s="222"/>
    </row>
    <row r="65" spans="1:12" s="221" customFormat="1" ht="15.75" x14ac:dyDescent="0.2">
      <c r="A65" s="223">
        <v>1</v>
      </c>
      <c r="B65" s="224" t="s">
        <v>764</v>
      </c>
      <c r="C65" s="437">
        <f>IF(MODE=1, Rs_Ch2*1000, Rs*1000)</f>
        <v>5</v>
      </c>
      <c r="D65" s="705">
        <f t="shared" ref="D65" si="4">C65</f>
        <v>5</v>
      </c>
      <c r="E65" s="706"/>
      <c r="F65" s="706"/>
      <c r="G65" s="707"/>
      <c r="H65" s="226" t="s">
        <v>763</v>
      </c>
      <c r="I65" s="227" t="s">
        <v>245</v>
      </c>
      <c r="J65" s="227" t="s">
        <v>245</v>
      </c>
      <c r="L65" s="222"/>
    </row>
    <row r="66" spans="1:12" s="221" customFormat="1" ht="15.75" x14ac:dyDescent="0.2">
      <c r="A66" s="223">
        <v>1</v>
      </c>
      <c r="B66" s="224" t="s">
        <v>460</v>
      </c>
      <c r="C66" s="225">
        <f>'Design Regulator'!E13</f>
        <v>36.5</v>
      </c>
      <c r="D66" s="676">
        <f t="shared" si="2"/>
        <v>36.5</v>
      </c>
      <c r="E66" s="677"/>
      <c r="F66" s="677"/>
      <c r="G66" s="678"/>
      <c r="H66" s="226" t="s">
        <v>248</v>
      </c>
      <c r="I66" s="227" t="s">
        <v>245</v>
      </c>
      <c r="J66" s="227" t="s">
        <v>245</v>
      </c>
      <c r="L66" s="222"/>
    </row>
    <row r="67" spans="1:12" s="221" customFormat="1" ht="15.75" x14ac:dyDescent="0.2">
      <c r="A67" s="223">
        <v>1</v>
      </c>
      <c r="B67" s="224" t="s">
        <v>259</v>
      </c>
      <c r="C67" s="225">
        <f>'Design Regulator'!E65</f>
        <v>100</v>
      </c>
      <c r="D67" s="676">
        <f t="shared" si="2"/>
        <v>100</v>
      </c>
      <c r="E67" s="677"/>
      <c r="F67" s="677"/>
      <c r="G67" s="678"/>
      <c r="H67" s="226" t="s">
        <v>248</v>
      </c>
      <c r="I67" s="227" t="s">
        <v>245</v>
      </c>
      <c r="J67" s="227" t="s">
        <v>245</v>
      </c>
      <c r="L67" s="222"/>
    </row>
    <row r="68" spans="1:12" s="221" customFormat="1" ht="15.75" x14ac:dyDescent="0.2">
      <c r="A68" s="223">
        <v>1</v>
      </c>
      <c r="B68" s="224" t="s">
        <v>260</v>
      </c>
      <c r="C68" s="225">
        <f>'Design Regulator'!E66</f>
        <v>6.34</v>
      </c>
      <c r="D68" s="676">
        <f t="shared" si="2"/>
        <v>6.34</v>
      </c>
      <c r="E68" s="677"/>
      <c r="F68" s="677"/>
      <c r="G68" s="678"/>
      <c r="H68" s="226" t="s">
        <v>248</v>
      </c>
      <c r="I68" s="227" t="s">
        <v>245</v>
      </c>
      <c r="J68" s="227" t="s">
        <v>245</v>
      </c>
      <c r="L68" s="222"/>
    </row>
    <row r="69" spans="1:12" s="221" customFormat="1" ht="15.75" x14ac:dyDescent="0.2">
      <c r="A69" s="223">
        <v>1</v>
      </c>
      <c r="B69" s="224" t="s">
        <v>765</v>
      </c>
      <c r="C69" s="225">
        <f>IF(MODE=1, 'Design Regulator'!J65, "N/A")</f>
        <v>100</v>
      </c>
      <c r="D69" s="676">
        <f t="shared" ref="D69:D70" si="5">C69</f>
        <v>100</v>
      </c>
      <c r="E69" s="677"/>
      <c r="F69" s="677"/>
      <c r="G69" s="678"/>
      <c r="H69" s="239" t="str">
        <f>IF(MODE=1, "0603", "-")</f>
        <v>0603</v>
      </c>
      <c r="I69" s="239" t="str">
        <f>IF(MODE=1, "Std", "-")</f>
        <v>Std</v>
      </c>
      <c r="J69" s="239" t="str">
        <f>IF(MODE=1, "Std", "-")</f>
        <v>Std</v>
      </c>
      <c r="L69" s="222"/>
    </row>
    <row r="70" spans="1:12" s="221" customFormat="1" ht="15.75" x14ac:dyDescent="0.2">
      <c r="A70" s="223">
        <v>1</v>
      </c>
      <c r="B70" s="224" t="s">
        <v>766</v>
      </c>
      <c r="C70" s="225">
        <f>IF(MODE=1, 'Design Regulator'!J66, "N/A")</f>
        <v>1.21</v>
      </c>
      <c r="D70" s="676">
        <f t="shared" si="5"/>
        <v>1.21</v>
      </c>
      <c r="E70" s="677"/>
      <c r="F70" s="677"/>
      <c r="G70" s="678"/>
      <c r="H70" s="239" t="str">
        <f>IF(MODE=1, "0603", "-")</f>
        <v>0603</v>
      </c>
      <c r="I70" s="239" t="str">
        <f>IF(MODE=1, "Std", "-")</f>
        <v>Std</v>
      </c>
      <c r="J70" s="239" t="str">
        <f>IF(MODE=1, "Std", "-")</f>
        <v>Std</v>
      </c>
      <c r="L70" s="222"/>
    </row>
    <row r="71" spans="1:12" s="221" customFormat="1" ht="15.75" x14ac:dyDescent="0.2">
      <c r="A71" s="228">
        <v>2</v>
      </c>
      <c r="B71" s="229" t="s">
        <v>773</v>
      </c>
      <c r="C71" s="230">
        <v>100</v>
      </c>
      <c r="D71" s="699">
        <f t="shared" si="2"/>
        <v>100</v>
      </c>
      <c r="E71" s="700"/>
      <c r="F71" s="700"/>
      <c r="G71" s="701"/>
      <c r="H71" s="231" t="s">
        <v>248</v>
      </c>
      <c r="I71" s="232" t="s">
        <v>245</v>
      </c>
      <c r="J71" s="232" t="s">
        <v>245</v>
      </c>
      <c r="L71" s="222"/>
    </row>
    <row r="72" spans="1:12" s="221" customFormat="1" ht="15.75" x14ac:dyDescent="0.2">
      <c r="A72" s="223">
        <v>2</v>
      </c>
      <c r="B72" s="224" t="s">
        <v>801</v>
      </c>
      <c r="C72" s="225">
        <v>100</v>
      </c>
      <c r="D72" s="676">
        <f t="shared" si="2"/>
        <v>100</v>
      </c>
      <c r="E72" s="677"/>
      <c r="F72" s="677"/>
      <c r="G72" s="678"/>
      <c r="H72" s="226" t="s">
        <v>248</v>
      </c>
      <c r="I72" s="227" t="s">
        <v>245</v>
      </c>
      <c r="J72" s="227" t="s">
        <v>245</v>
      </c>
      <c r="L72" s="222"/>
    </row>
    <row r="73" spans="1:12" s="221" customFormat="1" ht="15.75" x14ac:dyDescent="0.2">
      <c r="A73" s="223">
        <v>1</v>
      </c>
      <c r="B73" s="224" t="s">
        <v>800</v>
      </c>
      <c r="C73" s="225">
        <v>100</v>
      </c>
      <c r="D73" s="676">
        <f t="shared" si="2"/>
        <v>100</v>
      </c>
      <c r="E73" s="677"/>
      <c r="F73" s="677"/>
      <c r="G73" s="678"/>
      <c r="H73" s="226" t="s">
        <v>248</v>
      </c>
      <c r="I73" s="227" t="s">
        <v>245</v>
      </c>
      <c r="J73" s="227" t="s">
        <v>245</v>
      </c>
      <c r="L73" s="222"/>
    </row>
    <row r="74" spans="1:12" s="221" customFormat="1" ht="15.75" x14ac:dyDescent="0.2">
      <c r="A74" s="228">
        <v>1</v>
      </c>
      <c r="B74" s="229" t="s">
        <v>258</v>
      </c>
      <c r="C74" s="245">
        <v>2.2000000000000002</v>
      </c>
      <c r="D74" s="681">
        <f t="shared" si="2"/>
        <v>2.2000000000000002</v>
      </c>
      <c r="E74" s="682"/>
      <c r="F74" s="682"/>
      <c r="G74" s="683"/>
      <c r="H74" s="231" t="s">
        <v>248</v>
      </c>
      <c r="I74" s="232" t="s">
        <v>245</v>
      </c>
      <c r="J74" s="232" t="s">
        <v>245</v>
      </c>
      <c r="L74" s="222"/>
    </row>
    <row r="75" spans="1:12" s="221" customFormat="1" ht="14.25" customHeight="1" x14ac:dyDescent="0.2">
      <c r="A75" s="713">
        <v>1</v>
      </c>
      <c r="B75" s="725" t="s">
        <v>261</v>
      </c>
      <c r="C75" s="723" t="str">
        <f>CHOOSE(VARIANT, "LM5143", "LM5143-Q1", "LM5143A-Q1","LM25143","LM25143-Q1")</f>
        <v>LM5143</v>
      </c>
      <c r="D75" s="717" t="str">
        <f>CHOOSE(VARIANT, "IC, LM5143, Buck PWM Controller, 3.5V–65V Input","IC, LM5143-Q1, Buck PWM Controller, 3.5V–65V Input","IC, LM5143A-Q1, Buck PWM Controller, 3.5V–65V Input","IC, LM25143, Buck PWM Controller, 3.5V–42V Input","IC, LM25143-Q1, Buck PWM Controller, 3.5V–42V Input")</f>
        <v>IC, LM5143, Buck PWM Controller, 3.5V–65V Input</v>
      </c>
      <c r="E75" s="718"/>
      <c r="F75" s="718"/>
      <c r="G75" s="719"/>
      <c r="H75" s="715" t="s">
        <v>757</v>
      </c>
      <c r="I75" s="715" t="str">
        <f>CHOOSE(VARIANT, "LM5143RHAR", "LM5143QRWGRQ1", "LM5143QRHARQ1", "LM25143RHAR", "LM25143QRHARQ1")</f>
        <v>LM5143RHAR</v>
      </c>
      <c r="J75" s="715" t="s">
        <v>247</v>
      </c>
      <c r="L75" s="222"/>
    </row>
    <row r="76" spans="1:12" x14ac:dyDescent="0.2">
      <c r="A76" s="714"/>
      <c r="B76" s="726"/>
      <c r="C76" s="724"/>
      <c r="D76" s="720"/>
      <c r="E76" s="721"/>
      <c r="F76" s="721"/>
      <c r="G76" s="722"/>
      <c r="H76" s="716"/>
      <c r="I76" s="716"/>
      <c r="J76" s="716"/>
    </row>
    <row r="78" spans="1:12" x14ac:dyDescent="0.2">
      <c r="A78" s="255" t="s">
        <v>269</v>
      </c>
    </row>
    <row r="79" spans="1:12" ht="17.100000000000001" customHeight="1" x14ac:dyDescent="0.2">
      <c r="A79" s="128" t="s">
        <v>606</v>
      </c>
      <c r="D79" s="553" t="s">
        <v>605</v>
      </c>
      <c r="E79" s="214" t="s">
        <v>607</v>
      </c>
    </row>
    <row r="80" spans="1:12" ht="17.100000000000001" customHeight="1" x14ac:dyDescent="0.2">
      <c r="A80" s="214" t="s">
        <v>464</v>
      </c>
    </row>
    <row r="81" spans="1:1" ht="17.100000000000001" customHeight="1" x14ac:dyDescent="0.2">
      <c r="A81" s="214" t="s">
        <v>461</v>
      </c>
    </row>
  </sheetData>
  <sheetProtection algorithmName="SHA-512" hashValue="noeROmgzs74+Ki+xq76TMsItNlfdGQzl7OsBLV4r541aV1xEIRFKWVAt0RfsYVUAI3hU+P78zAm5MGmv0EiM3w==" saltValue="4R3/p4V7jC78QHG7g2IlVw==" spinCount="100000" sheet="1" objects="1" scenarios="1" selectLockedCells="1" selectUnlockedCells="1"/>
  <mergeCells count="38">
    <mergeCell ref="A75:A76"/>
    <mergeCell ref="J75:J76"/>
    <mergeCell ref="D75:G76"/>
    <mergeCell ref="C75:C76"/>
    <mergeCell ref="B75:B76"/>
    <mergeCell ref="H75:H76"/>
    <mergeCell ref="I75:I76"/>
    <mergeCell ref="D44:G44"/>
    <mergeCell ref="D51:F51"/>
    <mergeCell ref="D71:G71"/>
    <mergeCell ref="D67:G67"/>
    <mergeCell ref="D68:G68"/>
    <mergeCell ref="D60:G60"/>
    <mergeCell ref="D61:G61"/>
    <mergeCell ref="D66:G66"/>
    <mergeCell ref="D64:G64"/>
    <mergeCell ref="D58:G58"/>
    <mergeCell ref="D59:G59"/>
    <mergeCell ref="D63:G63"/>
    <mergeCell ref="D65:G65"/>
    <mergeCell ref="D69:G69"/>
    <mergeCell ref="D45:F45"/>
    <mergeCell ref="D46:F46"/>
    <mergeCell ref="D47:F47"/>
    <mergeCell ref="D48:F48"/>
    <mergeCell ref="D50:F50"/>
    <mergeCell ref="D55:F55"/>
    <mergeCell ref="D52:F52"/>
    <mergeCell ref="D70:G70"/>
    <mergeCell ref="D49:F49"/>
    <mergeCell ref="D72:G72"/>
    <mergeCell ref="D73:G73"/>
    <mergeCell ref="D74:G74"/>
    <mergeCell ref="D57:F57"/>
    <mergeCell ref="D62:G62"/>
    <mergeCell ref="D53:F53"/>
    <mergeCell ref="D54:F54"/>
    <mergeCell ref="D56:F56"/>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5:H47 H56 H58 H71 H55 H62 H66:H68 H54 H51 H50 H72:H74 H64:H65" numberStoredAsText="1"/>
  </ignoredError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topLeftCell="A4" zoomScaleNormal="100" zoomScaleSheetLayoutView="80" workbookViewId="0">
      <selection activeCell="A2" sqref="A2"/>
    </sheetView>
  </sheetViews>
  <sheetFormatPr defaultColWidth="9.140625" defaultRowHeight="12.75" x14ac:dyDescent="0.2"/>
  <cols>
    <col min="1" max="13" width="9.140625" style="121"/>
    <col min="14" max="14" width="11.85546875" style="121" customWidth="1"/>
    <col min="15" max="16" width="9.140625" style="121"/>
    <col min="17" max="17" width="15.7109375" style="121" customWidth="1"/>
    <col min="18" max="16384" width="9.140625" style="121"/>
  </cols>
  <sheetData>
    <row r="1" spans="1:23" s="113" customFormat="1" ht="47.25" customHeight="1" x14ac:dyDescent="0.2">
      <c r="A1" s="727" t="s">
        <v>857</v>
      </c>
      <c r="B1" s="728"/>
      <c r="C1" s="728"/>
      <c r="D1" s="728"/>
      <c r="E1" s="728"/>
      <c r="F1" s="728"/>
      <c r="G1" s="728"/>
      <c r="H1" s="728"/>
      <c r="I1" s="728"/>
      <c r="J1" s="728"/>
      <c r="K1" s="728"/>
      <c r="L1" s="728"/>
      <c r="M1" s="728"/>
      <c r="N1" s="728"/>
      <c r="O1" s="728"/>
      <c r="P1" s="728"/>
      <c r="Q1" s="728"/>
    </row>
    <row r="6" spans="1:23" ht="20.25" x14ac:dyDescent="0.3">
      <c r="B6" s="122" t="s">
        <v>618</v>
      </c>
      <c r="M6" s="122"/>
      <c r="W6" s="122"/>
    </row>
  </sheetData>
  <sheetProtection algorithmName="SHA-512" hashValue="ME2Liox88eb1tlMmpYGEI0zgr4rj6az9EPWygQscUZuf8Jy4pmR0dor3AWEEhfdErV15IkKQScFM+imSN0HfQg==" saltValue="7qRta+P6OvzdH2eW5Q2trw==" spinCount="100000"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390"/>
  <sheetViews>
    <sheetView zoomScaleNormal="100" workbookViewId="0">
      <pane ySplit="5" topLeftCell="A15" activePane="bottomLeft" state="frozenSplit"/>
      <selection pane="bottomLeft" activeCell="A4" sqref="A4"/>
    </sheetView>
  </sheetViews>
  <sheetFormatPr defaultRowHeight="12.75" x14ac:dyDescent="0.2"/>
  <cols>
    <col min="1" max="1" width="35.7109375" customWidth="1"/>
    <col min="2" max="2" width="12" customWidth="1"/>
    <col min="3" max="3" width="12.140625" style="2" customWidth="1"/>
    <col min="4" max="4" width="13.42578125" customWidth="1"/>
    <col min="5" max="5" width="11.5703125" customWidth="1"/>
    <col min="6" max="6" width="12.42578125" bestFit="1" customWidth="1"/>
    <col min="7" max="7" width="17.42578125" customWidth="1"/>
    <col min="8" max="8" width="34.7109375" customWidth="1"/>
    <col min="9" max="9" width="11.7109375" customWidth="1"/>
    <col min="10" max="10" width="12.42578125" bestFit="1" customWidth="1"/>
    <col min="11" max="11" width="15.140625" customWidth="1"/>
    <col min="12" max="12" width="13.28515625" customWidth="1"/>
    <col min="14" max="14" width="8.7109375" customWidth="1"/>
    <col min="16" max="16" width="8.28515625" customWidth="1"/>
    <col min="23" max="23" width="11.5703125" bestFit="1" customWidth="1"/>
    <col min="24" max="24" width="12.5703125" customWidth="1"/>
    <col min="25" max="25" width="12.42578125" customWidth="1"/>
  </cols>
  <sheetData>
    <row r="1" spans="1:27" ht="30.75" customHeight="1" x14ac:dyDescent="0.4">
      <c r="A1" s="730" t="s">
        <v>393</v>
      </c>
      <c r="B1" s="730"/>
      <c r="C1" s="730"/>
      <c r="D1" s="730"/>
      <c r="E1" s="730"/>
      <c r="F1" s="730"/>
      <c r="G1" s="730"/>
      <c r="H1" s="730"/>
      <c r="I1" s="730"/>
    </row>
    <row r="2" spans="1:27" ht="12" customHeight="1" x14ac:dyDescent="0.2">
      <c r="A2" s="49"/>
      <c r="B2" s="49" t="s">
        <v>191</v>
      </c>
      <c r="C2" s="50"/>
      <c r="E2" s="49"/>
      <c r="F2" s="49"/>
      <c r="G2" s="49"/>
      <c r="H2" s="49"/>
      <c r="I2" s="49"/>
    </row>
    <row r="3" spans="1:27" ht="11.25" customHeight="1" x14ac:dyDescent="0.2">
      <c r="A3" s="49"/>
      <c r="B3" s="49" t="s">
        <v>223</v>
      </c>
      <c r="C3" s="51"/>
      <c r="E3" s="49"/>
      <c r="F3" s="49"/>
      <c r="G3" s="49"/>
      <c r="H3" s="49"/>
      <c r="I3" s="49"/>
    </row>
    <row r="4" spans="1:27" ht="11.25" customHeight="1" x14ac:dyDescent="0.2">
      <c r="A4" s="49"/>
      <c r="B4" s="49" t="s">
        <v>192</v>
      </c>
      <c r="C4" s="52"/>
      <c r="E4" s="49"/>
      <c r="F4" s="49"/>
      <c r="G4" s="49"/>
      <c r="H4" s="49"/>
      <c r="I4" s="49"/>
    </row>
    <row r="5" spans="1:27" x14ac:dyDescent="0.2">
      <c r="A5" s="2" t="s">
        <v>47</v>
      </c>
      <c r="B5" s="2" t="s">
        <v>7</v>
      </c>
      <c r="C5" s="2" t="s">
        <v>8</v>
      </c>
      <c r="E5" s="729" t="s">
        <v>12</v>
      </c>
      <c r="F5" s="729"/>
      <c r="G5" s="729"/>
      <c r="H5" s="729"/>
      <c r="I5" s="2" t="s">
        <v>414</v>
      </c>
    </row>
    <row r="6" spans="1:27" ht="16.5" thickBot="1" x14ac:dyDescent="0.3">
      <c r="A6" s="525" t="s">
        <v>148</v>
      </c>
      <c r="B6" s="2"/>
      <c r="D6" s="2"/>
      <c r="E6" s="49"/>
      <c r="F6" s="49"/>
      <c r="G6" s="49"/>
      <c r="H6" s="49"/>
      <c r="I6" s="2"/>
    </row>
    <row r="7" spans="1:27" x14ac:dyDescent="0.2">
      <c r="A7" s="211" t="s">
        <v>289</v>
      </c>
      <c r="B7" s="12">
        <f>'Design Regulator'!E7</f>
        <v>55</v>
      </c>
      <c r="C7" s="63" t="s">
        <v>0</v>
      </c>
      <c r="D7" s="117" t="s">
        <v>290</v>
      </c>
      <c r="E7" s="63"/>
      <c r="F7" s="63"/>
      <c r="G7" s="63"/>
      <c r="H7" s="63"/>
      <c r="I7" s="64">
        <v>1</v>
      </c>
    </row>
    <row r="8" spans="1:27" x14ac:dyDescent="0.2">
      <c r="A8" s="212" t="s">
        <v>625</v>
      </c>
      <c r="B8" s="29">
        <f>'Design Regulator'!E8</f>
        <v>60</v>
      </c>
      <c r="C8" t="s">
        <v>0</v>
      </c>
      <c r="D8" t="s">
        <v>13</v>
      </c>
      <c r="I8" s="57"/>
      <c r="K8" s="294" t="str">
        <f>CHOOSE(SCH_MODE, "Efficiency vs. IOUT (Ch1)", "Efficiency vs. IOUT - 2 Ph", "Efficiency vs. IOUT - 3 Ph", "Efficiency vs. IOUT - 4 Ph")</f>
        <v>Efficiency vs. IOUT (Ch1)</v>
      </c>
      <c r="L8" s="116">
        <v>1</v>
      </c>
      <c r="N8" s="294" t="s">
        <v>612</v>
      </c>
      <c r="O8" s="116">
        <v>1</v>
      </c>
      <c r="T8" s="294" t="s">
        <v>780</v>
      </c>
      <c r="U8" s="116">
        <v>1</v>
      </c>
      <c r="W8" s="294" t="s">
        <v>677</v>
      </c>
      <c r="X8" s="116">
        <v>1</v>
      </c>
      <c r="Z8" s="294" t="str">
        <f>CHOOSE(SCH_MODE, "Bode Plot (Ch1)", "Bode Plot - 2 Ph", "Bode Plot - 3 Ph", "Bode Plot - 4 Ph")</f>
        <v>Bode Plot (Ch1)</v>
      </c>
      <c r="AA8" s="116">
        <v>1</v>
      </c>
    </row>
    <row r="9" spans="1:27" x14ac:dyDescent="0.2">
      <c r="A9" s="212" t="s">
        <v>288</v>
      </c>
      <c r="B9" s="29">
        <f>'Design Regulator'!E9</f>
        <v>65</v>
      </c>
      <c r="C9" t="s">
        <v>0</v>
      </c>
      <c r="D9" s="114" t="s">
        <v>291</v>
      </c>
      <c r="I9" s="57"/>
      <c r="K9" s="294" t="str">
        <f>IF(MODE=1, "Efficiency vs. IOUT (Ch2)", "N/A - Do Not Use")</f>
        <v>Efficiency vs. IOUT (Ch2)</v>
      </c>
      <c r="L9" s="116">
        <v>2</v>
      </c>
      <c r="N9" s="294" t="s">
        <v>611</v>
      </c>
      <c r="O9" s="116">
        <v>2</v>
      </c>
      <c r="T9" s="294" t="s">
        <v>781</v>
      </c>
      <c r="U9" s="116">
        <v>2</v>
      </c>
      <c r="W9" s="294" t="s">
        <v>678</v>
      </c>
      <c r="X9" s="116">
        <v>2</v>
      </c>
      <c r="Z9" s="294" t="str">
        <f>IF(MODE=1, "Bode Plot (Ch2)", "N/A - Do Not Use")</f>
        <v>Bode Plot (Ch2)</v>
      </c>
      <c r="AA9" s="116">
        <v>2</v>
      </c>
    </row>
    <row r="10" spans="1:27" x14ac:dyDescent="0.2">
      <c r="A10" s="212"/>
      <c r="B10" s="4"/>
      <c r="C10"/>
      <c r="D10" s="114"/>
      <c r="I10" s="57"/>
      <c r="K10" s="535" t="s">
        <v>586</v>
      </c>
      <c r="L10" s="536">
        <v>1</v>
      </c>
      <c r="N10" s="535" t="s">
        <v>609</v>
      </c>
      <c r="O10" s="536">
        <v>2</v>
      </c>
      <c r="P10" s="114" t="s">
        <v>610</v>
      </c>
      <c r="T10" s="294" t="s">
        <v>782</v>
      </c>
      <c r="U10" s="116">
        <v>3</v>
      </c>
      <c r="W10" s="535" t="s">
        <v>679</v>
      </c>
      <c r="X10" s="536">
        <v>1</v>
      </c>
      <c r="Z10" s="535" t="s">
        <v>784</v>
      </c>
      <c r="AA10" s="536">
        <v>1</v>
      </c>
    </row>
    <row r="11" spans="1:27" x14ac:dyDescent="0.2">
      <c r="A11" s="56" t="s">
        <v>4</v>
      </c>
      <c r="B11" s="29">
        <f>'Design Regulator'!E10</f>
        <v>10</v>
      </c>
      <c r="C11" t="s">
        <v>0</v>
      </c>
      <c r="D11" s="114" t="s">
        <v>639</v>
      </c>
      <c r="I11" s="57"/>
      <c r="T11" s="294" t="s">
        <v>783</v>
      </c>
      <c r="U11" s="116">
        <v>4</v>
      </c>
      <c r="V11" s="114"/>
    </row>
    <row r="12" spans="1:27" x14ac:dyDescent="0.2">
      <c r="A12" s="56" t="s">
        <v>5</v>
      </c>
      <c r="B12" s="29">
        <f>'Design Regulator'!E11</f>
        <v>10</v>
      </c>
      <c r="C12" t="s">
        <v>1</v>
      </c>
      <c r="D12" s="114" t="s">
        <v>640</v>
      </c>
      <c r="I12" s="57">
        <v>1</v>
      </c>
      <c r="T12" s="535" t="s">
        <v>631</v>
      </c>
      <c r="U12" s="536">
        <v>1</v>
      </c>
      <c r="V12" s="114"/>
    </row>
    <row r="13" spans="1:27" x14ac:dyDescent="0.2">
      <c r="A13" s="212" t="s">
        <v>626</v>
      </c>
      <c r="B13" s="29">
        <f>'Design Regulator'!J10</f>
        <v>50</v>
      </c>
      <c r="C13" t="s">
        <v>0</v>
      </c>
      <c r="D13" s="114" t="s">
        <v>642</v>
      </c>
      <c r="I13" s="57">
        <v>1</v>
      </c>
      <c r="K13" s="294" t="s">
        <v>712</v>
      </c>
      <c r="L13" s="116">
        <v>1</v>
      </c>
      <c r="N13" s="294" t="s">
        <v>712</v>
      </c>
      <c r="O13" s="116">
        <v>1</v>
      </c>
      <c r="T13" s="598" t="s">
        <v>797</v>
      </c>
      <c r="U13" s="594">
        <f>IF(U12=1, 1, 2)</f>
        <v>1</v>
      </c>
      <c r="V13" s="114"/>
      <c r="W13" s="294" t="s">
        <v>808</v>
      </c>
      <c r="X13" s="116">
        <v>1</v>
      </c>
    </row>
    <row r="14" spans="1:27" x14ac:dyDescent="0.2">
      <c r="A14" s="212" t="s">
        <v>627</v>
      </c>
      <c r="B14" s="29">
        <f>'Design Regulator'!J11</f>
        <v>10</v>
      </c>
      <c r="C14" t="s">
        <v>1</v>
      </c>
      <c r="D14" s="114" t="s">
        <v>641</v>
      </c>
      <c r="I14" s="57"/>
      <c r="K14" s="294" t="s">
        <v>713</v>
      </c>
      <c r="L14" s="116">
        <v>2</v>
      </c>
      <c r="N14" s="294" t="s">
        <v>713</v>
      </c>
      <c r="O14" s="116">
        <v>2</v>
      </c>
      <c r="T14" s="296" t="s">
        <v>796</v>
      </c>
      <c r="U14" s="599">
        <f>IF(U12=1, 2, 1)</f>
        <v>2</v>
      </c>
      <c r="W14" s="294" t="s">
        <v>809</v>
      </c>
      <c r="X14" s="116">
        <v>2</v>
      </c>
    </row>
    <row r="15" spans="1:27" x14ac:dyDescent="0.2">
      <c r="A15" s="212"/>
      <c r="C15"/>
      <c r="D15" s="114"/>
      <c r="I15" s="57"/>
      <c r="K15" s="294" t="s">
        <v>714</v>
      </c>
      <c r="L15" s="116">
        <v>3</v>
      </c>
      <c r="N15" s="294" t="s">
        <v>714</v>
      </c>
      <c r="O15" s="116">
        <v>3</v>
      </c>
      <c r="T15" s="296" t="s">
        <v>795</v>
      </c>
      <c r="U15" s="299">
        <f>SCH_MODE</f>
        <v>1</v>
      </c>
      <c r="W15" s="535" t="s">
        <v>810</v>
      </c>
      <c r="X15" s="536">
        <v>1</v>
      </c>
      <c r="Z15" s="294" t="s">
        <v>858</v>
      </c>
      <c r="AA15" s="116">
        <v>1</v>
      </c>
    </row>
    <row r="16" spans="1:27" x14ac:dyDescent="0.2">
      <c r="A16" s="212" t="s">
        <v>326</v>
      </c>
      <c r="B16" s="520">
        <f>Vout/Iout</f>
        <v>1</v>
      </c>
      <c r="C16" s="213" t="s">
        <v>116</v>
      </c>
      <c r="D16" s="114" t="s">
        <v>629</v>
      </c>
      <c r="I16" s="57"/>
      <c r="K16" s="535" t="s">
        <v>715</v>
      </c>
      <c r="L16" s="536">
        <f>IF(Vout=3.3, 1, IF(Vout=5, 2, 3))</f>
        <v>3</v>
      </c>
      <c r="N16" s="535" t="s">
        <v>716</v>
      </c>
      <c r="O16" s="536">
        <f>IF(Vout2=3.3, 1, IF(Vout2=5, 2, 3))</f>
        <v>3</v>
      </c>
      <c r="Z16" s="294" t="s">
        <v>859</v>
      </c>
      <c r="AA16" s="116">
        <v>2</v>
      </c>
    </row>
    <row r="17" spans="1:27" x14ac:dyDescent="0.2">
      <c r="A17" s="212" t="s">
        <v>628</v>
      </c>
      <c r="B17" s="520">
        <f>Vout2/Iout2</f>
        <v>5</v>
      </c>
      <c r="C17" s="213" t="s">
        <v>116</v>
      </c>
      <c r="D17" s="114"/>
      <c r="I17" s="57"/>
      <c r="Z17" s="535" t="s">
        <v>860</v>
      </c>
      <c r="AA17" s="536">
        <v>1</v>
      </c>
    </row>
    <row r="18" spans="1:27" x14ac:dyDescent="0.2">
      <c r="A18" s="212" t="s">
        <v>295</v>
      </c>
      <c r="B18" s="293">
        <f>CHOOSE(MODE, Vout*Iout+Vout2*Iout2, Vout*Iout)</f>
        <v>600</v>
      </c>
      <c r="C18" t="s">
        <v>116</v>
      </c>
      <c r="D18" s="114" t="s">
        <v>311</v>
      </c>
      <c r="I18" s="57"/>
      <c r="Y18" s="2"/>
    </row>
    <row r="19" spans="1:27" x14ac:dyDescent="0.2">
      <c r="A19" s="212"/>
      <c r="C19"/>
      <c r="D19" s="114"/>
      <c r="I19" s="57"/>
      <c r="Y19" s="2"/>
      <c r="AA19" s="116">
        <f>SENSING_TYPE</f>
        <v>1</v>
      </c>
    </row>
    <row r="20" spans="1:27" x14ac:dyDescent="0.2">
      <c r="A20" s="212" t="s">
        <v>127</v>
      </c>
      <c r="B20" s="408">
        <v>0.9</v>
      </c>
      <c r="C20"/>
      <c r="D20" s="114" t="s">
        <v>427</v>
      </c>
      <c r="I20" s="57"/>
      <c r="X20" s="294" t="s">
        <v>853</v>
      </c>
      <c r="Y20" s="299">
        <v>1</v>
      </c>
    </row>
    <row r="21" spans="1:27" x14ac:dyDescent="0.2">
      <c r="A21" s="212" t="s">
        <v>299</v>
      </c>
      <c r="B21" s="312">
        <f>Pout/Efficiency</f>
        <v>666.66666666666663</v>
      </c>
      <c r="C21" t="s">
        <v>116</v>
      </c>
      <c r="D21" s="114" t="s">
        <v>630</v>
      </c>
      <c r="I21" s="57"/>
      <c r="L21">
        <f>Vout</f>
        <v>10</v>
      </c>
      <c r="X21" s="294" t="s">
        <v>756</v>
      </c>
      <c r="Y21" s="299">
        <v>2</v>
      </c>
    </row>
    <row r="22" spans="1:27" x14ac:dyDescent="0.2">
      <c r="A22" s="212"/>
      <c r="B22" s="48"/>
      <c r="C22"/>
      <c r="D22" s="114"/>
      <c r="I22" s="57"/>
      <c r="X22" s="294" t="s">
        <v>861</v>
      </c>
      <c r="Y22" s="299">
        <v>3</v>
      </c>
      <c r="Z22" s="114"/>
    </row>
    <row r="23" spans="1:27" x14ac:dyDescent="0.2">
      <c r="A23" s="212" t="s">
        <v>296</v>
      </c>
      <c r="B23" s="305">
        <f>Pin/VIN_min</f>
        <v>12.121212121212121</v>
      </c>
      <c r="C23" t="s">
        <v>1</v>
      </c>
      <c r="D23" s="114"/>
      <c r="I23" s="57"/>
      <c r="X23" s="294" t="s">
        <v>855</v>
      </c>
      <c r="Y23" s="299">
        <v>4</v>
      </c>
    </row>
    <row r="24" spans="1:27" x14ac:dyDescent="0.2">
      <c r="A24" s="212" t="s">
        <v>297</v>
      </c>
      <c r="B24" s="305">
        <f>Pin/VIN_nom</f>
        <v>11.111111111111111</v>
      </c>
      <c r="C24" t="s">
        <v>1</v>
      </c>
      <c r="D24" s="114" t="s">
        <v>312</v>
      </c>
      <c r="I24" s="57"/>
      <c r="X24" s="294" t="s">
        <v>854</v>
      </c>
      <c r="Y24" s="299">
        <v>5</v>
      </c>
    </row>
    <row r="25" spans="1:27" x14ac:dyDescent="0.2">
      <c r="A25" s="212" t="s">
        <v>298</v>
      </c>
      <c r="B25" s="305">
        <f>Pin/VIN_max</f>
        <v>10.256410256410255</v>
      </c>
      <c r="C25" t="s">
        <v>1</v>
      </c>
      <c r="D25" s="114"/>
      <c r="I25" s="57"/>
      <c r="W25" s="536" t="s">
        <v>851</v>
      </c>
      <c r="X25" s="296" t="str">
        <f>CHOOSE(VARIANT, "LM5143", "LM5143-Q1", "LM5143A-Q1", "LM25143", "LM25143-Q1")</f>
        <v>LM5143</v>
      </c>
      <c r="Y25" s="536">
        <v>1</v>
      </c>
    </row>
    <row r="26" spans="1:27" x14ac:dyDescent="0.2">
      <c r="A26" s="212"/>
      <c r="C26"/>
      <c r="D26" s="114"/>
      <c r="I26" s="57"/>
      <c r="W26" s="536" t="s">
        <v>852</v>
      </c>
      <c r="X26" s="296">
        <f>CHOOSE(VARIANT, 65, 65, 65, 42, 42)</f>
        <v>65</v>
      </c>
      <c r="Y26" t="s">
        <v>0</v>
      </c>
    </row>
    <row r="27" spans="1:27" x14ac:dyDescent="0.2">
      <c r="A27" s="58" t="s">
        <v>6</v>
      </c>
      <c r="B27" s="256">
        <f>'Design Regulator'!E12*1000</f>
        <v>600000</v>
      </c>
      <c r="C27" s="114" t="s">
        <v>9</v>
      </c>
      <c r="D27" s="114" t="s">
        <v>646</v>
      </c>
      <c r="I27" s="57"/>
      <c r="W27" s="114" t="s">
        <v>856</v>
      </c>
      <c r="X27" s="294">
        <f>CHOOSE(VARIANT, 55, 55, 55, 36, 36)</f>
        <v>55</v>
      </c>
      <c r="Y27" s="114" t="s">
        <v>0</v>
      </c>
    </row>
    <row r="28" spans="1:27" x14ac:dyDescent="0.2">
      <c r="A28" s="212" t="s">
        <v>827</v>
      </c>
      <c r="B28" s="528">
        <f>1/Fsw</f>
        <v>1.6666666666666667E-6</v>
      </c>
      <c r="C28" s="114" t="s">
        <v>549</v>
      </c>
      <c r="D28" s="114" t="s">
        <v>643</v>
      </c>
      <c r="I28" s="57">
        <v>1</v>
      </c>
    </row>
    <row r="29" spans="1:27" x14ac:dyDescent="0.2">
      <c r="A29" s="58" t="s">
        <v>41</v>
      </c>
      <c r="B29" s="59">
        <v>0.6</v>
      </c>
      <c r="C29" t="s">
        <v>0</v>
      </c>
      <c r="D29" s="114" t="s">
        <v>644</v>
      </c>
      <c r="I29" s="57"/>
    </row>
    <row r="30" spans="1:27" x14ac:dyDescent="0.2">
      <c r="A30" s="212" t="s">
        <v>280</v>
      </c>
      <c r="B30" s="306">
        <f>22*1000/(Fsw/1000000)</f>
        <v>36666.666666666672</v>
      </c>
      <c r="C30" s="213" t="s">
        <v>116</v>
      </c>
      <c r="D30" s="114" t="s">
        <v>645</v>
      </c>
      <c r="I30" s="57"/>
    </row>
    <row r="31" spans="1:27" ht="13.5" thickBot="1" x14ac:dyDescent="0.25">
      <c r="A31" s="384"/>
      <c r="B31" s="384"/>
      <c r="C31" s="576"/>
      <c r="D31" s="384"/>
      <c r="E31" s="384"/>
      <c r="F31" s="384"/>
      <c r="G31" s="384"/>
      <c r="H31" s="384"/>
      <c r="I31" s="577"/>
    </row>
    <row r="33" spans="1:9" ht="16.5" thickBot="1" x14ac:dyDescent="0.3">
      <c r="A33" s="525" t="s">
        <v>721</v>
      </c>
      <c r="B33" s="2" t="s">
        <v>649</v>
      </c>
      <c r="D33" s="2" t="s">
        <v>650</v>
      </c>
    </row>
    <row r="34" spans="1:9" x14ac:dyDescent="0.2">
      <c r="A34" s="211" t="s">
        <v>14</v>
      </c>
      <c r="B34" s="289">
        <f>Vout/VIN_nom</f>
        <v>0.16666666666666666</v>
      </c>
      <c r="C34" s="579"/>
      <c r="D34" s="292"/>
      <c r="E34" s="292"/>
      <c r="F34" s="117" t="s">
        <v>293</v>
      </c>
      <c r="G34" s="63"/>
      <c r="H34" s="63"/>
      <c r="I34" s="64"/>
    </row>
    <row r="35" spans="1:9" x14ac:dyDescent="0.2">
      <c r="A35" s="212" t="s">
        <v>15</v>
      </c>
      <c r="B35" s="290">
        <f>1-34:34</f>
        <v>0.83333333333333337</v>
      </c>
      <c r="C35"/>
      <c r="F35" s="114" t="s">
        <v>294</v>
      </c>
      <c r="I35" s="57"/>
    </row>
    <row r="36" spans="1:9" x14ac:dyDescent="0.2">
      <c r="A36" s="114"/>
      <c r="C36"/>
      <c r="E36" s="114"/>
      <c r="I36" s="57"/>
    </row>
    <row r="37" spans="1:9" x14ac:dyDescent="0.2">
      <c r="A37" s="212" t="s">
        <v>723</v>
      </c>
      <c r="B37" s="300">
        <f>Vout/VIN_min</f>
        <v>0.18181818181818182</v>
      </c>
      <c r="C37"/>
      <c r="D37" s="300">
        <f>Vout2/VIN_min</f>
        <v>0.90909090909090906</v>
      </c>
      <c r="E37" s="114"/>
      <c r="I37" s="57"/>
    </row>
    <row r="38" spans="1:9" x14ac:dyDescent="0.2">
      <c r="A38" s="212" t="s">
        <v>724</v>
      </c>
      <c r="B38" s="300">
        <f>Vout/VIN_nom</f>
        <v>0.16666666666666666</v>
      </c>
      <c r="C38"/>
      <c r="D38" s="300">
        <f>Vout2/VIN_nom</f>
        <v>0.83333333333333337</v>
      </c>
      <c r="I38" s="57"/>
    </row>
    <row r="39" spans="1:9" x14ac:dyDescent="0.2">
      <c r="A39" s="212" t="s">
        <v>725</v>
      </c>
      <c r="B39" s="300">
        <f>Vout/VIN_max</f>
        <v>0.15384615384615385</v>
      </c>
      <c r="C39"/>
      <c r="D39" s="300">
        <f>Vout2/VIN_max</f>
        <v>0.76923076923076927</v>
      </c>
      <c r="E39" s="114"/>
      <c r="I39" s="57"/>
    </row>
    <row r="40" spans="1:9" x14ac:dyDescent="0.2">
      <c r="A40" s="114"/>
      <c r="B40" s="559"/>
      <c r="C40" s="114"/>
      <c r="E40" s="114"/>
      <c r="I40" s="57"/>
    </row>
    <row r="41" spans="1:9" x14ac:dyDescent="0.2">
      <c r="A41" s="114" t="s">
        <v>303</v>
      </c>
      <c r="B41" s="291">
        <f>(VIN_nom-Vout)*D1_Vinnom/(Fsw*(Iout/Number_of_Phases)*0.35)</f>
        <v>3.9682539682539681E-6</v>
      </c>
      <c r="C41" t="s">
        <v>19</v>
      </c>
      <c r="D41" s="291">
        <f>(VIN_nom-Vout2)*D2_Vinnom/(Fsw*Iout2*0.35)</f>
        <v>3.9682539682539689E-6</v>
      </c>
      <c r="E41" t="s">
        <v>19</v>
      </c>
      <c r="F41" s="114" t="s">
        <v>651</v>
      </c>
      <c r="I41" s="57"/>
    </row>
    <row r="42" spans="1:9" x14ac:dyDescent="0.2">
      <c r="A42" s="114" t="s">
        <v>647</v>
      </c>
      <c r="B42" s="291">
        <f>1000*Vout*Rs/24/Fsw</f>
        <v>3.4722222222222224E-6</v>
      </c>
      <c r="C42" t="s">
        <v>19</v>
      </c>
      <c r="D42" s="291">
        <f>1000*Vout2*Rs_Ch2/24/Fsw</f>
        <v>1.7361111111111111E-5</v>
      </c>
      <c r="E42" t="s">
        <v>19</v>
      </c>
      <c r="F42" s="114" t="s">
        <v>722</v>
      </c>
      <c r="I42" s="57"/>
    </row>
    <row r="43" spans="1:9" x14ac:dyDescent="0.2">
      <c r="A43" s="114"/>
      <c r="C43" s="114"/>
      <c r="E43" s="114"/>
      <c r="I43" s="57"/>
    </row>
    <row r="44" spans="1:9" x14ac:dyDescent="0.2">
      <c r="A44" s="212" t="s">
        <v>304</v>
      </c>
      <c r="B44" s="291">
        <f>B42</f>
        <v>3.4722222222222224E-6</v>
      </c>
      <c r="C44" t="s">
        <v>19</v>
      </c>
      <c r="D44" s="532">
        <f>D42</f>
        <v>1.7361111111111111E-5</v>
      </c>
      <c r="E44" s="114" t="s">
        <v>19</v>
      </c>
      <c r="F44" s="114" t="s">
        <v>550</v>
      </c>
      <c r="I44" s="57"/>
    </row>
    <row r="45" spans="1:9" x14ac:dyDescent="0.2">
      <c r="A45" s="212"/>
      <c r="C45"/>
      <c r="E45" s="114"/>
      <c r="I45" s="57"/>
    </row>
    <row r="46" spans="1:9" x14ac:dyDescent="0.2">
      <c r="A46" s="212" t="s">
        <v>669</v>
      </c>
      <c r="B46" s="72">
        <f>'Design Regulator'!E28/1000000</f>
        <v>1.0000000000000001E-5</v>
      </c>
      <c r="C46" t="s">
        <v>19</v>
      </c>
      <c r="D46" s="72">
        <f>'Design Regulator'!J28/1000000</f>
        <v>1.0000000000000001E-5</v>
      </c>
      <c r="E46" t="s">
        <v>19</v>
      </c>
      <c r="F46" s="114" t="s">
        <v>551</v>
      </c>
      <c r="I46" s="57"/>
    </row>
    <row r="47" spans="1:9" x14ac:dyDescent="0.2">
      <c r="A47" s="212" t="s">
        <v>11</v>
      </c>
      <c r="B47" s="29">
        <f>'Design Regulator'!E29/1000</f>
        <v>1.2E-2</v>
      </c>
      <c r="C47" s="213" t="s">
        <v>116</v>
      </c>
      <c r="D47" s="29">
        <f>'Design Regulator'!J29/1000</f>
        <v>1.2E-2</v>
      </c>
      <c r="E47" s="213" t="s">
        <v>116</v>
      </c>
      <c r="F47" s="114" t="s">
        <v>552</v>
      </c>
      <c r="I47" s="57"/>
    </row>
    <row r="48" spans="1:9" x14ac:dyDescent="0.2">
      <c r="A48" s="212"/>
      <c r="B48" s="114"/>
      <c r="C48" s="114"/>
      <c r="D48" s="114"/>
      <c r="E48" s="114"/>
      <c r="I48" s="57"/>
    </row>
    <row r="49" spans="1:9" x14ac:dyDescent="0.2">
      <c r="A49" s="212" t="s">
        <v>16</v>
      </c>
      <c r="B49" s="300">
        <f>(Vout+Iout*(Rdcr+Rs))/(Vin+Iout*Rs)</f>
        <v>0.16935886761032473</v>
      </c>
      <c r="C49"/>
      <c r="I49" s="57"/>
    </row>
    <row r="50" spans="1:9" x14ac:dyDescent="0.2">
      <c r="A50" s="212" t="s">
        <v>17</v>
      </c>
      <c r="B50" s="300">
        <f>1-_Don2</f>
        <v>0.8306411323896753</v>
      </c>
      <c r="C50"/>
      <c r="I50" s="57"/>
    </row>
    <row r="51" spans="1:9" x14ac:dyDescent="0.2">
      <c r="A51" s="212"/>
      <c r="C51"/>
      <c r="I51" s="57"/>
    </row>
    <row r="52" spans="1:9" x14ac:dyDescent="0.2">
      <c r="A52" s="212" t="s">
        <v>726</v>
      </c>
      <c r="B52" s="300">
        <f>CHOOSE(MODE, (Vout+Iout*(Rdcr+Rs))/(VIN_min+Iout*Rs), (Vout+Iout/Number_of_Phases*(Rdcr+Rs))/(VIN_min+Iout/Number_of_Phases*Rs))</f>
        <v>0.18474114441416895</v>
      </c>
      <c r="C52"/>
      <c r="D52" s="300">
        <f>(Vout2+Iout2*(Rdcr2+Rs_Ch2))/(VIN_min+Iout2*Rs_Ch2)</f>
        <v>0.91135331516802909</v>
      </c>
      <c r="F52" s="114" t="s">
        <v>652</v>
      </c>
      <c r="I52" s="57"/>
    </row>
    <row r="53" spans="1:9" ht="15.75" x14ac:dyDescent="0.3">
      <c r="A53" s="212" t="s">
        <v>727</v>
      </c>
      <c r="B53" s="300">
        <f>CHOOSE(MODE, (Vout+Iout*(Rdcr+Rs))/(VIN_nom+Iout*Rs), (Vout+Iout/Number_of_Phases*(Rdcr+Rs))/(VIN_nom+Iout/Number_of_Phases*Rs))</f>
        <v>0.16935886761032473</v>
      </c>
      <c r="C53"/>
      <c r="D53" s="300">
        <f>(Vout2+Iout2*(Rdcr2+Rs_Ch2))/(VIN_nom+Iout2*Rs_Ch2)</f>
        <v>0.83547044129891768</v>
      </c>
      <c r="F53" s="379" t="s">
        <v>428</v>
      </c>
      <c r="I53" s="57"/>
    </row>
    <row r="54" spans="1:9" x14ac:dyDescent="0.2">
      <c r="A54" s="212" t="s">
        <v>728</v>
      </c>
      <c r="B54" s="300">
        <f>CHOOSE(MODE, (Vout+Iout*(Rdcr+Rs))/(VIN_max+Iout*Rs), (Vout+Iout/Number_of_Phases*(Rdcr+Rs))/(VIN_max+Iout/Number_of_Phases*Rs))</f>
        <v>0.1563412759415834</v>
      </c>
      <c r="C54"/>
      <c r="D54" s="300">
        <f>(Vout2+Iout2*(Rdcr2+Rs_Ch2))/(VIN_max+Iout2*Rs_Ch2)</f>
        <v>0.77125288239815537</v>
      </c>
      <c r="I54" s="57"/>
    </row>
    <row r="55" spans="1:9" x14ac:dyDescent="0.2">
      <c r="A55" s="212"/>
      <c r="C55"/>
      <c r="I55" s="57"/>
    </row>
    <row r="56" spans="1:9" x14ac:dyDescent="0.2">
      <c r="A56" s="212" t="s">
        <v>300</v>
      </c>
      <c r="B56" s="521">
        <f>MAX(0, (VIN_min-Vout)*D1_Vinmin_2/(Fsw*Lf))</f>
        <v>1.3855585831062669</v>
      </c>
      <c r="C56" s="114" t="s">
        <v>1</v>
      </c>
      <c r="D56" s="521">
        <f>MAX(0.1, (VIN_min-Vout2)*D2_Vinmin_2/(Fsw*Lo_2))</f>
        <v>0.75946109597335743</v>
      </c>
      <c r="E56" s="114" t="s">
        <v>1</v>
      </c>
      <c r="G56" s="30"/>
      <c r="I56" s="57"/>
    </row>
    <row r="57" spans="1:9" x14ac:dyDescent="0.2">
      <c r="A57" s="212" t="s">
        <v>301</v>
      </c>
      <c r="B57" s="521">
        <f>MAX(0, (VIN_nom-Vout)*D1_Vinnom_2/(Fsw*Lf))</f>
        <v>1.411323896752706</v>
      </c>
      <c r="C57" s="114" t="s">
        <v>1</v>
      </c>
      <c r="D57" s="521">
        <f>MAX(0, (VIN_nom-Vout2)*D2_Vinnom_2/(Fsw*Lo_2))</f>
        <v>1.3924507354981959</v>
      </c>
      <c r="E57" s="114" t="s">
        <v>1</v>
      </c>
      <c r="I57" s="57"/>
    </row>
    <row r="58" spans="1:9" x14ac:dyDescent="0.2">
      <c r="A58" s="212" t="s">
        <v>302</v>
      </c>
      <c r="B58" s="521">
        <f>MAX(0, (VIN_max-Vout)*D1_Vinmax_2/(Fsw*Lf))</f>
        <v>1.4331283627978475</v>
      </c>
      <c r="C58" s="114" t="s">
        <v>1</v>
      </c>
      <c r="D58" s="521">
        <f>MAX(0, (VIN_max-Vout2)*D2_Vinmax_2/(Fsw*Lo_2))</f>
        <v>1.9281322059953883</v>
      </c>
      <c r="E58" s="114" t="s">
        <v>1</v>
      </c>
      <c r="I58" s="57"/>
    </row>
    <row r="59" spans="1:9" x14ac:dyDescent="0.2">
      <c r="A59" s="212"/>
      <c r="B59" s="578"/>
      <c r="D59" s="480"/>
      <c r="E59" s="114"/>
      <c r="I59" s="57"/>
    </row>
    <row r="60" spans="1:9" x14ac:dyDescent="0.2">
      <c r="A60" s="212" t="s">
        <v>567</v>
      </c>
      <c r="B60" s="580">
        <f>SQRT((Iout/Number_of_Phases)^2+(Iripple_Vinmin^2)/12)</f>
        <v>10.00799585576128</v>
      </c>
      <c r="C60" s="114" t="s">
        <v>1</v>
      </c>
      <c r="D60" s="305">
        <f>SQRT(Iout2^2+(Iripple2_Vinmin^2)/12)</f>
        <v>10.002402966105599</v>
      </c>
      <c r="E60" s="114" t="s">
        <v>1</v>
      </c>
      <c r="F60" s="360"/>
      <c r="I60" s="57"/>
    </row>
    <row r="61" spans="1:9" x14ac:dyDescent="0.2">
      <c r="A61" s="212" t="s">
        <v>568</v>
      </c>
      <c r="B61" s="580">
        <f>SQRT((Iout/Number_of_Phases)^2+(Iripple_Vinnom^2)/12)</f>
        <v>10.008295872015147</v>
      </c>
      <c r="C61" s="114" t="s">
        <v>1</v>
      </c>
      <c r="D61" s="305">
        <f>SQRT(Iout2^2+(Iripple2_Vinnom^2)/12)</f>
        <v>10.008075568637848</v>
      </c>
      <c r="E61" s="114" t="s">
        <v>1</v>
      </c>
      <c r="F61" s="360"/>
      <c r="I61" s="57"/>
    </row>
    <row r="62" spans="1:9" x14ac:dyDescent="0.2">
      <c r="A62" s="212" t="s">
        <v>569</v>
      </c>
      <c r="B62" s="580">
        <f>SQRT((Iout/Number_of_Phases)^2+(Iripple_Vinmax^2)/12)</f>
        <v>10.008554078488126</v>
      </c>
      <c r="C62" s="114" t="s">
        <v>1</v>
      </c>
      <c r="D62" s="305">
        <f>SQRT(Iout2^2+(Iripple2_Vinmax^2)/12)</f>
        <v>10.01547841178758</v>
      </c>
      <c r="E62" s="114" t="s">
        <v>1</v>
      </c>
      <c r="F62" s="360"/>
      <c r="I62" s="57"/>
    </row>
    <row r="63" spans="1:9" x14ac:dyDescent="0.2">
      <c r="A63" s="212" t="s">
        <v>570</v>
      </c>
      <c r="B63" s="581">
        <f>B61^2*Rs</f>
        <v>0.50082993130897713</v>
      </c>
      <c r="C63" s="114" t="s">
        <v>116</v>
      </c>
      <c r="D63" s="581">
        <f>D61^2*Rs</f>
        <v>0.50080788293782885</v>
      </c>
      <c r="E63" s="114" t="s">
        <v>116</v>
      </c>
      <c r="F63" s="395" t="s">
        <v>670</v>
      </c>
      <c r="I63" s="57"/>
    </row>
    <row r="64" spans="1:9" x14ac:dyDescent="0.2">
      <c r="A64" s="212"/>
      <c r="B64" s="114"/>
      <c r="C64" s="114"/>
      <c r="D64" s="114"/>
      <c r="I64" s="57"/>
    </row>
    <row r="65" spans="1:16" x14ac:dyDescent="0.2">
      <c r="A65" s="212" t="s">
        <v>310</v>
      </c>
      <c r="B65" s="301">
        <f>MAX(B56:B58)</f>
        <v>1.4331283627978475</v>
      </c>
      <c r="C65" s="395" t="s">
        <v>1</v>
      </c>
      <c r="D65" s="301">
        <f t="shared" ref="D65" si="0">MAX(D56:D58)</f>
        <v>1.9281322059953883</v>
      </c>
      <c r="E65" s="114" t="s">
        <v>1</v>
      </c>
      <c r="F65" s="114" t="s">
        <v>671</v>
      </c>
      <c r="I65" s="57"/>
    </row>
    <row r="66" spans="1:16" x14ac:dyDescent="0.2">
      <c r="A66" s="212"/>
      <c r="B66" s="114"/>
      <c r="C66" s="114"/>
      <c r="D66" s="114"/>
      <c r="F66" s="114"/>
      <c r="G66" s="294"/>
      <c r="I66" s="57"/>
    </row>
    <row r="67" spans="1:16" x14ac:dyDescent="0.2">
      <c r="B67" s="409">
        <f>B56/(Iout/Number_of_Phases)</f>
        <v>0.13855585831062669</v>
      </c>
      <c r="C67" s="583"/>
      <c r="D67" s="409">
        <f>D56/Iout2</f>
        <v>7.5946109597335748E-2</v>
      </c>
      <c r="F67" s="4"/>
      <c r="G67" s="410"/>
      <c r="I67" s="57"/>
    </row>
    <row r="68" spans="1:16" x14ac:dyDescent="0.2">
      <c r="A68" s="212" t="s">
        <v>775</v>
      </c>
      <c r="B68" s="409">
        <f>B57/(Iout/Number_of_Phases)</f>
        <v>0.14113238967527059</v>
      </c>
      <c r="C68"/>
      <c r="D68" s="409">
        <f>D57/Iout2</f>
        <v>0.13924507354981958</v>
      </c>
      <c r="F68" s="4"/>
      <c r="G68" s="410"/>
      <c r="I68" s="57"/>
    </row>
    <row r="69" spans="1:16" x14ac:dyDescent="0.2">
      <c r="A69" s="212"/>
      <c r="B69" s="409">
        <f>B58/(Iout/Number_of_Phases)</f>
        <v>0.14331283627978475</v>
      </c>
      <c r="C69"/>
      <c r="D69" s="409">
        <f>D58/Iout2</f>
        <v>0.19281322059953881</v>
      </c>
      <c r="F69" s="4"/>
      <c r="G69" s="410"/>
      <c r="I69" s="57"/>
    </row>
    <row r="70" spans="1:16" x14ac:dyDescent="0.2">
      <c r="A70" s="212"/>
      <c r="C70"/>
      <c r="I70" s="57"/>
    </row>
    <row r="71" spans="1:16" x14ac:dyDescent="0.2">
      <c r="A71" s="114" t="s">
        <v>648</v>
      </c>
      <c r="B71" s="408">
        <v>100</v>
      </c>
      <c r="C71" s="114" t="s">
        <v>465</v>
      </c>
      <c r="D71" s="582">
        <v>100</v>
      </c>
      <c r="E71" s="114" t="s">
        <v>465</v>
      </c>
      <c r="I71" s="57"/>
    </row>
    <row r="72" spans="1:16" x14ac:dyDescent="0.2">
      <c r="A72" s="212" t="s">
        <v>216</v>
      </c>
      <c r="B72" s="390">
        <f>Rdcr*(1+0.0039*(B71-25))</f>
        <v>1.5509999999999999E-2</v>
      </c>
      <c r="C72" s="213" t="s">
        <v>116</v>
      </c>
      <c r="D72" s="307">
        <f>Rdcr2*(1+0.0039*(D71-25))</f>
        <v>1.5509999999999999E-2</v>
      </c>
      <c r="E72" s="213" t="s">
        <v>116</v>
      </c>
      <c r="I72" s="57"/>
    </row>
    <row r="73" spans="1:16" ht="13.5" thickBot="1" x14ac:dyDescent="0.25">
      <c r="A73" s="314"/>
      <c r="B73" s="315"/>
      <c r="C73" s="61"/>
      <c r="D73" s="61"/>
      <c r="E73" s="61"/>
      <c r="F73" s="61"/>
      <c r="G73" s="61"/>
      <c r="H73" s="61"/>
      <c r="I73" s="62"/>
    </row>
    <row r="74" spans="1:16" x14ac:dyDescent="0.2">
      <c r="A74" s="2"/>
      <c r="B74" s="1"/>
      <c r="C74" s="1"/>
    </row>
    <row r="75" spans="1:16" ht="16.5" thickBot="1" x14ac:dyDescent="0.3">
      <c r="A75" s="525" t="s">
        <v>390</v>
      </c>
      <c r="B75" s="1"/>
      <c r="C75" s="1"/>
    </row>
    <row r="76" spans="1:16" x14ac:dyDescent="0.2">
      <c r="A76" s="91"/>
      <c r="B76" s="63"/>
      <c r="C76" s="63"/>
      <c r="D76" s="63"/>
      <c r="E76" s="63"/>
      <c r="F76" s="63"/>
      <c r="G76" s="63"/>
      <c r="H76" s="63"/>
      <c r="I76" s="64"/>
    </row>
    <row r="77" spans="1:16" x14ac:dyDescent="0.2">
      <c r="A77" s="212" t="s">
        <v>309</v>
      </c>
      <c r="B77" s="29">
        <f>'Design Regulator'!E17</f>
        <v>14</v>
      </c>
      <c r="C77" t="s">
        <v>1</v>
      </c>
      <c r="D77" s="317">
        <f>'Design Regulator'!J17</f>
        <v>14</v>
      </c>
      <c r="E77" s="114" t="s">
        <v>1</v>
      </c>
      <c r="F77" s="114" t="s">
        <v>516</v>
      </c>
      <c r="I77" s="57"/>
      <c r="K77" s="114"/>
      <c r="N77" s="114"/>
    </row>
    <row r="78" spans="1:16" x14ac:dyDescent="0.2">
      <c r="A78" s="212"/>
      <c r="C78"/>
      <c r="I78" s="57"/>
      <c r="K78" s="114"/>
      <c r="L78" s="114"/>
    </row>
    <row r="79" spans="1:16" x14ac:dyDescent="0.2">
      <c r="A79" s="212" t="s">
        <v>314</v>
      </c>
      <c r="B79" s="305">
        <f>CHOOSE(MODE, Ilimit_DC+Iripple_Vinmin/2, Ilimit_DC/Number_of_Phases+Iripple_Vinmin/2)</f>
        <v>14.692779291553133</v>
      </c>
      <c r="C79" t="s">
        <v>1</v>
      </c>
      <c r="D79" s="305">
        <f>Ilimit2_DC+Iripple2_Vinmin/2</f>
        <v>14.379730547986679</v>
      </c>
      <c r="E79" s="114" t="s">
        <v>1</v>
      </c>
      <c r="F79" s="114" t="s">
        <v>654</v>
      </c>
      <c r="I79" s="57"/>
      <c r="K79" s="4"/>
      <c r="L79" s="4"/>
      <c r="N79" s="311"/>
      <c r="P79" s="311"/>
    </row>
    <row r="80" spans="1:16" x14ac:dyDescent="0.2">
      <c r="A80" s="212" t="s">
        <v>316</v>
      </c>
      <c r="B80" s="305">
        <f>CHOOSE(MODE, Ilimit_DC+Iripple_Vinnom/2, Ilimit_DC/Number_of_Phases+Iripple_Vinnom/2)</f>
        <v>14.705661948376353</v>
      </c>
      <c r="C80" t="s">
        <v>1</v>
      </c>
      <c r="D80" s="305">
        <f>Ilimit2_DC+Iripple2_Vinnom/2</f>
        <v>14.696225367749097</v>
      </c>
      <c r="E80" s="114" t="s">
        <v>1</v>
      </c>
      <c r="I80" s="57"/>
      <c r="K80" s="4"/>
      <c r="L80" s="4"/>
      <c r="N80" s="311"/>
      <c r="P80" s="311"/>
    </row>
    <row r="81" spans="1:16" x14ac:dyDescent="0.2">
      <c r="A81" s="212" t="s">
        <v>315</v>
      </c>
      <c r="B81" s="305">
        <f>CHOOSE(MODE, Ilimit_DC+Iripple_Vinmax/2, Ilimit_DC/Number_of_Phases+Iripple_Vinmax/2)</f>
        <v>14.716564181398924</v>
      </c>
      <c r="C81" t="s">
        <v>1</v>
      </c>
      <c r="D81" s="305">
        <f>Ilimit2_DC+Iripple2_Vinmax/2</f>
        <v>14.964066102997695</v>
      </c>
      <c r="E81" s="114" t="s">
        <v>1</v>
      </c>
      <c r="I81" s="57"/>
      <c r="K81" s="4"/>
      <c r="L81" s="4"/>
      <c r="N81" s="311"/>
      <c r="P81" s="311"/>
    </row>
    <row r="82" spans="1:16" x14ac:dyDescent="0.2">
      <c r="A82" s="212"/>
      <c r="B82" s="4"/>
      <c r="C82" s="114"/>
      <c r="D82" s="114"/>
      <c r="I82" s="57"/>
    </row>
    <row r="83" spans="1:16" x14ac:dyDescent="0.2">
      <c r="I83" s="57"/>
    </row>
    <row r="84" spans="1:16" x14ac:dyDescent="0.2">
      <c r="A84" s="212" t="s">
        <v>656</v>
      </c>
      <c r="B84" s="481">
        <v>6.6000000000000003E-2</v>
      </c>
      <c r="C84" s="114" t="s">
        <v>0</v>
      </c>
      <c r="E84" s="114"/>
      <c r="I84" s="57"/>
    </row>
    <row r="85" spans="1:16" x14ac:dyDescent="0.2">
      <c r="A85" s="212" t="s">
        <v>655</v>
      </c>
      <c r="B85" s="481">
        <v>7.2999999999999995E-2</v>
      </c>
      <c r="C85" s="114" t="s">
        <v>0</v>
      </c>
      <c r="E85" s="114"/>
      <c r="F85" s="2"/>
      <c r="I85" s="57"/>
    </row>
    <row r="86" spans="1:16" x14ac:dyDescent="0.2">
      <c r="A86" s="212" t="s">
        <v>657</v>
      </c>
      <c r="B86" s="481">
        <v>0.08</v>
      </c>
      <c r="C86" s="114" t="s">
        <v>0</v>
      </c>
      <c r="E86" s="114"/>
      <c r="I86" s="57"/>
    </row>
    <row r="87" spans="1:16" x14ac:dyDescent="0.2">
      <c r="A87" s="212"/>
      <c r="B87" s="360"/>
      <c r="C87" s="114"/>
      <c r="E87" s="114"/>
      <c r="F87">
        <f>SENSING_TYPE</f>
        <v>1</v>
      </c>
      <c r="I87" s="57"/>
    </row>
    <row r="88" spans="1:16" x14ac:dyDescent="0.2">
      <c r="A88" s="212" t="s">
        <v>553</v>
      </c>
      <c r="B88" s="307">
        <f>Buck_CS_threshold/B79</f>
        <v>4.9684269089897539E-3</v>
      </c>
      <c r="C88" s="213" t="s">
        <v>116</v>
      </c>
      <c r="D88" s="307">
        <f>Buck_CS_threshold/D79</f>
        <v>5.0765902571255619E-3</v>
      </c>
      <c r="E88" s="213" t="s">
        <v>116</v>
      </c>
      <c r="I88" s="57"/>
    </row>
    <row r="89" spans="1:16" x14ac:dyDescent="0.2">
      <c r="A89" s="212" t="s">
        <v>554</v>
      </c>
      <c r="B89" s="307">
        <f>Buck_CS_threshold/B80</f>
        <v>4.9640743991167229E-3</v>
      </c>
      <c r="C89" s="213" t="s">
        <v>116</v>
      </c>
      <c r="D89" s="307">
        <f>Buck_CS_threshold/D80</f>
        <v>4.9672618766583888E-3</v>
      </c>
      <c r="E89" s="213" t="s">
        <v>116</v>
      </c>
      <c r="I89" s="57"/>
    </row>
    <row r="90" spans="1:16" x14ac:dyDescent="0.2">
      <c r="A90" s="212" t="s">
        <v>555</v>
      </c>
      <c r="B90" s="307">
        <f>Buck_CS_threshold/B81</f>
        <v>4.9603969445713905E-3</v>
      </c>
      <c r="C90" s="213" t="s">
        <v>116</v>
      </c>
      <c r="D90" s="307">
        <f>Buck_CS_threshold/D81</f>
        <v>4.8783532161339616E-3</v>
      </c>
      <c r="E90" s="213" t="s">
        <v>116</v>
      </c>
      <c r="I90" s="57"/>
    </row>
    <row r="91" spans="1:16" x14ac:dyDescent="0.2">
      <c r="A91" s="212"/>
      <c r="B91" s="30"/>
      <c r="C91" s="213"/>
      <c r="E91" s="213"/>
      <c r="I91" s="57"/>
    </row>
    <row r="92" spans="1:16" x14ac:dyDescent="0.2">
      <c r="A92" s="212" t="s">
        <v>313</v>
      </c>
      <c r="B92" s="308">
        <f>B89</f>
        <v>4.9640743991167229E-3</v>
      </c>
      <c r="C92" s="213" t="s">
        <v>116</v>
      </c>
      <c r="D92" s="307">
        <f>D89</f>
        <v>4.9672618766583888E-3</v>
      </c>
      <c r="E92" s="213" t="s">
        <v>116</v>
      </c>
      <c r="F92" s="114" t="s">
        <v>658</v>
      </c>
      <c r="I92" s="57"/>
    </row>
    <row r="93" spans="1:16" x14ac:dyDescent="0.2">
      <c r="A93" s="212" t="s">
        <v>167</v>
      </c>
      <c r="B93" s="664">
        <f>CHOOSE(SENSING_TYPE, 'Design Regulator'!E19/1000, Rdcr)</f>
        <v>5.0000000000000001E-3</v>
      </c>
      <c r="C93" s="213" t="s">
        <v>116</v>
      </c>
      <c r="D93" s="584">
        <f>CHOOSE(SENSING_TYPE, 'Design Regulator'!J19/1000, Rdcr2)</f>
        <v>5.0000000000000001E-3</v>
      </c>
      <c r="E93" s="213" t="s">
        <v>116</v>
      </c>
      <c r="F93" s="114" t="s">
        <v>317</v>
      </c>
      <c r="I93" s="57"/>
      <c r="K93" s="114"/>
      <c r="L93" s="114"/>
    </row>
    <row r="94" spans="1:16" x14ac:dyDescent="0.2">
      <c r="A94" s="212"/>
      <c r="B94" s="411"/>
      <c r="C94" s="213"/>
      <c r="E94" s="213"/>
      <c r="I94" s="57"/>
      <c r="K94" s="114"/>
      <c r="L94" s="114"/>
    </row>
    <row r="95" spans="1:16" x14ac:dyDescent="0.2">
      <c r="A95" s="212" t="s">
        <v>659</v>
      </c>
      <c r="B95" s="305">
        <f>Buck_CS_threshold/Rs</f>
        <v>14.6</v>
      </c>
      <c r="C95" s="114" t="s">
        <v>1</v>
      </c>
      <c r="D95" s="305">
        <f>Buck_CS_threshold/Rs_Ch2</f>
        <v>14.6</v>
      </c>
      <c r="E95" s="114" t="s">
        <v>1</v>
      </c>
      <c r="F95" s="114" t="s">
        <v>660</v>
      </c>
      <c r="I95" s="57"/>
    </row>
    <row r="96" spans="1:16" x14ac:dyDescent="0.2">
      <c r="A96" s="212"/>
      <c r="E96" s="2"/>
      <c r="I96" s="57"/>
    </row>
    <row r="97" spans="1:12" ht="15.75" x14ac:dyDescent="0.3">
      <c r="A97" s="212" t="s">
        <v>429</v>
      </c>
      <c r="B97" s="312">
        <f>Number_of_Phases*(Buck_CS_threshold/Rs-Iripple_Vinmin/2)</f>
        <v>13.907220708446866</v>
      </c>
      <c r="C97" t="s">
        <v>1</v>
      </c>
      <c r="D97" s="312">
        <f>Buck_CS_threshold/Rs_Ch2-Iripple2_Vinmin/2</f>
        <v>14.220269452013321</v>
      </c>
      <c r="E97" t="s">
        <v>1</v>
      </c>
      <c r="F97" s="114" t="s">
        <v>431</v>
      </c>
      <c r="I97" s="57"/>
    </row>
    <row r="98" spans="1:12" x14ac:dyDescent="0.2">
      <c r="A98" s="212" t="s">
        <v>459</v>
      </c>
      <c r="B98" s="312">
        <f>Number_of_Phases*(Buck_CS_threshold/Rs-Iripple_Vinnom/2)</f>
        <v>13.894338051623647</v>
      </c>
      <c r="C98" t="s">
        <v>1</v>
      </c>
      <c r="D98" s="312">
        <f>Buck_CS_threshold/Rs_Ch2-Iripple2_Vinnom/2</f>
        <v>13.903774632250901</v>
      </c>
      <c r="E98" t="s">
        <v>1</v>
      </c>
      <c r="I98" s="57"/>
    </row>
    <row r="99" spans="1:12" x14ac:dyDescent="0.2">
      <c r="A99" s="212" t="s">
        <v>430</v>
      </c>
      <c r="B99" s="312">
        <f>Number_of_Phases*(Buck_CS_threshold/Rs-Iripple_Vinmax/2)</f>
        <v>13.883435818601075</v>
      </c>
      <c r="C99" t="s">
        <v>1</v>
      </c>
      <c r="D99" s="312">
        <f>Buck_CS_threshold/Rs_Ch2-Iripple2_Vinmax/2</f>
        <v>13.635933897002305</v>
      </c>
      <c r="E99" t="s">
        <v>1</v>
      </c>
      <c r="I99" s="57"/>
    </row>
    <row r="100" spans="1:12" x14ac:dyDescent="0.2">
      <c r="A100" s="212"/>
      <c r="B100" s="48"/>
      <c r="C100"/>
      <c r="D100" s="48"/>
      <c r="I100" s="57"/>
    </row>
    <row r="101" spans="1:12" x14ac:dyDescent="0.2">
      <c r="A101" s="212" t="s">
        <v>664</v>
      </c>
      <c r="B101" s="520">
        <f>SQRT((Iout_OCP_Vinmin/Number_of_Phases)^2+(Iripple_Vinmin^2)/12)</f>
        <v>13.912971245653759</v>
      </c>
      <c r="C101" t="s">
        <v>1</v>
      </c>
      <c r="D101" s="520">
        <f>SQRT(Iout2_OCP_Vinmin^2+(Iripple2_Vinmin^2)/12)</f>
        <v>14.221959372189943</v>
      </c>
      <c r="E101" t="s">
        <v>1</v>
      </c>
      <c r="I101" s="57"/>
    </row>
    <row r="102" spans="1:12" x14ac:dyDescent="0.2">
      <c r="A102" s="212" t="s">
        <v>665</v>
      </c>
      <c r="B102" s="520">
        <f>SQRT((Iout_OCP_Vinnom/Number_of_Phases)^2+(Iripple_Vinnom^2)/12)</f>
        <v>13.900309930163148</v>
      </c>
      <c r="C102" t="s">
        <v>1</v>
      </c>
      <c r="D102" s="520">
        <f>SQRT(Iout2_OCP_Vinnom^2+(Iripple2_Vinnom^2)/12)</f>
        <v>13.90958394819879</v>
      </c>
      <c r="E102" t="s">
        <v>1</v>
      </c>
      <c r="I102" s="57"/>
    </row>
    <row r="103" spans="1:12" x14ac:dyDescent="0.2">
      <c r="A103" s="212" t="s">
        <v>666</v>
      </c>
      <c r="B103" s="520">
        <f>SQRT((Iout_OCP_Vinmax/Number_of_Phases)^2+(Iripple_Vinmax^2)/12)</f>
        <v>13.889598441684218</v>
      </c>
      <c r="C103" t="s">
        <v>1</v>
      </c>
      <c r="D103" s="520">
        <f>SQRT(Iout2_OCP_Vinmax^2+(Iripple2_Vinmax^2)/12)</f>
        <v>13.647289146947813</v>
      </c>
      <c r="E103" t="s">
        <v>1</v>
      </c>
      <c r="I103" s="57"/>
    </row>
    <row r="104" spans="1:12" x14ac:dyDescent="0.2">
      <c r="A104" s="212"/>
      <c r="B104" s="48"/>
      <c r="C104"/>
      <c r="D104" s="48"/>
      <c r="I104" s="57"/>
    </row>
    <row r="105" spans="1:12" x14ac:dyDescent="0.2">
      <c r="A105" s="212" t="s">
        <v>661</v>
      </c>
      <c r="B105" s="520">
        <f>B101^2*Rs</f>
        <v>0.96785384441194156</v>
      </c>
      <c r="C105" s="114" t="s">
        <v>116</v>
      </c>
      <c r="D105" s="520">
        <f>D101^2*Rs_Ch2</f>
        <v>1.0113206419211067</v>
      </c>
      <c r="E105" s="114" t="s">
        <v>116</v>
      </c>
      <c r="F105" s="114" t="s">
        <v>667</v>
      </c>
      <c r="I105" s="57"/>
    </row>
    <row r="106" spans="1:12" x14ac:dyDescent="0.2">
      <c r="A106" s="212" t="s">
        <v>662</v>
      </c>
      <c r="B106" s="520">
        <f>B102^2*Rs</f>
        <v>0.96609308077296119</v>
      </c>
      <c r="C106" t="s">
        <v>116</v>
      </c>
      <c r="D106" s="520">
        <f>D102^2*Rs_Ch2</f>
        <v>0.96738262805994724</v>
      </c>
      <c r="E106" t="s">
        <v>116</v>
      </c>
      <c r="I106" s="57"/>
    </row>
    <row r="107" spans="1:12" x14ac:dyDescent="0.2">
      <c r="A107" s="212" t="s">
        <v>663</v>
      </c>
      <c r="B107" s="520">
        <f>B103^2*Rs</f>
        <v>0.96460472435618327</v>
      </c>
      <c r="C107" t="s">
        <v>116</v>
      </c>
      <c r="D107" s="520">
        <f>D103^2*Rs_Ch2</f>
        <v>0.9312425053019977</v>
      </c>
      <c r="E107" t="s">
        <v>116</v>
      </c>
      <c r="I107" s="57"/>
    </row>
    <row r="108" spans="1:12" ht="13.5" thickBot="1" x14ac:dyDescent="0.25">
      <c r="A108" s="60"/>
      <c r="B108" s="61"/>
      <c r="C108" s="61"/>
      <c r="D108" s="61"/>
      <c r="E108" s="118"/>
      <c r="F108" s="61"/>
      <c r="G108" s="61"/>
      <c r="H108" s="61"/>
      <c r="I108" s="62"/>
    </row>
    <row r="110" spans="1:12" ht="16.5" thickBot="1" x14ac:dyDescent="0.3">
      <c r="A110" s="534" t="s">
        <v>139</v>
      </c>
      <c r="D110" s="2"/>
    </row>
    <row r="111" spans="1:12" x14ac:dyDescent="0.2">
      <c r="A111" s="211" t="s">
        <v>320</v>
      </c>
      <c r="B111" s="589">
        <f>Iripple_Vinmin/SQRT(12)</f>
        <v>0.39997631046719984</v>
      </c>
      <c r="C111" s="313" t="s">
        <v>1</v>
      </c>
      <c r="D111" s="589">
        <f>Iripple2_Vinmin/SQRT(12)</f>
        <v>0.21923753409963306</v>
      </c>
      <c r="E111" s="313" t="s">
        <v>1</v>
      </c>
      <c r="F111" s="117" t="s">
        <v>319</v>
      </c>
      <c r="G111" s="63"/>
      <c r="H111" s="63"/>
      <c r="I111" s="64"/>
      <c r="L111" s="4"/>
    </row>
    <row r="112" spans="1:12" x14ac:dyDescent="0.2">
      <c r="A112" s="212" t="s">
        <v>321</v>
      </c>
      <c r="B112" s="520">
        <f>Iripple_Vinnom/SQRT(12)</f>
        <v>0.40741411585196324</v>
      </c>
      <c r="C112" s="114" t="s">
        <v>1</v>
      </c>
      <c r="D112" s="520">
        <f>Iripple2_Vinnom/SQRT(12)</f>
        <v>0.40196590348658789</v>
      </c>
      <c r="E112" s="114" t="s">
        <v>1</v>
      </c>
      <c r="F112" s="114"/>
      <c r="I112" s="57"/>
      <c r="L112" s="4"/>
    </row>
    <row r="113" spans="1:12" x14ac:dyDescent="0.2">
      <c r="A113" s="212" t="s">
        <v>322</v>
      </c>
      <c r="B113" s="520">
        <f>Iripple_Vinmax/SQRT(12)</f>
        <v>0.41370852302231248</v>
      </c>
      <c r="C113" s="114" t="s">
        <v>1</v>
      </c>
      <c r="D113" s="520">
        <f>Iripple2_Vinmax/SQRT(12)</f>
        <v>0.55660382408231224</v>
      </c>
      <c r="E113" s="114" t="s">
        <v>1</v>
      </c>
      <c r="F113" s="114"/>
      <c r="I113" s="57"/>
      <c r="L113" s="4"/>
    </row>
    <row r="114" spans="1:12" x14ac:dyDescent="0.2">
      <c r="A114" s="212" t="s">
        <v>558</v>
      </c>
      <c r="B114" s="520">
        <f>MAX(B111:B113)</f>
        <v>0.41370852302231248</v>
      </c>
      <c r="C114" s="114" t="s">
        <v>1</v>
      </c>
      <c r="D114" s="520">
        <f>MAX(D111:D113)</f>
        <v>0.55660382408231224</v>
      </c>
      <c r="E114" s="114" t="s">
        <v>1</v>
      </c>
      <c r="F114" s="114"/>
      <c r="I114" s="57"/>
      <c r="L114" s="4"/>
    </row>
    <row r="115" spans="1:12" x14ac:dyDescent="0.2">
      <c r="A115" s="212"/>
      <c r="B115" s="48"/>
      <c r="C115" s="114"/>
      <c r="F115" s="114"/>
      <c r="I115" s="57"/>
      <c r="L115" s="4"/>
    </row>
    <row r="116" spans="1:12" x14ac:dyDescent="0.2">
      <c r="A116" s="212" t="s">
        <v>21</v>
      </c>
      <c r="B116" s="413">
        <f>'Design Regulator'!E33/1000</f>
        <v>0.05</v>
      </c>
      <c r="C116" t="s">
        <v>0</v>
      </c>
      <c r="D116" s="317">
        <f>'Design Regulator'!J33/1000</f>
        <v>0.05</v>
      </c>
      <c r="E116" t="s">
        <v>0</v>
      </c>
      <c r="F116" s="114" t="s">
        <v>432</v>
      </c>
      <c r="I116" s="57"/>
    </row>
    <row r="117" spans="1:12" x14ac:dyDescent="0.2">
      <c r="A117" s="212"/>
      <c r="B117" s="114"/>
      <c r="C117"/>
      <c r="F117" s="114"/>
      <c r="I117" s="57"/>
    </row>
    <row r="118" spans="1:12" x14ac:dyDescent="0.2">
      <c r="A118" s="212" t="s">
        <v>415</v>
      </c>
      <c r="B118" s="412">
        <f>Vo1_ripple*1000</f>
        <v>50</v>
      </c>
      <c r="C118" s="114" t="s">
        <v>292</v>
      </c>
      <c r="D118" s="310">
        <f>Vo2_ripple*1000</f>
        <v>50</v>
      </c>
      <c r="E118" s="114" t="s">
        <v>292</v>
      </c>
      <c r="F118" s="114" t="s">
        <v>433</v>
      </c>
      <c r="I118" s="57"/>
      <c r="L118" s="4"/>
    </row>
    <row r="119" spans="1:12" x14ac:dyDescent="0.2">
      <c r="A119" s="56"/>
      <c r="B119" s="114"/>
      <c r="F119" s="114"/>
      <c r="I119" s="57"/>
    </row>
    <row r="120" spans="1:12" x14ac:dyDescent="0.2">
      <c r="A120" s="66" t="s">
        <v>22</v>
      </c>
      <c r="B120" s="422">
        <f>Iripple_Vinnom/(Fsw*8*Vo1_ripple)</f>
        <v>5.8805162364696085E-6</v>
      </c>
      <c r="C120" t="s">
        <v>24</v>
      </c>
      <c r="D120" s="422">
        <f>Iripple2_Vinnom/(Fsw*8*Vo2_ripple)</f>
        <v>5.8018780645758159E-6</v>
      </c>
      <c r="E120" t="s">
        <v>24</v>
      </c>
      <c r="F120" s="114" t="s">
        <v>813</v>
      </c>
      <c r="H120">
        <f>Vo2_ripple</f>
        <v>0.05</v>
      </c>
      <c r="I120" s="57">
        <v>1</v>
      </c>
      <c r="K120" s="1"/>
    </row>
    <row r="121" spans="1:12" x14ac:dyDescent="0.2">
      <c r="A121" s="212" t="s">
        <v>564</v>
      </c>
      <c r="B121" s="478">
        <f>IF(Cout_min*1000000&lt;2, 2.2,Cout_min*1000000)</f>
        <v>5.8805162364696084</v>
      </c>
      <c r="C121" s="42" t="s">
        <v>23</v>
      </c>
      <c r="D121" s="478">
        <f>IF(Cout2_min*1000000&lt;2, 2.2,Cout2_min*1000000)</f>
        <v>5.8018780645758161</v>
      </c>
      <c r="E121" s="42" t="s">
        <v>23</v>
      </c>
      <c r="I121" s="57"/>
      <c r="K121" s="1"/>
    </row>
    <row r="122" spans="1:12" x14ac:dyDescent="0.2">
      <c r="A122" s="212" t="s">
        <v>25</v>
      </c>
      <c r="B122" s="423">
        <f>'Design Regulator'!E35/1000000</f>
        <v>2.0000000000000001E-4</v>
      </c>
      <c r="C122" t="s">
        <v>24</v>
      </c>
      <c r="D122" s="423">
        <f>'Design Regulator'!J35/1000000</f>
        <v>2.0000000000000001E-4</v>
      </c>
      <c r="E122" t="s">
        <v>24</v>
      </c>
      <c r="F122" s="114" t="s">
        <v>812</v>
      </c>
      <c r="I122" s="57">
        <v>1</v>
      </c>
    </row>
    <row r="123" spans="1:12" x14ac:dyDescent="0.2">
      <c r="A123" s="66" t="s">
        <v>48</v>
      </c>
      <c r="B123" s="479">
        <f>SQRT((Vo1_ripple/Iripple_Vinnom)^2-(1/(Fsw*Cout*8))^2)</f>
        <v>3.5412411458022375E-2</v>
      </c>
      <c r="C123" s="213" t="s">
        <v>116</v>
      </c>
      <c r="D123" s="479">
        <f>SQRT((Vo2_ripple/Iripple2_Vinnom)^2-(1/(Fsw*Cout2*8))^2)</f>
        <v>3.5892800857940423E-2</v>
      </c>
      <c r="E123" s="213" t="s">
        <v>116</v>
      </c>
      <c r="F123" s="114" t="s">
        <v>239</v>
      </c>
      <c r="I123" s="57">
        <v>1</v>
      </c>
    </row>
    <row r="124" spans="1:12" x14ac:dyDescent="0.2">
      <c r="A124" s="2"/>
      <c r="B124" s="523"/>
      <c r="C124" s="213"/>
      <c r="D124" s="523"/>
      <c r="E124" s="213"/>
      <c r="F124" s="114"/>
      <c r="I124" s="57"/>
    </row>
    <row r="125" spans="1:12" x14ac:dyDescent="0.2">
      <c r="A125" s="476" t="s">
        <v>514</v>
      </c>
      <c r="B125" s="477">
        <f>IF(OR(CoutEsrMax&gt;0.3, CoutEsrMax&lt;0, (ISERROR(CoutEsrMax))), "N/A", CoutEsrMax*1000)</f>
        <v>35.412411458022376</v>
      </c>
      <c r="C125" s="45" t="s">
        <v>318</v>
      </c>
      <c r="D125" s="477">
        <f>IF(OR(Cout2EsrMax&gt;0.3, Cout2EsrMax&lt;0, (ISERROR(Cout2EsrMax))), "N/A", Cout2EsrMax*1000)</f>
        <v>35.892800857940422</v>
      </c>
      <c r="E125" s="45" t="s">
        <v>318</v>
      </c>
      <c r="F125" s="114"/>
      <c r="I125" s="57"/>
    </row>
    <row r="126" spans="1:12" x14ac:dyDescent="0.2">
      <c r="A126" s="212" t="s">
        <v>137</v>
      </c>
      <c r="B126" s="413">
        <f>'Design Regulator'!E37/1000</f>
        <v>2E-3</v>
      </c>
      <c r="C126" s="213" t="s">
        <v>116</v>
      </c>
      <c r="D126" s="413">
        <f>'Design Regulator'!J37/1000</f>
        <v>2E-3</v>
      </c>
      <c r="E126" s="213" t="s">
        <v>116</v>
      </c>
      <c r="F126" s="114" t="s">
        <v>240</v>
      </c>
      <c r="I126" s="57">
        <v>1</v>
      </c>
      <c r="K126" t="b">
        <f>ISERROR(CoutEsrMax)</f>
        <v>0</v>
      </c>
      <c r="L126" t="b">
        <f>ISERROR(B125)</f>
        <v>0</v>
      </c>
    </row>
    <row r="127" spans="1:12" ht="13.5" thickBot="1" x14ac:dyDescent="0.25">
      <c r="A127" s="381" t="s">
        <v>194</v>
      </c>
      <c r="B127" s="414">
        <f>Iripple_Vinnom*SQRT(Cout_ESR^2+(1/(8*Fsw*Cout))^2)</f>
        <v>3.1825492952415346E-3</v>
      </c>
      <c r="C127" s="105" t="s">
        <v>39</v>
      </c>
      <c r="D127" s="414">
        <f>Iripple2_Vinnom*SQRT(Cout2_ESR^2+(1/(8*Fsw*Cout2))^2)</f>
        <v>3.139990130624735E-3</v>
      </c>
      <c r="E127" s="105" t="s">
        <v>39</v>
      </c>
      <c r="F127" s="61"/>
      <c r="G127" s="61"/>
      <c r="H127" s="61"/>
      <c r="I127" s="62"/>
      <c r="L127" t="b">
        <f>OR(CoutEsrMax&gt;0.3,CoutEsrMax&lt;0)</f>
        <v>0</v>
      </c>
    </row>
    <row r="128" spans="1:12" x14ac:dyDescent="0.2">
      <c r="K128" t="b">
        <f>OR(TRUE, FALSE, TRUE)</f>
        <v>1</v>
      </c>
    </row>
    <row r="129" spans="1:16" ht="16.5" thickBot="1" x14ac:dyDescent="0.3">
      <c r="A129" s="534" t="s">
        <v>140</v>
      </c>
    </row>
    <row r="130" spans="1:16" ht="15.75" x14ac:dyDescent="0.25">
      <c r="A130" s="95"/>
      <c r="B130" s="96"/>
      <c r="C130" s="316"/>
      <c r="D130" s="96"/>
      <c r="E130" s="96"/>
      <c r="F130" s="96"/>
      <c r="G130" s="96"/>
      <c r="H130" s="96"/>
      <c r="I130" s="97"/>
      <c r="K130" s="2" t="s">
        <v>836</v>
      </c>
    </row>
    <row r="131" spans="1:16" x14ac:dyDescent="0.2">
      <c r="A131" s="212" t="s">
        <v>556</v>
      </c>
      <c r="B131" s="112">
        <f>SQRT(D1_Vinmin_2*(Iout^2*(1-D1_Vinmin_2)+Iripple_Vinmin^2/12))</f>
        <v>3.8846802287364706</v>
      </c>
      <c r="C131" s="93" t="s">
        <v>1</v>
      </c>
      <c r="D131" s="112">
        <f>SQRT(D2_Vinmin_2*(Iout2^2*(1-D2_Vinmin_2)+Iripple2_Vinmin^2/12))</f>
        <v>2.850026191973861</v>
      </c>
      <c r="E131" s="93" t="s">
        <v>1</v>
      </c>
      <c r="F131" s="2" t="s">
        <v>837</v>
      </c>
      <c r="G131" s="360"/>
      <c r="H131" s="116"/>
      <c r="I131" s="99"/>
      <c r="K131" s="656" t="e">
        <f>SQRT(Iout^2*D1_Vinmin*(1-D1_Vinmin)+Iout2^2*D2_Vinmin*(1-D2_Vinmin)-2*Iout*Iout2*D1_Vinmin*D2_Vinmin)</f>
        <v>#NUM!</v>
      </c>
      <c r="L131" s="93" t="s">
        <v>1</v>
      </c>
      <c r="M131" s="305">
        <f>SQRT(Iout^2*D1_Vinmin*(1-D1_Vinmin)+Iout2^2*D2_Vinmin*(1-D2_Vinmin)-2*Iout*Iout2*(0.5-D2_Vinmin*(1-D1_Vinmin)))</f>
        <v>8.4794355028080126</v>
      </c>
      <c r="N131" t="s">
        <v>1</v>
      </c>
    </row>
    <row r="132" spans="1:16" x14ac:dyDescent="0.2">
      <c r="A132" s="212" t="s">
        <v>557</v>
      </c>
      <c r="B132" s="112">
        <f>SQRT(D1_Vinnom_2*(Iout^2*(1-D1_Vinnom_2)+Iripple_Vinnom^2/12))</f>
        <v>3.7544314353233128</v>
      </c>
      <c r="C132" s="93" t="s">
        <v>1</v>
      </c>
      <c r="D132" s="112">
        <f>SQRT(D2_Vinnom_2*(Iout2^2*(1-D2_Vinnom_2)+Iripple2_Vinnom^2/12))</f>
        <v>3.725714799120849</v>
      </c>
      <c r="E132" s="93" t="s">
        <v>1</v>
      </c>
      <c r="G132" s="360"/>
      <c r="I132" s="99"/>
      <c r="K132" s="305">
        <f>SQRT(Iout^2*D1_Vinnom*(1-D1_Vinnom)+Iout2^2*D2_Vinnom*(1-D2_Vinnom)-2*Iout*Iout2*D1_Vinnom*D2_Vinnom)</f>
        <v>0</v>
      </c>
      <c r="L132" s="93" t="s">
        <v>1</v>
      </c>
    </row>
    <row r="133" spans="1:16" x14ac:dyDescent="0.2">
      <c r="A133" s="212" t="s">
        <v>835</v>
      </c>
      <c r="B133" s="112">
        <f>SQRT(D1_Vinmax_2*(Iout^2*(1-D1_Vinmax_2)+Iripple_Vinmax^2/12))</f>
        <v>3.6354678775372462</v>
      </c>
      <c r="C133" s="93" t="s">
        <v>1</v>
      </c>
      <c r="D133" s="112">
        <f>SQRT(D2_Vinmax_2*(Iout2^2*(1-D2_Vinmax_2)+Iripple2_Vinmax^2/12))</f>
        <v>4.2286082285909288</v>
      </c>
      <c r="E133" s="93" t="s">
        <v>1</v>
      </c>
      <c r="G133" s="360"/>
      <c r="I133" s="99"/>
      <c r="K133" s="305">
        <f>SQRT(Iout^2*D1_Vinmax*(1-D1_Vinmax)+Iout2^2*D2_Vinmax*(1-D2_Vinmax)-2*Iout*Iout2*D1_Vinmax*D2_Vinmax)</f>
        <v>2.6646935501059645</v>
      </c>
      <c r="L133" s="93" t="s">
        <v>1</v>
      </c>
    </row>
    <row r="134" spans="1:16" x14ac:dyDescent="0.2">
      <c r="A134" s="212" t="s">
        <v>562</v>
      </c>
      <c r="B134" s="655">
        <f>MAX(B131:B133, D131:D133)</f>
        <v>4.2286082285909288</v>
      </c>
      <c r="C134" s="42" t="s">
        <v>1</v>
      </c>
      <c r="I134" s="99"/>
      <c r="K134" s="657" t="e">
        <f>MAX(K131:K133)</f>
        <v>#NUM!</v>
      </c>
      <c r="L134" s="42" t="s">
        <v>1</v>
      </c>
    </row>
    <row r="135" spans="1:16" x14ac:dyDescent="0.2">
      <c r="A135" s="114"/>
      <c r="B135" s="658"/>
      <c r="C135" s="42"/>
      <c r="D135" s="2"/>
      <c r="F135">
        <f>Number_of_Phases*D1_Vinnom</f>
        <v>0.16666666666666666</v>
      </c>
      <c r="G135" t="s">
        <v>838</v>
      </c>
      <c r="I135" s="99"/>
      <c r="K135" s="657"/>
      <c r="L135" s="42"/>
      <c r="P135" s="4"/>
    </row>
    <row r="136" spans="1:16" x14ac:dyDescent="0.2">
      <c r="A136" s="114" t="s">
        <v>840</v>
      </c>
      <c r="B136" s="305">
        <f>Iout*SQRT((D1_Vinnom-F136/Number_of_Phases)*((F136+1)/Number_of_Phases-D1_Vinnom))</f>
        <v>3.7267799624996494</v>
      </c>
      <c r="C136" t="s">
        <v>1</v>
      </c>
      <c r="D136" s="2"/>
      <c r="F136">
        <f>FLOOR(Number_of_Phases*D1_Vinnom,1)</f>
        <v>0</v>
      </c>
      <c r="G136" t="s">
        <v>839</v>
      </c>
      <c r="I136" s="99"/>
      <c r="K136" s="657"/>
      <c r="L136" s="42"/>
      <c r="P136" s="4"/>
    </row>
    <row r="137" spans="1:16" x14ac:dyDescent="0.2">
      <c r="A137" s="114" t="s">
        <v>842</v>
      </c>
      <c r="B137">
        <f>Iout/2/Number_of_Phases</f>
        <v>5</v>
      </c>
      <c r="C137" s="114" t="s">
        <v>1</v>
      </c>
      <c r="I137" s="99"/>
      <c r="K137" s="657"/>
      <c r="L137" s="42"/>
      <c r="P137" s="4"/>
    </row>
    <row r="138" spans="1:16" x14ac:dyDescent="0.2">
      <c r="A138" s="114" t="s">
        <v>841</v>
      </c>
      <c r="B138" s="659">
        <f>CHOOSE(MODE, B134, B137)</f>
        <v>4.2286082285909288</v>
      </c>
      <c r="C138" s="42" t="s">
        <v>1</v>
      </c>
      <c r="D138" s="2" t="s">
        <v>585</v>
      </c>
      <c r="I138" s="99"/>
      <c r="K138" s="657"/>
      <c r="L138" s="42"/>
      <c r="P138" s="4"/>
    </row>
    <row r="139" spans="1:16" x14ac:dyDescent="0.2">
      <c r="A139" s="114"/>
      <c r="B139" s="658"/>
      <c r="C139" s="42"/>
      <c r="D139" s="2"/>
      <c r="I139" s="99"/>
      <c r="K139" s="657"/>
      <c r="L139" s="42"/>
      <c r="P139" s="4"/>
    </row>
    <row r="140" spans="1:16" x14ac:dyDescent="0.2">
      <c r="A140" s="98" t="s">
        <v>220</v>
      </c>
      <c r="B140" s="317">
        <f>'Design Regulator'!E42/1000</f>
        <v>1</v>
      </c>
      <c r="C140" t="s">
        <v>39</v>
      </c>
      <c r="F140" s="114" t="s">
        <v>563</v>
      </c>
      <c r="I140" s="99"/>
    </row>
    <row r="141" spans="1:16" x14ac:dyDescent="0.2">
      <c r="A141" s="114"/>
      <c r="B141" s="524"/>
      <c r="C141" s="93"/>
      <c r="G141" s="360"/>
      <c r="I141" s="99"/>
    </row>
    <row r="142" spans="1:16" x14ac:dyDescent="0.2">
      <c r="A142" s="476" t="s">
        <v>572</v>
      </c>
      <c r="B142" s="531">
        <f>Iout/Number_of_Phases*D1_Vinmax*(1-D1_Vinmax)/(Vinripple1*Fsw)</f>
        <v>2.1696252465483236E-6</v>
      </c>
      <c r="C142" s="93" t="s">
        <v>24</v>
      </c>
      <c r="F142" s="114" t="s">
        <v>580</v>
      </c>
      <c r="I142" s="99"/>
      <c r="K142" s="8"/>
    </row>
    <row r="143" spans="1:16" x14ac:dyDescent="0.2">
      <c r="A143" s="476" t="s">
        <v>576</v>
      </c>
      <c r="B143" s="532">
        <f>MAX(Iout/Number_of_Phases*0.5*(1-0.5)/(Vinripple1*Fsw), Iout2*0.5*(1-0.5)/(Vinripple1*Fsw))</f>
        <v>4.1666666666666669E-6</v>
      </c>
      <c r="C143" s="42" t="s">
        <v>24</v>
      </c>
      <c r="F143" s="114" t="s">
        <v>573</v>
      </c>
      <c r="G143" s="30"/>
      <c r="I143" s="99"/>
      <c r="K143" s="8"/>
    </row>
    <row r="144" spans="1:16" x14ac:dyDescent="0.2">
      <c r="A144" s="476" t="s">
        <v>219</v>
      </c>
      <c r="B144" s="30">
        <f>IF(VIN_max&lt;2*Vout, B142,B143)</f>
        <v>4.1666666666666669E-6</v>
      </c>
      <c r="C144" s="42" t="s">
        <v>24</v>
      </c>
      <c r="G144" s="30"/>
      <c r="I144" s="99"/>
      <c r="K144" s="8"/>
    </row>
    <row r="145" spans="1:11" x14ac:dyDescent="0.2">
      <c r="A145" s="476" t="s">
        <v>513</v>
      </c>
      <c r="B145" s="654">
        <f>IF(Cinmin*1000000&lt;10, 10,Cinmin*1000000)</f>
        <v>10</v>
      </c>
      <c r="C145" s="42" t="s">
        <v>23</v>
      </c>
      <c r="F145" s="114" t="s">
        <v>585</v>
      </c>
      <c r="I145" s="99"/>
    </row>
    <row r="146" spans="1:11" x14ac:dyDescent="0.2">
      <c r="A146" s="100" t="s">
        <v>57</v>
      </c>
      <c r="B146" s="424">
        <f>'Design Regulator'!E44/1000000</f>
        <v>5.0000000000000002E-5</v>
      </c>
      <c r="C146" s="93" t="s">
        <v>24</v>
      </c>
      <c r="F146" t="s">
        <v>147</v>
      </c>
      <c r="I146" s="99"/>
    </row>
    <row r="147" spans="1:11" x14ac:dyDescent="0.2">
      <c r="A147" s="476" t="s">
        <v>574</v>
      </c>
      <c r="B147" s="307">
        <f>-(Iout/Number_of_Phases*D1_Vinmax*(1-D1_Vinmax)/(Cin*Fsw)-Vinripple1)/(Iout/Number_of_Phases+Iripple_Vinmax/2)</f>
        <v>8.9264383516635598E-2</v>
      </c>
      <c r="C147" s="213" t="s">
        <v>116</v>
      </c>
      <c r="I147" s="99"/>
    </row>
    <row r="148" spans="1:11" x14ac:dyDescent="0.2">
      <c r="A148" s="476" t="s">
        <v>575</v>
      </c>
      <c r="B148" s="307">
        <f>-(Iout/Number_of_Phases*0.5*(1-0.5)/(Cin*Fsw)-Vinripple1)/(Iout/Number_of_Phases+Iripple_Vinmax/2)</f>
        <v>8.5537365441971935E-2</v>
      </c>
      <c r="C148" s="213" t="s">
        <v>116</v>
      </c>
      <c r="F148" s="114" t="s">
        <v>581</v>
      </c>
      <c r="I148" s="99"/>
    </row>
    <row r="149" spans="1:11" x14ac:dyDescent="0.2">
      <c r="A149" s="476" t="s">
        <v>221</v>
      </c>
      <c r="B149" s="307">
        <f>IF(VIN_max&lt;2*Vout, B147,B148)</f>
        <v>8.5537365441971935E-2</v>
      </c>
      <c r="C149" s="213" t="s">
        <v>116</v>
      </c>
      <c r="I149" s="99"/>
    </row>
    <row r="150" spans="1:11" x14ac:dyDescent="0.2">
      <c r="A150" s="476" t="s">
        <v>515</v>
      </c>
      <c r="B150" s="522">
        <f>IF(OR(CinEsrMax&gt;0.3, CinEsrMax&lt;0), "N/A",CinEsrMax*1000)</f>
        <v>85.537365441971929</v>
      </c>
      <c r="C150" s="45" t="s">
        <v>318</v>
      </c>
      <c r="F150" t="s">
        <v>585</v>
      </c>
      <c r="I150" s="99"/>
    </row>
    <row r="151" spans="1:11" x14ac:dyDescent="0.2">
      <c r="A151" s="100" t="s">
        <v>86</v>
      </c>
      <c r="B151" s="94">
        <f>'Design Regulator'!E46/1000</f>
        <v>1E-3</v>
      </c>
      <c r="C151" s="213" t="s">
        <v>116</v>
      </c>
      <c r="F151" s="114" t="s">
        <v>241</v>
      </c>
      <c r="I151" s="99"/>
    </row>
    <row r="152" spans="1:11" x14ac:dyDescent="0.2">
      <c r="F152" s="114"/>
      <c r="I152" s="99"/>
      <c r="K152" s="311"/>
    </row>
    <row r="153" spans="1:11" x14ac:dyDescent="0.2">
      <c r="A153" s="476" t="s">
        <v>577</v>
      </c>
      <c r="B153" s="393">
        <f>Iout/Number_of_Phases*D1_Vinmax_2*(1-D1_Vinmax_2)/(Cin*Fsw)+(Iout/Number_of_Phases +Iripple_Vinmax/2)*RCinEsr</f>
        <v>5.468279130757929E-2</v>
      </c>
      <c r="C153" s="93" t="s">
        <v>39</v>
      </c>
      <c r="I153" s="99"/>
    </row>
    <row r="154" spans="1:11" x14ac:dyDescent="0.2">
      <c r="A154" s="476" t="s">
        <v>578</v>
      </c>
      <c r="B154" s="393">
        <f>Iout/Number_of_Phases*0.5*(1-0.5)/(Cin*Fsw)+(Iout/Number_of_Phases +Iripple_Vinmax/2)*RCinEsr</f>
        <v>9.404989751473225E-2</v>
      </c>
      <c r="C154" s="93" t="s">
        <v>39</v>
      </c>
      <c r="F154" s="114" t="s">
        <v>579</v>
      </c>
      <c r="I154" s="99"/>
    </row>
    <row r="155" spans="1:11" x14ac:dyDescent="0.2">
      <c r="A155" s="476" t="s">
        <v>222</v>
      </c>
      <c r="B155" s="393">
        <f>IF(VIN_max&lt;2*Vout, B153,B154)</f>
        <v>9.404989751473225E-2</v>
      </c>
      <c r="C155" s="93" t="s">
        <v>39</v>
      </c>
      <c r="F155" s="114" t="s">
        <v>584</v>
      </c>
      <c r="I155" s="99"/>
    </row>
    <row r="156" spans="1:11" x14ac:dyDescent="0.2">
      <c r="A156" s="100"/>
      <c r="B156" s="533"/>
      <c r="C156" s="93"/>
      <c r="I156" s="99"/>
    </row>
    <row r="157" spans="1:11" ht="13.5" thickBot="1" x14ac:dyDescent="0.25">
      <c r="A157" s="101"/>
      <c r="B157" s="394">
        <f>Iout*D1_Vinmax_2*(1-D1_Vinmax_2)/(Cin*Fsw)</f>
        <v>4.3966227126180361E-2</v>
      </c>
      <c r="C157" s="318" t="s">
        <v>39</v>
      </c>
      <c r="D157" s="102"/>
      <c r="E157" s="103"/>
      <c r="F157" s="103"/>
      <c r="G157" s="103"/>
      <c r="H157" s="103"/>
      <c r="I157" s="104"/>
    </row>
    <row r="159" spans="1:11" ht="16.5" thickBot="1" x14ac:dyDescent="0.3">
      <c r="A159" s="525" t="s">
        <v>583</v>
      </c>
    </row>
    <row r="160" spans="1:11" x14ac:dyDescent="0.2">
      <c r="A160" s="90" t="s">
        <v>150</v>
      </c>
      <c r="B160" s="12">
        <f>'Design Regulator'!E51/1000</f>
        <v>3.0000000000000001E-3</v>
      </c>
      <c r="C160" s="63" t="s">
        <v>133</v>
      </c>
      <c r="D160" s="117" t="s">
        <v>435</v>
      </c>
      <c r="E160" s="63"/>
      <c r="F160" s="63"/>
      <c r="G160" s="63"/>
      <c r="H160" s="63"/>
      <c r="I160" s="64"/>
    </row>
    <row r="161" spans="1:9" x14ac:dyDescent="0.2">
      <c r="A161" s="56" t="s">
        <v>151</v>
      </c>
      <c r="B161" s="68">
        <f>Cout*Vout/Tss</f>
        <v>0.66666666666666663</v>
      </c>
      <c r="C161" t="s">
        <v>1</v>
      </c>
      <c r="D161" s="114" t="s">
        <v>434</v>
      </c>
      <c r="I161" s="57"/>
    </row>
    <row r="162" spans="1:9" x14ac:dyDescent="0.2">
      <c r="A162" s="56" t="s">
        <v>152</v>
      </c>
      <c r="B162" s="425">
        <f>0.00002*Tss/0.6</f>
        <v>1.0000000000000002E-7</v>
      </c>
      <c r="C162" t="s">
        <v>24</v>
      </c>
      <c r="I162" s="57"/>
    </row>
    <row r="163" spans="1:9" ht="13.5" thickBot="1" x14ac:dyDescent="0.25">
      <c r="A163" s="60" t="s">
        <v>164</v>
      </c>
      <c r="B163" s="426">
        <f>'Standard Value Calculator'!B4</f>
        <v>9.9999999999999995E-8</v>
      </c>
      <c r="C163" s="61" t="s">
        <v>24</v>
      </c>
      <c r="D163" s="61"/>
      <c r="E163" s="61"/>
      <c r="F163" s="61"/>
      <c r="G163" s="61"/>
      <c r="H163" s="61"/>
      <c r="I163" s="62"/>
    </row>
    <row r="165" spans="1:9" ht="16.5" thickBot="1" x14ac:dyDescent="0.3">
      <c r="A165" s="525" t="s">
        <v>680</v>
      </c>
    </row>
    <row r="166" spans="1:9" ht="12.75" customHeight="1" x14ac:dyDescent="0.2">
      <c r="A166" s="211" t="s">
        <v>681</v>
      </c>
      <c r="B166" s="591">
        <f>'Design Regulator'!E53/1000</f>
        <v>0.03</v>
      </c>
      <c r="C166" s="63" t="s">
        <v>133</v>
      </c>
      <c r="D166" s="117" t="s">
        <v>686</v>
      </c>
      <c r="E166" s="63"/>
      <c r="F166" s="63"/>
      <c r="G166" s="63"/>
      <c r="H166" s="63"/>
      <c r="I166" s="64"/>
    </row>
    <row r="167" spans="1:9" ht="12.75" customHeight="1" x14ac:dyDescent="0.2">
      <c r="A167" s="212" t="s">
        <v>682</v>
      </c>
      <c r="B167" s="425">
        <f>0.00002*Tres/1.2</f>
        <v>5.0000000000000008E-7</v>
      </c>
      <c r="C167" t="s">
        <v>24</v>
      </c>
      <c r="I167" s="57"/>
    </row>
    <row r="168" spans="1:9" ht="12.75" customHeight="1" x14ac:dyDescent="0.2">
      <c r="A168" s="212" t="s">
        <v>683</v>
      </c>
      <c r="B168" s="592">
        <f>'Standard Value Calculator'!G4</f>
        <v>4.7E-7</v>
      </c>
      <c r="C168" t="s">
        <v>24</v>
      </c>
      <c r="F168" s="45"/>
      <c r="G168" s="44"/>
      <c r="H168" s="44"/>
      <c r="I168" s="57"/>
    </row>
    <row r="169" spans="1:9" ht="12.75" customHeight="1" x14ac:dyDescent="0.2">
      <c r="B169" s="44"/>
      <c r="C169"/>
      <c r="I169" s="57"/>
    </row>
    <row r="170" spans="1:9" ht="12.75" customHeight="1" x14ac:dyDescent="0.3">
      <c r="A170" s="212" t="s">
        <v>685</v>
      </c>
      <c r="B170" s="44">
        <v>100</v>
      </c>
      <c r="C170" s="45" t="s">
        <v>242</v>
      </c>
      <c r="I170" s="57"/>
    </row>
    <row r="171" spans="1:9" ht="12.75" customHeight="1" x14ac:dyDescent="0.3">
      <c r="A171" s="212" t="s">
        <v>690</v>
      </c>
      <c r="B171" s="44"/>
      <c r="C171" s="213" t="s">
        <v>116</v>
      </c>
      <c r="E171" s="114" t="s">
        <v>691</v>
      </c>
      <c r="I171" s="57"/>
    </row>
    <row r="172" spans="1:9" ht="12.75" customHeight="1" x14ac:dyDescent="0.2">
      <c r="A172" s="557" t="s">
        <v>688</v>
      </c>
      <c r="B172" s="44"/>
      <c r="C172" s="213" t="s">
        <v>116</v>
      </c>
      <c r="D172" s="379"/>
      <c r="E172" s="114" t="s">
        <v>689</v>
      </c>
      <c r="I172" s="57"/>
    </row>
    <row r="173" spans="1:9" ht="12.75" customHeight="1" x14ac:dyDescent="0.2">
      <c r="A173" s="557" t="s">
        <v>687</v>
      </c>
      <c r="B173" s="44"/>
      <c r="C173" s="213" t="s">
        <v>116</v>
      </c>
      <c r="D173" s="379"/>
      <c r="E173" s="114" t="s">
        <v>624</v>
      </c>
      <c r="I173" s="57"/>
    </row>
    <row r="174" spans="1:9" ht="12.75" customHeight="1" x14ac:dyDescent="0.2">
      <c r="A174" s="212"/>
      <c r="B174" s="44"/>
      <c r="C174" s="213"/>
      <c r="I174" s="57"/>
    </row>
    <row r="175" spans="1:9" ht="12.75" customHeight="1" x14ac:dyDescent="0.2">
      <c r="A175" s="212" t="s">
        <v>548</v>
      </c>
      <c r="B175" s="392">
        <f>'Design Regulator'!E55*1000</f>
        <v>9000</v>
      </c>
      <c r="C175" s="114" t="s">
        <v>9</v>
      </c>
      <c r="I175" s="57"/>
    </row>
    <row r="176" spans="1:9" ht="12.75" customHeight="1" x14ac:dyDescent="0.2">
      <c r="A176" s="212" t="s">
        <v>324</v>
      </c>
      <c r="B176" s="391">
        <f>10*10^-6/Fdither/0.12</f>
        <v>9.2592592592592591E-9</v>
      </c>
      <c r="C176" s="114" t="s">
        <v>24</v>
      </c>
      <c r="I176" s="57"/>
    </row>
    <row r="177" spans="1:14" ht="12.75" customHeight="1" x14ac:dyDescent="0.2">
      <c r="A177" s="212" t="s">
        <v>325</v>
      </c>
      <c r="B177" s="391">
        <f>'Standard Value Calculator'!O22</f>
        <v>1E-8</v>
      </c>
      <c r="C177" s="114" t="s">
        <v>24</v>
      </c>
      <c r="I177" s="57"/>
    </row>
    <row r="178" spans="1:14" ht="12.75" customHeight="1" thickBot="1" x14ac:dyDescent="0.25">
      <c r="A178" s="60"/>
      <c r="B178" s="70"/>
      <c r="C178" s="295"/>
      <c r="D178" s="61"/>
      <c r="E178" s="61"/>
      <c r="F178" s="61"/>
      <c r="G178" s="61"/>
      <c r="H178" s="61"/>
      <c r="I178" s="62"/>
    </row>
    <row r="179" spans="1:14" x14ac:dyDescent="0.2">
      <c r="B179" s="44"/>
      <c r="C179" s="296"/>
    </row>
    <row r="180" spans="1:14" ht="16.5" thickBot="1" x14ac:dyDescent="0.3">
      <c r="A180" s="525" t="s">
        <v>582</v>
      </c>
    </row>
    <row r="181" spans="1:14" x14ac:dyDescent="0.2">
      <c r="A181" s="374" t="s">
        <v>38</v>
      </c>
      <c r="B181" s="375">
        <v>3.1415926500000002</v>
      </c>
      <c r="C181" s="376"/>
      <c r="D181" s="377" t="s">
        <v>377</v>
      </c>
      <c r="E181" s="63"/>
      <c r="F181" s="63"/>
      <c r="G181" s="63"/>
      <c r="H181" s="63"/>
      <c r="I181" s="64"/>
    </row>
    <row r="182" spans="1:14" x14ac:dyDescent="0.2">
      <c r="A182" s="114" t="s">
        <v>387</v>
      </c>
      <c r="B182" s="114">
        <v>12</v>
      </c>
      <c r="C182" s="46"/>
      <c r="D182" s="213"/>
      <c r="I182" s="57"/>
    </row>
    <row r="183" spans="1:14" x14ac:dyDescent="0.2">
      <c r="A183" s="114" t="s">
        <v>366</v>
      </c>
      <c r="B183">
        <f>Rs*CSAmp_gain</f>
        <v>0.06</v>
      </c>
      <c r="C183" s="213" t="s">
        <v>116</v>
      </c>
      <c r="D183">
        <f>Rs_Ch2*CSAmp_gain</f>
        <v>0.06</v>
      </c>
      <c r="E183" s="213" t="s">
        <v>116</v>
      </c>
      <c r="F183" s="114" t="s">
        <v>382</v>
      </c>
      <c r="I183" s="57"/>
    </row>
    <row r="184" spans="1:14" x14ac:dyDescent="0.2">
      <c r="A184" s="114" t="s">
        <v>347</v>
      </c>
      <c r="B184" s="373">
        <v>1.1999999999999999E-3</v>
      </c>
      <c r="C184" s="114" t="s">
        <v>66</v>
      </c>
      <c r="F184" s="114" t="s">
        <v>367</v>
      </c>
      <c r="I184" s="57"/>
    </row>
    <row r="185" spans="1:14" x14ac:dyDescent="0.2">
      <c r="A185" s="114"/>
      <c r="B185" s="114"/>
      <c r="C185" s="114"/>
      <c r="F185" s="114"/>
      <c r="I185" s="57"/>
    </row>
    <row r="186" spans="1:14" x14ac:dyDescent="0.2">
      <c r="A186" s="114" t="s">
        <v>451</v>
      </c>
      <c r="B186" s="558">
        <f>B190/Ri*1000</f>
        <v>2909090.9090909092</v>
      </c>
      <c r="C186" s="493" t="s">
        <v>368</v>
      </c>
      <c r="D186" s="558">
        <f>B190/Ri_Ch2*1000</f>
        <v>2909090.9090909092</v>
      </c>
      <c r="E186" s="493" t="s">
        <v>368</v>
      </c>
      <c r="F186" s="493" t="s">
        <v>388</v>
      </c>
      <c r="H186" s="4"/>
      <c r="I186" s="57"/>
    </row>
    <row r="187" spans="1:14" x14ac:dyDescent="0.2">
      <c r="A187" s="114" t="s">
        <v>369</v>
      </c>
      <c r="B187" s="558">
        <f>(Vin-Vout)/Lf</f>
        <v>5000000</v>
      </c>
      <c r="C187" s="493" t="s">
        <v>368</v>
      </c>
      <c r="D187" s="558">
        <f>(Vin-Vout2)/Lo_2</f>
        <v>999999.99999999988</v>
      </c>
      <c r="E187" s="493" t="s">
        <v>368</v>
      </c>
      <c r="F187" s="493" t="s">
        <v>370</v>
      </c>
      <c r="H187" s="4"/>
      <c r="I187" s="57"/>
    </row>
    <row r="188" spans="1:14" x14ac:dyDescent="0.2">
      <c r="A188" s="114" t="s">
        <v>386</v>
      </c>
      <c r="B188" s="558">
        <f>Vout/Lf</f>
        <v>999999.99999999988</v>
      </c>
      <c r="C188" s="493" t="s">
        <v>368</v>
      </c>
      <c r="D188" s="558">
        <f>Vout2/Lo_2</f>
        <v>5000000</v>
      </c>
      <c r="E188" s="493" t="s">
        <v>368</v>
      </c>
      <c r="F188" s="493" t="s">
        <v>385</v>
      </c>
      <c r="H188" s="4"/>
      <c r="I188" s="57"/>
    </row>
    <row r="189" spans="1:14" x14ac:dyDescent="0.2">
      <c r="A189" s="114"/>
      <c r="B189" s="378"/>
      <c r="C189" s="362"/>
      <c r="F189" s="362"/>
      <c r="I189" s="57"/>
      <c r="K189" s="114" t="s">
        <v>827</v>
      </c>
      <c r="L189" s="114" t="s">
        <v>846</v>
      </c>
      <c r="M189" s="114" t="s">
        <v>847</v>
      </c>
    </row>
    <row r="190" spans="1:14" x14ac:dyDescent="0.2">
      <c r="A190" s="114" t="s">
        <v>389</v>
      </c>
      <c r="B190" s="386">
        <f>(Fsw/1000)/220*64</f>
        <v>174.54545454545453</v>
      </c>
      <c r="C190" s="387" t="s">
        <v>425</v>
      </c>
      <c r="D190" s="386"/>
      <c r="E190" s="387"/>
      <c r="F190" s="387" t="s">
        <v>397</v>
      </c>
      <c r="I190" s="57"/>
      <c r="K190" s="114">
        <f>Ts</f>
        <v>1.6666666666666667E-6</v>
      </c>
      <c r="L190" s="360">
        <f>Ts*1000000</f>
        <v>1.6666666666666667</v>
      </c>
      <c r="M190">
        <f>B190*L190</f>
        <v>290.90909090909088</v>
      </c>
      <c r="N190" s="114" t="s">
        <v>292</v>
      </c>
    </row>
    <row r="191" spans="1:14" x14ac:dyDescent="0.2">
      <c r="A191" s="114" t="s">
        <v>395</v>
      </c>
      <c r="B191" s="386">
        <f>Sn*Ri/1000</f>
        <v>300</v>
      </c>
      <c r="C191" s="387" t="s">
        <v>425</v>
      </c>
      <c r="D191" s="386">
        <f>Sn_Ch2*Ri_Ch2/1000</f>
        <v>59.999999999999993</v>
      </c>
      <c r="E191" s="387" t="s">
        <v>425</v>
      </c>
      <c r="F191" s="387" t="s">
        <v>398</v>
      </c>
      <c r="I191" s="57"/>
    </row>
    <row r="192" spans="1:14" x14ac:dyDescent="0.2">
      <c r="A192" s="114" t="s">
        <v>396</v>
      </c>
      <c r="B192" s="386">
        <f>Sf*Ri/1000</f>
        <v>59.999999999999993</v>
      </c>
      <c r="C192" s="387" t="s">
        <v>425</v>
      </c>
      <c r="D192" s="386">
        <f>Sf_Ch2*Ri_Ch2/1000</f>
        <v>300</v>
      </c>
      <c r="E192" s="387" t="s">
        <v>425</v>
      </c>
      <c r="F192" s="387" t="s">
        <v>398</v>
      </c>
      <c r="I192" s="57"/>
    </row>
    <row r="193" spans="1:9" x14ac:dyDescent="0.2">
      <c r="A193" s="114"/>
      <c r="B193" s="386"/>
      <c r="C193" s="387"/>
      <c r="D193" s="387"/>
      <c r="I193" s="57"/>
    </row>
    <row r="194" spans="1:9" x14ac:dyDescent="0.2">
      <c r="A194" s="114" t="s">
        <v>423</v>
      </c>
      <c r="B194" s="360">
        <f>1+Se_ext/Sn</f>
        <v>1.5818181818181818</v>
      </c>
      <c r="C194"/>
      <c r="D194" s="360">
        <f>1+Se_ext_Ch2/Sn_Ch2</f>
        <v>3.9090909090909096</v>
      </c>
      <c r="F194" s="114" t="s">
        <v>700</v>
      </c>
      <c r="I194" s="57"/>
    </row>
    <row r="195" spans="1:9" x14ac:dyDescent="0.2">
      <c r="A195" s="114" t="s">
        <v>424</v>
      </c>
      <c r="B195" s="380">
        <f>mc_buck*(1-D1_Vinnom_2)</f>
        <v>1.3139232457800318</v>
      </c>
      <c r="C195" s="362"/>
      <c r="D195" s="380">
        <f>mc_buck_Ch2*(1-D2_Vinnom_2)</f>
        <v>0.64316100219514005</v>
      </c>
      <c r="F195" s="362" t="s">
        <v>701</v>
      </c>
      <c r="I195" s="57"/>
    </row>
    <row r="196" spans="1:9" x14ac:dyDescent="0.2">
      <c r="A196" s="2"/>
      <c r="B196" s="395"/>
      <c r="C196" s="362"/>
      <c r="D196" s="362"/>
      <c r="I196" s="57"/>
    </row>
    <row r="197" spans="1:9" x14ac:dyDescent="0.2">
      <c r="A197" s="2" t="s">
        <v>371</v>
      </c>
      <c r="B197" s="380">
        <f>1+Se_ext/Sn</f>
        <v>1.5818181818181818</v>
      </c>
      <c r="C197" s="362"/>
      <c r="D197" s="380">
        <f>1+Se_ext_Ch2/Sn_Ch2</f>
        <v>3.9090909090909096</v>
      </c>
      <c r="I197" s="57"/>
    </row>
    <row r="198" spans="1:9" x14ac:dyDescent="0.2">
      <c r="A198" s="2" t="s">
        <v>346</v>
      </c>
      <c r="B198" s="421">
        <f>mc_buck*(1-D1_Vinnom_2)</f>
        <v>1.3139232457800318</v>
      </c>
      <c r="C198" s="362"/>
      <c r="D198" s="421">
        <f>mc_buck_Ch2*(1-D2_Vinnom_2)</f>
        <v>0.64316100219514005</v>
      </c>
      <c r="I198" s="57"/>
    </row>
    <row r="199" spans="1:9" x14ac:dyDescent="0.2">
      <c r="A199" s="114" t="s">
        <v>27</v>
      </c>
      <c r="B199" s="360">
        <f>1/Pi/(k-0.5)</f>
        <v>0.39108096272942439</v>
      </c>
      <c r="C199"/>
      <c r="D199" s="360">
        <f>1/Pi/(k_Ch2-0.5)</f>
        <v>2.2234399149681181</v>
      </c>
      <c r="F199" s="114" t="s">
        <v>380</v>
      </c>
      <c r="H199" s="114" t="s">
        <v>391</v>
      </c>
      <c r="I199" s="57"/>
    </row>
    <row r="200" spans="1:9" x14ac:dyDescent="0.2">
      <c r="A200" s="114"/>
      <c r="B200" s="360"/>
      <c r="C200"/>
      <c r="D200" s="114"/>
      <c r="F200" s="114"/>
      <c r="I200" s="57"/>
    </row>
    <row r="201" spans="1:9" x14ac:dyDescent="0.2">
      <c r="A201" s="362" t="s">
        <v>426</v>
      </c>
      <c r="B201" s="360"/>
      <c r="C201"/>
      <c r="D201" s="114"/>
      <c r="I201" s="57"/>
    </row>
    <row r="202" spans="1:9" x14ac:dyDescent="0.2">
      <c r="A202" s="114" t="s">
        <v>372</v>
      </c>
      <c r="B202" s="373">
        <v>30</v>
      </c>
      <c r="C202" s="114" t="s">
        <v>181</v>
      </c>
      <c r="F202" s="114" t="s">
        <v>456</v>
      </c>
      <c r="I202" s="57"/>
    </row>
    <row r="203" spans="1:9" x14ac:dyDescent="0.2">
      <c r="A203" s="114" t="s">
        <v>373</v>
      </c>
      <c r="B203" s="663">
        <f>gm/(2*Pi*GBW*1000000)</f>
        <v>6.3661977309502546E-12</v>
      </c>
      <c r="C203" s="114" t="s">
        <v>24</v>
      </c>
      <c r="F203" s="114" t="s">
        <v>455</v>
      </c>
      <c r="I203" s="57"/>
    </row>
    <row r="204" spans="1:9" x14ac:dyDescent="0.2">
      <c r="A204" s="114" t="s">
        <v>374</v>
      </c>
      <c r="B204" s="596">
        <v>64000000</v>
      </c>
      <c r="C204" s="213" t="s">
        <v>116</v>
      </c>
      <c r="F204" s="114" t="s">
        <v>454</v>
      </c>
      <c r="I204" s="57"/>
    </row>
    <row r="205" spans="1:9" x14ac:dyDescent="0.2">
      <c r="A205" s="2" t="s">
        <v>375</v>
      </c>
      <c r="B205" s="309">
        <f>gm*RoEA</f>
        <v>76800</v>
      </c>
      <c r="C205" s="114" t="s">
        <v>28</v>
      </c>
      <c r="F205" s="114" t="s">
        <v>453</v>
      </c>
      <c r="I205" s="57"/>
    </row>
    <row r="206" spans="1:9" x14ac:dyDescent="0.2">
      <c r="A206" s="2" t="s">
        <v>376</v>
      </c>
      <c r="B206" s="4">
        <f>Vref/Vout</f>
        <v>0.06</v>
      </c>
      <c r="C206" s="114" t="s">
        <v>28</v>
      </c>
      <c r="D206" s="4">
        <f>Vref/Vout2</f>
        <v>1.2E-2</v>
      </c>
      <c r="E206" s="114" t="s">
        <v>28</v>
      </c>
      <c r="F206" s="114" t="s">
        <v>452</v>
      </c>
      <c r="I206" s="57"/>
    </row>
    <row r="207" spans="1:9" x14ac:dyDescent="0.2">
      <c r="A207" s="2" t="s">
        <v>331</v>
      </c>
      <c r="B207" s="395">
        <f>1/Ri</f>
        <v>16.666666666666668</v>
      </c>
      <c r="C207" s="114"/>
      <c r="D207" s="395">
        <f>1/Ri_Ch2</f>
        <v>16.666666666666668</v>
      </c>
      <c r="E207" s="114"/>
      <c r="F207" s="114" t="s">
        <v>381</v>
      </c>
      <c r="I207" s="57"/>
    </row>
    <row r="208" spans="1:9" x14ac:dyDescent="0.2">
      <c r="A208" s="2" t="s">
        <v>417</v>
      </c>
      <c r="B208" s="4">
        <f>(Ro/Number_of_Phases)/Ri/((1+Ro/Number_of_Phases*(k-0.5)/(Fsw*Lf)))</f>
        <v>14.675833054317357</v>
      </c>
      <c r="C208" s="4"/>
      <c r="D208" s="4">
        <f>Ro_Ch2/Ri_Ch2/((1+Ro_Ch2*(k_Ch2-0.5)/(Fsw*Lo_2)))</f>
        <v>74.451238411902295</v>
      </c>
      <c r="I208" s="57"/>
    </row>
    <row r="209" spans="1:9" x14ac:dyDescent="0.2">
      <c r="A209" s="2" t="s">
        <v>336</v>
      </c>
      <c r="B209" s="4">
        <f>(Ro*Number_of_Phases)/Ri/((1+Ro*Number_of_Phases*(k-0.5)/(Fsw*Lf)))</f>
        <v>14.675833054317357</v>
      </c>
      <c r="C209" s="4"/>
      <c r="D209" s="4">
        <f>Ro_Ch2/Ri_Ch2/((1+Ro_Ch2*(k_Ch2-0.5)/(Fsw*Lo_2)))</f>
        <v>74.451238411902295</v>
      </c>
      <c r="F209" s="362" t="s">
        <v>798</v>
      </c>
      <c r="I209" s="57"/>
    </row>
    <row r="210" spans="1:9" x14ac:dyDescent="0.2">
      <c r="A210" s="2"/>
      <c r="B210" s="4"/>
      <c r="C210"/>
      <c r="D210" s="362"/>
      <c r="I210" s="57"/>
    </row>
    <row r="211" spans="1:9" x14ac:dyDescent="0.2">
      <c r="A211" s="114" t="s">
        <v>799</v>
      </c>
      <c r="B211" s="4">
        <f>2*Pi*Ri/gm</f>
        <v>314.15926500000006</v>
      </c>
      <c r="C211"/>
      <c r="F211" s="114" t="s">
        <v>457</v>
      </c>
      <c r="I211" s="57"/>
    </row>
    <row r="212" spans="1:9" x14ac:dyDescent="0.2">
      <c r="A212" s="362" t="s">
        <v>418</v>
      </c>
      <c r="B212" s="4"/>
      <c r="C212"/>
      <c r="F212" s="114"/>
      <c r="I212" s="57"/>
    </row>
    <row r="213" spans="1:9" x14ac:dyDescent="0.2">
      <c r="A213" s="362"/>
      <c r="B213" s="4"/>
      <c r="C213"/>
      <c r="F213" s="114"/>
      <c r="I213" s="57"/>
    </row>
    <row r="214" spans="1:9" x14ac:dyDescent="0.2">
      <c r="A214" s="212" t="s">
        <v>42</v>
      </c>
      <c r="B214" s="395">
        <f>Rout</f>
        <v>1</v>
      </c>
      <c r="C214" s="213" t="s">
        <v>116</v>
      </c>
      <c r="D214" s="360">
        <f>Rout2</f>
        <v>5</v>
      </c>
      <c r="E214" s="213" t="s">
        <v>116</v>
      </c>
      <c r="F214" s="114" t="s">
        <v>271</v>
      </c>
      <c r="I214" s="57"/>
    </row>
    <row r="215" spans="1:9" x14ac:dyDescent="0.2">
      <c r="A215" s="114"/>
      <c r="B215" s="114"/>
      <c r="C215" s="213"/>
      <c r="D215" s="114"/>
      <c r="I215" s="57"/>
    </row>
    <row r="216" spans="1:9" x14ac:dyDescent="0.2">
      <c r="A216" s="114" t="s">
        <v>412</v>
      </c>
      <c r="B216" s="385">
        <f>1/(2*Pi*Ro*Cout)+(k-0.5)/(2*Pi*Fsw*Lf*Cout/Number_of_Phases)</f>
        <v>903.72463971154241</v>
      </c>
      <c r="C216" t="s">
        <v>9</v>
      </c>
      <c r="D216" s="385">
        <f>1/(2*Pi*Ro_Ch2*Cout2)+(k_Ch2-0.5)/(2*Pi*Fsw*Lo_2*Cout2)</f>
        <v>178.14226092657441</v>
      </c>
      <c r="E216" t="s">
        <v>9</v>
      </c>
      <c r="F216" s="114" t="s">
        <v>411</v>
      </c>
      <c r="I216" s="57"/>
    </row>
    <row r="217" spans="1:9" x14ac:dyDescent="0.2">
      <c r="A217" s="114" t="s">
        <v>444</v>
      </c>
      <c r="B217" s="371">
        <f>Fload_u</f>
        <v>903.72463971154241</v>
      </c>
      <c r="C217" s="114" t="s">
        <v>9</v>
      </c>
      <c r="D217" s="371">
        <f>Fload_u_Ch2</f>
        <v>178.14226092657441</v>
      </c>
      <c r="E217" s="114" t="s">
        <v>9</v>
      </c>
      <c r="F217" s="378"/>
      <c r="I217" s="57"/>
    </row>
    <row r="218" spans="1:9" x14ac:dyDescent="0.2">
      <c r="A218" s="114"/>
      <c r="B218" s="370">
        <f>Cbw</f>
        <v>6.3661977309502546E-12</v>
      </c>
      <c r="C218"/>
      <c r="D218" s="114"/>
      <c r="E218" s="46"/>
      <c r="I218" s="57"/>
    </row>
    <row r="219" spans="1:9" x14ac:dyDescent="0.2">
      <c r="A219" s="114" t="s">
        <v>383</v>
      </c>
      <c r="B219" s="581">
        <f>1/(2*Pi*(RoEA+Rcea1_u)*Cc1ea_u)</f>
        <v>6.3757683713494134E-2</v>
      </c>
      <c r="C219" t="s">
        <v>9</v>
      </c>
      <c r="D219" s="435">
        <f>1/(2*Pi*(RoEA+Rcea2_u)*Cc3ea_u)</f>
        <v>0.30311813891311201</v>
      </c>
      <c r="E219" t="s">
        <v>9</v>
      </c>
      <c r="F219" s="114" t="s">
        <v>410</v>
      </c>
      <c r="I219" s="57"/>
    </row>
    <row r="220" spans="1:9" x14ac:dyDescent="0.2">
      <c r="A220" s="114" t="s">
        <v>384</v>
      </c>
      <c r="B220" s="385">
        <f>1/(2*Pi*Rcea1_u*(Cc2ea_u+Cbw))</f>
        <v>284082.64698583551</v>
      </c>
      <c r="C220" t="s">
        <v>9</v>
      </c>
      <c r="D220" s="385">
        <f>1/(2*Pi*Rcea2_u*(Cc4ea_u+Cbw))</f>
        <v>307740.92556956218</v>
      </c>
      <c r="E220" t="s">
        <v>9</v>
      </c>
      <c r="F220" s="114" t="s">
        <v>392</v>
      </c>
      <c r="I220" s="57"/>
    </row>
    <row r="221" spans="1:9" x14ac:dyDescent="0.2">
      <c r="A221" s="212" t="s">
        <v>26</v>
      </c>
      <c r="B221" s="385">
        <f>1/(2*Pi*Cout*Cout_ESR)</f>
        <v>397887.35818439093</v>
      </c>
      <c r="C221" t="s">
        <v>9</v>
      </c>
      <c r="D221" s="385">
        <f>1/(2*Pi*Cout2*Cout2_ESR)</f>
        <v>397887.35818439093</v>
      </c>
      <c r="E221" t="s">
        <v>9</v>
      </c>
      <c r="F221" s="114" t="s">
        <v>409</v>
      </c>
      <c r="I221" s="57"/>
    </row>
    <row r="222" spans="1:9" x14ac:dyDescent="0.2">
      <c r="A222" s="114" t="s">
        <v>416</v>
      </c>
      <c r="B222" s="385">
        <f>Fsw/2</f>
        <v>300000</v>
      </c>
      <c r="C222" t="s">
        <v>9</v>
      </c>
      <c r="D222" s="371"/>
      <c r="F222" s="114" t="s">
        <v>776</v>
      </c>
      <c r="I222" s="57"/>
    </row>
    <row r="223" spans="1:9" x14ac:dyDescent="0.2">
      <c r="A223" s="114"/>
      <c r="B223" s="371"/>
      <c r="C223"/>
      <c r="D223" s="114"/>
      <c r="E223" s="46"/>
      <c r="I223" s="57"/>
    </row>
    <row r="224" spans="1:9" x14ac:dyDescent="0.2">
      <c r="A224" s="212" t="s">
        <v>408</v>
      </c>
      <c r="B224" s="317">
        <f>'Design Regulator'!E63*1000</f>
        <v>6000</v>
      </c>
      <c r="C224" s="370" t="s">
        <v>9</v>
      </c>
      <c r="D224" s="317">
        <f>'Design Regulator'!J63*1000</f>
        <v>6000</v>
      </c>
      <c r="E224" s="370" t="s">
        <v>9</v>
      </c>
      <c r="I224" s="57"/>
    </row>
    <row r="225" spans="1:12" x14ac:dyDescent="0.2">
      <c r="A225" s="66" t="s">
        <v>33</v>
      </c>
      <c r="B225" s="371">
        <f>Fcross*Cout/Number_of_Phases*2*Pi*Ri/(gm*Afb)</f>
        <v>6283.185300000001</v>
      </c>
      <c r="C225" s="213" t="s">
        <v>116</v>
      </c>
      <c r="D225" s="371">
        <f>Fcross_Ch2*Cout2*2*Pi*Ri_Ch2/(gm*Afb_Ch2)</f>
        <v>31415.926500000001</v>
      </c>
      <c r="E225" s="213" t="s">
        <v>116</v>
      </c>
      <c r="F225" s="114" t="s">
        <v>378</v>
      </c>
      <c r="I225" s="57"/>
      <c r="K225" s="309"/>
      <c r="L225" s="213"/>
    </row>
    <row r="226" spans="1:12" x14ac:dyDescent="0.2">
      <c r="A226" s="66" t="s">
        <v>729</v>
      </c>
      <c r="B226" s="370">
        <f>10/(Rcea1*Fcross*2*Pi)</f>
        <v>4.2217159947454349E-8</v>
      </c>
      <c r="C226" t="s">
        <v>24</v>
      </c>
      <c r="D226" s="370">
        <f>10/(Rcea2*Fcross_Ch2*2*Pi)</f>
        <v>8.4434319894908708E-9</v>
      </c>
      <c r="E226" t="s">
        <v>24</v>
      </c>
      <c r="F226" s="114" t="s">
        <v>703</v>
      </c>
      <c r="I226" s="57"/>
    </row>
    <row r="227" spans="1:12" x14ac:dyDescent="0.2">
      <c r="A227" s="66" t="s">
        <v>730</v>
      </c>
      <c r="B227" s="370">
        <f>MAX(1/(Rcea1*2*Pi*Fesr)-Cbw, 1/(Rcea1*2*Pi*(Fsw/2))-Cbw)</f>
        <v>7.8068122163958439E-11</v>
      </c>
      <c r="C227" t="s">
        <v>24</v>
      </c>
      <c r="D227" s="370">
        <f>MAX(1/(Rcea2*2*Pi*Fesr_Ch2)-Cbw, 1/(Rcea2*2*Pi*(Fsw/2))-Cbw)</f>
        <v>1.0520666248031486E-11</v>
      </c>
      <c r="E227" t="s">
        <v>24</v>
      </c>
      <c r="F227" s="114" t="s">
        <v>379</v>
      </c>
      <c r="I227" s="57"/>
    </row>
    <row r="228" spans="1:12" x14ac:dyDescent="0.2">
      <c r="A228" s="65"/>
      <c r="B228" s="1"/>
      <c r="C228" s="213"/>
      <c r="I228" s="57"/>
    </row>
    <row r="229" spans="1:12" x14ac:dyDescent="0.2">
      <c r="A229" s="66" t="s">
        <v>327</v>
      </c>
      <c r="I229" s="57"/>
    </row>
    <row r="230" spans="1:12" x14ac:dyDescent="0.2">
      <c r="A230" s="56" t="s">
        <v>34</v>
      </c>
      <c r="B230" s="69">
        <f>'Design Regulator'!D70*1000</f>
        <v>6340</v>
      </c>
      <c r="C230" s="213" t="s">
        <v>116</v>
      </c>
      <c r="D230" s="69">
        <f>'Design Regulator'!D73*1000</f>
        <v>31600</v>
      </c>
      <c r="E230" s="213" t="s">
        <v>116</v>
      </c>
      <c r="F230">
        <f>1/(Rcea1*2*Pi*(Fsw/2))-Cbw</f>
        <v>7.8068122163958439E-11</v>
      </c>
      <c r="I230" s="57"/>
    </row>
    <row r="231" spans="1:12" x14ac:dyDescent="0.2">
      <c r="A231" s="56" t="s">
        <v>35</v>
      </c>
      <c r="B231" s="69">
        <f>'Design Regulator'!D71*0.000000001</f>
        <v>3.9000000000000005E-8</v>
      </c>
      <c r="C231" t="s">
        <v>24</v>
      </c>
      <c r="D231" s="69">
        <f>'Design Regulator'!D74*0.000000001</f>
        <v>8.2000000000000023E-9</v>
      </c>
      <c r="E231" t="s">
        <v>24</v>
      </c>
      <c r="I231" s="57"/>
    </row>
    <row r="232" spans="1:12" x14ac:dyDescent="0.2">
      <c r="A232" s="56" t="s">
        <v>36</v>
      </c>
      <c r="B232" s="69">
        <f>'Design Regulator'!D72*0.000000000001</f>
        <v>8.2000000000000001E-11</v>
      </c>
      <c r="C232" t="s">
        <v>24</v>
      </c>
      <c r="D232" s="69">
        <f>'Design Regulator'!D75*0.000000000001</f>
        <v>9.9999999999999994E-12</v>
      </c>
      <c r="E232" t="s">
        <v>24</v>
      </c>
      <c r="I232" s="57"/>
    </row>
    <row r="233" spans="1:12" x14ac:dyDescent="0.2">
      <c r="A233" s="56"/>
      <c r="B233" s="48"/>
      <c r="C233"/>
      <c r="I233" s="57"/>
    </row>
    <row r="234" spans="1:12" x14ac:dyDescent="0.2">
      <c r="A234" s="66" t="s">
        <v>394</v>
      </c>
      <c r="C234"/>
      <c r="F234">
        <f>Cout</f>
        <v>2.0000000000000001E-4</v>
      </c>
      <c r="G234">
        <f>Cout_ESR</f>
        <v>2E-3</v>
      </c>
      <c r="I234" s="57"/>
    </row>
    <row r="235" spans="1:12" x14ac:dyDescent="0.2">
      <c r="A235" s="66" t="s">
        <v>37</v>
      </c>
      <c r="B235" s="372">
        <f>1/(2*Pi*Rcea1_u*Cc1ea_u)</f>
        <v>643.67444501236082</v>
      </c>
      <c r="C235" t="s">
        <v>9</v>
      </c>
      <c r="D235" s="372">
        <f>1/(2*Pi*Rcea2_u*Cc3ea_u)</f>
        <v>614.2132728996462</v>
      </c>
      <c r="E235" t="s">
        <v>9</v>
      </c>
      <c r="F235" s="114" t="s">
        <v>449</v>
      </c>
      <c r="I235" s="57"/>
    </row>
    <row r="236" spans="1:12" x14ac:dyDescent="0.2">
      <c r="A236" s="66" t="s">
        <v>811</v>
      </c>
      <c r="B236" s="372">
        <f>1/(2*Pi*Rcea1_u*(Cc1ea_u*(Cc2ea_u+Cbw)/(Cc1ea_u+Cc2ea_u+Cbw)))</f>
        <v>284726.32143084792</v>
      </c>
      <c r="C236" t="s">
        <v>9</v>
      </c>
      <c r="D236" s="372">
        <f>1/(2*Pi*Rcea2_u*(Cc3ea_u*(Cc4ea_u+Cbw)/(Cc3ea_u+Cc4ea_u+Cbw)))</f>
        <v>308355.13884246186</v>
      </c>
      <c r="E236" t="s">
        <v>9</v>
      </c>
      <c r="F236" t="s">
        <v>132</v>
      </c>
      <c r="I236" s="57"/>
    </row>
    <row r="237" spans="1:12" x14ac:dyDescent="0.2">
      <c r="C237"/>
      <c r="I237" s="57"/>
    </row>
    <row r="238" spans="1:12" x14ac:dyDescent="0.2">
      <c r="A238" s="56" t="s">
        <v>29</v>
      </c>
      <c r="B238" s="317">
        <f>'Design Regulator'!E65*1000</f>
        <v>100000</v>
      </c>
      <c r="C238" s="213" t="s">
        <v>116</v>
      </c>
      <c r="D238" s="317">
        <f>'Design Regulator'!J65*1000</f>
        <v>100000</v>
      </c>
      <c r="E238" s="213" t="s">
        <v>116</v>
      </c>
      <c r="F238" s="114" t="s">
        <v>402</v>
      </c>
      <c r="I238" s="57"/>
    </row>
    <row r="239" spans="1:12" x14ac:dyDescent="0.2">
      <c r="A239" s="66" t="s">
        <v>40</v>
      </c>
      <c r="B239" s="361">
        <f>IF(Vout=Vref,100000000,Vref*B238/((Vout-Vref)))</f>
        <v>6382.9787234042551</v>
      </c>
      <c r="C239" s="213" t="s">
        <v>116</v>
      </c>
      <c r="D239" s="361">
        <f>IF(Vout2=Vref,100000000,Vref*D238/((Vout2-Vref)))</f>
        <v>1214.5748987854251</v>
      </c>
      <c r="E239" s="213" t="s">
        <v>116</v>
      </c>
      <c r="F239" s="114" t="s">
        <v>401</v>
      </c>
      <c r="I239" s="57"/>
    </row>
    <row r="240" spans="1:12" x14ac:dyDescent="0.2">
      <c r="A240" s="56" t="s">
        <v>136</v>
      </c>
      <c r="B240" s="68">
        <f>IF(Vout=Vref,"N/A",'Standard Value Calculator'!O11)</f>
        <v>6340</v>
      </c>
      <c r="C240" s="213" t="s">
        <v>116</v>
      </c>
      <c r="D240" s="68">
        <f>IF(Vout2=Vref,"N/A",'Standard Value Calculator'!O13)</f>
        <v>1210</v>
      </c>
      <c r="E240" s="213" t="s">
        <v>116</v>
      </c>
      <c r="F240" s="114" t="s">
        <v>400</v>
      </c>
      <c r="I240" s="57"/>
    </row>
    <row r="241" spans="1:9" ht="13.5" thickBot="1" x14ac:dyDescent="0.25">
      <c r="A241" s="384"/>
      <c r="B241" s="384"/>
      <c r="C241" s="71"/>
      <c r="D241" s="61"/>
      <c r="E241" s="71"/>
      <c r="F241" s="61"/>
      <c r="G241" s="61"/>
      <c r="H241" s="61"/>
      <c r="I241" s="62"/>
    </row>
    <row r="242" spans="1:9" x14ac:dyDescent="0.2">
      <c r="A242" s="1"/>
      <c r="B242" s="46"/>
      <c r="C242" s="46"/>
      <c r="E242" s="46"/>
    </row>
    <row r="243" spans="1:9" x14ac:dyDescent="0.2">
      <c r="A243" s="66" t="s">
        <v>172</v>
      </c>
      <c r="B243" s="1"/>
      <c r="C243"/>
    </row>
    <row r="244" spans="1:9" x14ac:dyDescent="0.2">
      <c r="A244" s="66" t="s">
        <v>173</v>
      </c>
      <c r="B244" s="2">
        <v>0</v>
      </c>
      <c r="C244" s="213" t="s">
        <v>116</v>
      </c>
      <c r="D244" s="114" t="s">
        <v>270</v>
      </c>
    </row>
    <row r="245" spans="1:9" x14ac:dyDescent="0.2">
      <c r="A245" s="66" t="s">
        <v>176</v>
      </c>
      <c r="B245" s="382" t="e">
        <f>0.00000002*Fsw*0.6*4/Iripple1</f>
        <v>#NAME?</v>
      </c>
      <c r="C245" s="46"/>
      <c r="E245" s="46"/>
    </row>
    <row r="246" spans="1:9" x14ac:dyDescent="0.2">
      <c r="A246" s="66" t="s">
        <v>175</v>
      </c>
      <c r="B246" s="382" t="e">
        <f>_Don2*RdsonTop+Doff2*RdsonBot</f>
        <v>#NAME?</v>
      </c>
      <c r="C246" s="46"/>
      <c r="E246" s="46"/>
    </row>
    <row r="247" spans="1:9" x14ac:dyDescent="0.2">
      <c r="A247" s="66" t="s">
        <v>174</v>
      </c>
      <c r="B247" s="382" t="e">
        <f>B248*Vin^2*Fsw/2/(((Iripple1/SQRT(3))^2))</f>
        <v>#NAME?</v>
      </c>
      <c r="C247" s="46"/>
      <c r="E247" s="46"/>
    </row>
    <row r="248" spans="1:9" x14ac:dyDescent="0.2">
      <c r="A248" s="66" t="s">
        <v>177</v>
      </c>
      <c r="B248" s="383">
        <v>5.0000000000000001E-9</v>
      </c>
      <c r="C248" s="46"/>
      <c r="E248" s="46"/>
    </row>
    <row r="249" spans="1:9" x14ac:dyDescent="0.2">
      <c r="A249" s="1"/>
      <c r="B249" s="46"/>
      <c r="C249" s="46"/>
      <c r="E249" s="46"/>
    </row>
    <row r="250" spans="1:9" ht="16.5" thickBot="1" x14ac:dyDescent="0.3">
      <c r="A250" s="92" t="s">
        <v>193</v>
      </c>
    </row>
    <row r="251" spans="1:9" x14ac:dyDescent="0.2">
      <c r="A251" s="211" t="s">
        <v>615</v>
      </c>
      <c r="B251" s="63">
        <v>0</v>
      </c>
      <c r="C251" s="297"/>
      <c r="D251" s="63"/>
      <c r="E251" s="63"/>
      <c r="F251" s="63"/>
      <c r="G251" s="63"/>
      <c r="H251" s="63"/>
      <c r="I251" s="64"/>
    </row>
    <row r="252" spans="1:9" x14ac:dyDescent="0.2">
      <c r="A252" s="66" t="s">
        <v>55</v>
      </c>
      <c r="I252" s="57"/>
    </row>
    <row r="253" spans="1:9" x14ac:dyDescent="0.2">
      <c r="A253" s="56" t="s">
        <v>83</v>
      </c>
      <c r="B253" s="29" t="str">
        <f>'Design Regulator'!E14</f>
        <v xml:space="preserve"> </v>
      </c>
      <c r="C253" s="114" t="s">
        <v>226</v>
      </c>
      <c r="D253" t="s">
        <v>96</v>
      </c>
      <c r="I253" s="57"/>
    </row>
    <row r="254" spans="1:9" x14ac:dyDescent="0.2">
      <c r="A254" s="66" t="s">
        <v>58</v>
      </c>
      <c r="C254"/>
      <c r="I254" s="57"/>
    </row>
    <row r="255" spans="1:9" x14ac:dyDescent="0.2">
      <c r="A255" s="56" t="s">
        <v>82</v>
      </c>
      <c r="B255" s="59">
        <f>4000/1000000</f>
        <v>4.0000000000000001E-3</v>
      </c>
      <c r="C255" s="114" t="s">
        <v>279</v>
      </c>
      <c r="D255" s="114" t="s">
        <v>481</v>
      </c>
      <c r="I255" s="57"/>
    </row>
    <row r="256" spans="1:9" ht="15.75" x14ac:dyDescent="0.3">
      <c r="A256" s="212" t="s">
        <v>478</v>
      </c>
      <c r="B256" s="59">
        <v>20</v>
      </c>
      <c r="C256" s="114" t="s">
        <v>205</v>
      </c>
      <c r="D256" s="114" t="s">
        <v>479</v>
      </c>
      <c r="I256" s="57"/>
    </row>
    <row r="257" spans="1:9" x14ac:dyDescent="0.2">
      <c r="A257" s="56" t="s">
        <v>86</v>
      </c>
      <c r="B257" s="29">
        <f>RCinEsr</f>
        <v>1E-3</v>
      </c>
      <c r="C257" s="213" t="s">
        <v>116</v>
      </c>
      <c r="D257" s="114" t="s">
        <v>480</v>
      </c>
      <c r="I257" s="57"/>
    </row>
    <row r="258" spans="1:9" x14ac:dyDescent="0.2">
      <c r="A258" s="56"/>
      <c r="B258" s="29"/>
      <c r="C258" s="213"/>
      <c r="D258" s="114"/>
      <c r="I258" s="57"/>
    </row>
    <row r="259" spans="1:9" x14ac:dyDescent="0.2">
      <c r="A259" s="65" t="s">
        <v>742</v>
      </c>
      <c r="C259"/>
      <c r="I259" s="57"/>
    </row>
    <row r="260" spans="1:9" x14ac:dyDescent="0.2">
      <c r="A260" s="212" t="s">
        <v>699</v>
      </c>
      <c r="B260" s="59">
        <v>5</v>
      </c>
      <c r="C260" t="s">
        <v>0</v>
      </c>
      <c r="D260" s="362" t="s">
        <v>740</v>
      </c>
      <c r="I260" s="57"/>
    </row>
    <row r="261" spans="1:9" x14ac:dyDescent="0.2">
      <c r="A261" s="66" t="s">
        <v>112</v>
      </c>
      <c r="C261"/>
      <c r="I261" s="57"/>
    </row>
    <row r="262" spans="1:9" x14ac:dyDescent="0.2">
      <c r="A262" s="56" t="s">
        <v>61</v>
      </c>
      <c r="B262" s="59">
        <v>1</v>
      </c>
      <c r="C262" s="213" t="s">
        <v>116</v>
      </c>
      <c r="D262" s="114" t="s">
        <v>403</v>
      </c>
      <c r="I262" s="57"/>
    </row>
    <row r="263" spans="1:9" x14ac:dyDescent="0.2">
      <c r="A263" s="56" t="s">
        <v>126</v>
      </c>
      <c r="B263" s="59">
        <v>0.5</v>
      </c>
      <c r="C263" s="213" t="s">
        <v>116</v>
      </c>
      <c r="D263" s="114" t="s">
        <v>404</v>
      </c>
      <c r="I263" s="57"/>
    </row>
    <row r="264" spans="1:9" x14ac:dyDescent="0.2">
      <c r="A264" s="66" t="s">
        <v>113</v>
      </c>
      <c r="C264"/>
      <c r="I264" s="57"/>
    </row>
    <row r="265" spans="1:9" x14ac:dyDescent="0.2">
      <c r="A265" s="56" t="s">
        <v>60</v>
      </c>
      <c r="B265" s="106">
        <v>1</v>
      </c>
      <c r="C265" s="213" t="s">
        <v>116</v>
      </c>
      <c r="D265" s="114" t="s">
        <v>405</v>
      </c>
      <c r="I265" s="57"/>
    </row>
    <row r="266" spans="1:9" x14ac:dyDescent="0.2">
      <c r="A266" s="56" t="s">
        <v>125</v>
      </c>
      <c r="B266" s="59">
        <v>0.5</v>
      </c>
      <c r="C266" s="213" t="s">
        <v>116</v>
      </c>
      <c r="D266" s="114" t="s">
        <v>406</v>
      </c>
      <c r="I266" s="57"/>
    </row>
    <row r="267" spans="1:9" x14ac:dyDescent="0.2">
      <c r="A267" s="66" t="s">
        <v>62</v>
      </c>
      <c r="C267"/>
      <c r="I267" s="57"/>
    </row>
    <row r="268" spans="1:9" x14ac:dyDescent="0.2">
      <c r="A268" s="56" t="s">
        <v>62</v>
      </c>
      <c r="B268" s="67">
        <v>1.4E-8</v>
      </c>
      <c r="C268" t="s">
        <v>133</v>
      </c>
      <c r="D268" t="s">
        <v>98</v>
      </c>
      <c r="G268" s="362" t="s">
        <v>845</v>
      </c>
      <c r="I268" s="57"/>
    </row>
    <row r="269" spans="1:9" x14ac:dyDescent="0.2">
      <c r="A269" s="66" t="s">
        <v>52</v>
      </c>
      <c r="C269"/>
      <c r="I269" s="57"/>
    </row>
    <row r="270" spans="1:9" x14ac:dyDescent="0.2">
      <c r="A270" s="56" t="s">
        <v>128</v>
      </c>
      <c r="B270" s="59">
        <v>3.4999999999999997E-5</v>
      </c>
      <c r="C270" t="s">
        <v>1</v>
      </c>
      <c r="D270" s="114" t="s">
        <v>741</v>
      </c>
      <c r="I270" s="57"/>
    </row>
    <row r="271" spans="1:9" x14ac:dyDescent="0.2">
      <c r="A271" s="56"/>
      <c r="C271"/>
      <c r="I271" s="57"/>
    </row>
    <row r="272" spans="1:9" x14ac:dyDescent="0.2">
      <c r="A272" s="66" t="s">
        <v>738</v>
      </c>
      <c r="B272" s="2" t="s">
        <v>531</v>
      </c>
      <c r="C272"/>
      <c r="D272" s="2" t="s">
        <v>532</v>
      </c>
      <c r="I272" s="57"/>
    </row>
    <row r="273" spans="1:9" x14ac:dyDescent="0.2">
      <c r="A273" s="212" t="s">
        <v>533</v>
      </c>
      <c r="B273" s="29">
        <f>'Design Regulator'!E83/1000</f>
        <v>6.0000000000000001E-3</v>
      </c>
      <c r="C273" s="213" t="s">
        <v>116</v>
      </c>
      <c r="D273" s="29">
        <f>'Design Regulator'!F83/1000</f>
        <v>2.5000000000000001E-3</v>
      </c>
      <c r="E273" s="213" t="s">
        <v>116</v>
      </c>
      <c r="F273" s="114" t="s">
        <v>744</v>
      </c>
      <c r="I273" s="57"/>
    </row>
    <row r="274" spans="1:9" x14ac:dyDescent="0.2">
      <c r="A274" s="56" t="s">
        <v>79</v>
      </c>
      <c r="B274" s="59">
        <f>4000/1000000</f>
        <v>4.0000000000000001E-3</v>
      </c>
      <c r="C274" s="114" t="s">
        <v>279</v>
      </c>
      <c r="E274" s="114"/>
      <c r="F274" s="114" t="s">
        <v>407</v>
      </c>
      <c r="I274" s="57"/>
    </row>
    <row r="275" spans="1:9" x14ac:dyDescent="0.2">
      <c r="A275" s="212" t="s">
        <v>122</v>
      </c>
      <c r="B275" s="72">
        <f>'Design Regulator'!E84/1000000000</f>
        <v>8.0000000000000005E-9</v>
      </c>
      <c r="C275" t="s">
        <v>134</v>
      </c>
      <c r="D275" s="72">
        <f>'Design Regulator'!F84/1000000000</f>
        <v>2.4999999999999999E-8</v>
      </c>
      <c r="E275" t="s">
        <v>134</v>
      </c>
      <c r="F275" s="114" t="s">
        <v>743</v>
      </c>
      <c r="I275" s="57"/>
    </row>
    <row r="276" spans="1:9" x14ac:dyDescent="0.2">
      <c r="A276" s="212" t="s">
        <v>534</v>
      </c>
      <c r="B276" s="72">
        <f>'Design Regulator'!E85/1000000000</f>
        <v>1.3999999999999999E-9</v>
      </c>
      <c r="C276" t="s">
        <v>134</v>
      </c>
      <c r="D276" s="72">
        <f>'Design Regulator'!F85/1000000000</f>
        <v>4.4999999999999998E-9</v>
      </c>
      <c r="E276" t="s">
        <v>134</v>
      </c>
      <c r="F276" t="s">
        <v>121</v>
      </c>
      <c r="I276" s="57"/>
    </row>
    <row r="277" spans="1:9" x14ac:dyDescent="0.2">
      <c r="A277" s="212" t="s">
        <v>535</v>
      </c>
      <c r="B277" s="72">
        <f>'Design Regulator'!E86/1000000000</f>
        <v>3.8000000000000001E-9</v>
      </c>
      <c r="C277" t="s">
        <v>134</v>
      </c>
      <c r="D277" s="72">
        <f>'Design Regulator'!F86/1000000000</f>
        <v>1.2E-8</v>
      </c>
      <c r="E277" t="s">
        <v>134</v>
      </c>
      <c r="F277" t="s">
        <v>826</v>
      </c>
      <c r="I277" s="57"/>
    </row>
    <row r="278" spans="1:9" x14ac:dyDescent="0.2">
      <c r="A278" s="643" t="s">
        <v>822</v>
      </c>
      <c r="B278" s="72">
        <f>'Design Regulator'!E87/1000000000</f>
        <v>0</v>
      </c>
      <c r="C278" t="s">
        <v>134</v>
      </c>
      <c r="D278" s="72">
        <f>'Design Regulator'!F87/1000000000</f>
        <v>2.9999999999999997E-8</v>
      </c>
      <c r="E278" t="s">
        <v>134</v>
      </c>
      <c r="F278" s="114" t="s">
        <v>824</v>
      </c>
      <c r="I278" s="57"/>
    </row>
    <row r="279" spans="1:9" x14ac:dyDescent="0.2">
      <c r="A279" s="643" t="s">
        <v>823</v>
      </c>
      <c r="B279" s="72">
        <f>'Design Regulator'!E88/1000000000000</f>
        <v>2.1299999999999999E-10</v>
      </c>
      <c r="C279" t="s">
        <v>24</v>
      </c>
      <c r="D279" s="72">
        <f>'Design Regulator'!F88/1000000000000</f>
        <v>1.6999999999999999E-9</v>
      </c>
      <c r="E279" t="s">
        <v>24</v>
      </c>
      <c r="F279" s="114" t="s">
        <v>825</v>
      </c>
      <c r="I279" s="57"/>
    </row>
    <row r="280" spans="1:9" x14ac:dyDescent="0.2">
      <c r="A280" s="212" t="s">
        <v>536</v>
      </c>
      <c r="B280" s="29">
        <f>'Design Regulator'!E89</f>
        <v>0.5</v>
      </c>
      <c r="C280" s="213" t="s">
        <v>116</v>
      </c>
      <c r="D280" s="29">
        <f>'Design Regulator'!F89</f>
        <v>0.5</v>
      </c>
      <c r="E280" s="213" t="s">
        <v>116</v>
      </c>
      <c r="F280" t="s">
        <v>100</v>
      </c>
      <c r="I280" s="57"/>
    </row>
    <row r="281" spans="1:9" x14ac:dyDescent="0.2">
      <c r="A281" s="212" t="s">
        <v>537</v>
      </c>
      <c r="B281" s="29">
        <f>'Design Regulator'!E90</f>
        <v>64</v>
      </c>
      <c r="C281" t="s">
        <v>66</v>
      </c>
      <c r="D281" s="29">
        <f>'Design Regulator'!F90</f>
        <v>280</v>
      </c>
      <c r="E281" t="s">
        <v>66</v>
      </c>
      <c r="F281" s="114" t="s">
        <v>747</v>
      </c>
      <c r="I281" s="57"/>
    </row>
    <row r="282" spans="1:9" x14ac:dyDescent="0.2">
      <c r="A282" s="212" t="s">
        <v>538</v>
      </c>
      <c r="B282" s="29">
        <f>'Design Regulator'!E91</f>
        <v>2.9</v>
      </c>
      <c r="C282" t="s">
        <v>0</v>
      </c>
      <c r="D282" s="29">
        <f>'Design Regulator'!F91</f>
        <v>3</v>
      </c>
      <c r="E282" t="s">
        <v>0</v>
      </c>
      <c r="F282" s="114" t="s">
        <v>748</v>
      </c>
      <c r="I282" s="57"/>
    </row>
    <row r="283" spans="1:9" x14ac:dyDescent="0.2">
      <c r="A283" s="212" t="s">
        <v>539</v>
      </c>
      <c r="B283" s="389">
        <f>Vth_Q1+(Iout/Number_of_Phases)/Gfs_Q1</f>
        <v>3.0562499999999999</v>
      </c>
      <c r="C283" t="s">
        <v>0</v>
      </c>
      <c r="D283" s="389">
        <f>Vth_Q2+(Iout/Number_of_Phases)/Gfs_Q2</f>
        <v>3.0357142857142856</v>
      </c>
      <c r="E283" t="s">
        <v>0</v>
      </c>
      <c r="F283" s="114" t="s">
        <v>749</v>
      </c>
      <c r="I283" s="57"/>
    </row>
    <row r="284" spans="1:9" x14ac:dyDescent="0.2">
      <c r="A284" s="56"/>
      <c r="C284"/>
      <c r="F284" s="114"/>
      <c r="I284" s="57"/>
    </row>
    <row r="285" spans="1:9" x14ac:dyDescent="0.2">
      <c r="A285" s="212" t="s">
        <v>541</v>
      </c>
      <c r="B285" s="29">
        <f>'Design Regulator'!E92</f>
        <v>0.7</v>
      </c>
      <c r="C285" t="s">
        <v>0</v>
      </c>
      <c r="D285" s="29">
        <f>'Design Regulator'!F92</f>
        <v>0.7</v>
      </c>
      <c r="E285" t="s">
        <v>0</v>
      </c>
      <c r="F285" s="114" t="s">
        <v>540</v>
      </c>
      <c r="I285" s="57"/>
    </row>
    <row r="286" spans="1:9" x14ac:dyDescent="0.2">
      <c r="A286" s="212" t="s">
        <v>498</v>
      </c>
      <c r="B286" s="72"/>
      <c r="C286" t="s">
        <v>134</v>
      </c>
      <c r="D286" s="72">
        <f>'Design Regulator'!F93/1000000000</f>
        <v>5.9999999999999995E-8</v>
      </c>
      <c r="E286" t="s">
        <v>134</v>
      </c>
      <c r="F286" t="s">
        <v>110</v>
      </c>
      <c r="I286" s="57"/>
    </row>
    <row r="287" spans="1:9" x14ac:dyDescent="0.2">
      <c r="A287" s="212" t="s">
        <v>499</v>
      </c>
      <c r="B287" s="72">
        <v>4.0000000000000001E-8</v>
      </c>
      <c r="C287" t="s">
        <v>133</v>
      </c>
      <c r="D287" s="72">
        <v>4.0000000000000001E-8</v>
      </c>
      <c r="E287" t="s">
        <v>133</v>
      </c>
      <c r="F287" t="s">
        <v>106</v>
      </c>
      <c r="I287" s="57"/>
    </row>
    <row r="288" spans="1:9" x14ac:dyDescent="0.2">
      <c r="A288" s="212" t="s">
        <v>600</v>
      </c>
      <c r="B288" s="29">
        <f>'Design Regulator'!E94</f>
        <v>50</v>
      </c>
      <c r="C288" s="114" t="s">
        <v>205</v>
      </c>
      <c r="D288" s="29">
        <f>'Design Regulator'!F94</f>
        <v>38</v>
      </c>
      <c r="E288" s="114" t="s">
        <v>205</v>
      </c>
      <c r="F288" s="114" t="s">
        <v>746</v>
      </c>
      <c r="I288" s="57"/>
    </row>
    <row r="289" spans="1:9" x14ac:dyDescent="0.2">
      <c r="A289" s="212"/>
      <c r="B289" s="29"/>
      <c r="C289" s="114"/>
      <c r="D289" s="29"/>
      <c r="E289" s="114"/>
      <c r="I289" s="57"/>
    </row>
    <row r="290" spans="1:9" x14ac:dyDescent="0.2">
      <c r="A290" s="212"/>
      <c r="B290" s="114"/>
      <c r="C290" s="114"/>
      <c r="D290" s="114"/>
      <c r="E290" s="114"/>
      <c r="I290" s="57"/>
    </row>
    <row r="291" spans="1:9" x14ac:dyDescent="0.2">
      <c r="A291" s="66" t="s">
        <v>739</v>
      </c>
      <c r="B291" s="2" t="s">
        <v>529</v>
      </c>
      <c r="C291"/>
      <c r="D291" s="2" t="s">
        <v>530</v>
      </c>
      <c r="I291" s="57"/>
    </row>
    <row r="292" spans="1:9" x14ac:dyDescent="0.2">
      <c r="A292" s="212" t="s">
        <v>533</v>
      </c>
      <c r="B292" s="29">
        <f>'Design Regulator'!H83/1000</f>
        <v>6.0000000000000001E-3</v>
      </c>
      <c r="C292" s="213" t="s">
        <v>116</v>
      </c>
      <c r="D292" s="29">
        <f>'Design Regulator'!I83/1000</f>
        <v>2.5000000000000001E-3</v>
      </c>
      <c r="E292" s="213" t="s">
        <v>116</v>
      </c>
      <c r="F292" s="114" t="s">
        <v>745</v>
      </c>
      <c r="I292" s="57"/>
    </row>
    <row r="293" spans="1:9" x14ac:dyDescent="0.2">
      <c r="A293" s="56" t="s">
        <v>80</v>
      </c>
      <c r="B293" s="408">
        <f>4000/1000000</f>
        <v>4.0000000000000001E-3</v>
      </c>
      <c r="C293" s="114" t="s">
        <v>279</v>
      </c>
      <c r="E293" s="114"/>
      <c r="F293" s="114" t="s">
        <v>407</v>
      </c>
      <c r="I293" s="57"/>
    </row>
    <row r="294" spans="1:9" x14ac:dyDescent="0.2">
      <c r="A294" s="212" t="s">
        <v>122</v>
      </c>
      <c r="B294" s="72">
        <f>'Design Regulator'!H84/1000000000</f>
        <v>8.0000000000000005E-9</v>
      </c>
      <c r="C294" t="s">
        <v>134</v>
      </c>
      <c r="D294" s="72">
        <f>'Design Regulator'!I84/1000000000</f>
        <v>2.4999999999999999E-8</v>
      </c>
      <c r="E294" t="s">
        <v>134</v>
      </c>
      <c r="F294" s="114" t="s">
        <v>743</v>
      </c>
      <c r="I294" s="57"/>
    </row>
    <row r="295" spans="1:9" x14ac:dyDescent="0.2">
      <c r="A295" s="212" t="s">
        <v>534</v>
      </c>
      <c r="B295" s="72">
        <f>'Design Regulator'!H85/1000000000</f>
        <v>1.3999999999999999E-9</v>
      </c>
      <c r="C295" t="s">
        <v>134</v>
      </c>
      <c r="D295" s="72">
        <f>'Design Regulator'!I85/1000000000</f>
        <v>4.4999999999999998E-9</v>
      </c>
      <c r="E295" t="s">
        <v>134</v>
      </c>
      <c r="F295" t="s">
        <v>121</v>
      </c>
      <c r="I295" s="57"/>
    </row>
    <row r="296" spans="1:9" x14ac:dyDescent="0.2">
      <c r="A296" s="212" t="s">
        <v>535</v>
      </c>
      <c r="B296" s="72">
        <f>'Design Regulator'!H86/1000000000</f>
        <v>3.8000000000000001E-9</v>
      </c>
      <c r="C296" t="s">
        <v>134</v>
      </c>
      <c r="D296" s="72">
        <f>'Design Regulator'!I86/1000000000</f>
        <v>1.2E-8</v>
      </c>
      <c r="E296" t="s">
        <v>134</v>
      </c>
      <c r="F296" t="s">
        <v>826</v>
      </c>
      <c r="I296" s="57"/>
    </row>
    <row r="297" spans="1:9" x14ac:dyDescent="0.2">
      <c r="A297" s="643" t="s">
        <v>822</v>
      </c>
      <c r="B297" s="72">
        <f>'Design Regulator'!H87/1000000000</f>
        <v>0</v>
      </c>
      <c r="C297" t="s">
        <v>134</v>
      </c>
      <c r="D297" s="72">
        <f>'Design Regulator'!I87/1000000000</f>
        <v>2.9999999999999997E-8</v>
      </c>
      <c r="E297" t="s">
        <v>134</v>
      </c>
      <c r="F297" s="114" t="s">
        <v>824</v>
      </c>
      <c r="I297" s="57"/>
    </row>
    <row r="298" spans="1:9" x14ac:dyDescent="0.2">
      <c r="A298" s="643" t="s">
        <v>823</v>
      </c>
      <c r="B298" s="72">
        <f>'Design Regulator'!H88/1000000000000</f>
        <v>2.1299999999999999E-10</v>
      </c>
      <c r="C298" t="s">
        <v>24</v>
      </c>
      <c r="D298" s="72">
        <f>'Design Regulator'!I88/1000000000000</f>
        <v>1.6999999999999999E-9</v>
      </c>
      <c r="E298" t="s">
        <v>24</v>
      </c>
      <c r="F298" s="114" t="s">
        <v>825</v>
      </c>
      <c r="I298" s="57"/>
    </row>
    <row r="299" spans="1:9" x14ac:dyDescent="0.2">
      <c r="A299" s="212" t="s">
        <v>536</v>
      </c>
      <c r="B299" s="29">
        <f>'Design Regulator'!H89</f>
        <v>0.5</v>
      </c>
      <c r="C299" s="213" t="s">
        <v>116</v>
      </c>
      <c r="D299" s="29">
        <f>'Design Regulator'!I89</f>
        <v>0.5</v>
      </c>
      <c r="E299" s="213" t="s">
        <v>116</v>
      </c>
      <c r="F299" t="s">
        <v>100</v>
      </c>
      <c r="I299" s="57"/>
    </row>
    <row r="300" spans="1:9" x14ac:dyDescent="0.2">
      <c r="A300" s="212" t="s">
        <v>537</v>
      </c>
      <c r="B300" s="29">
        <f>'Design Regulator'!H90</f>
        <v>64</v>
      </c>
      <c r="C300" t="s">
        <v>66</v>
      </c>
      <c r="D300" s="29">
        <f>'Design Regulator'!I90</f>
        <v>280</v>
      </c>
      <c r="E300" t="s">
        <v>66</v>
      </c>
      <c r="F300" s="114" t="s">
        <v>747</v>
      </c>
      <c r="I300" s="57"/>
    </row>
    <row r="301" spans="1:9" x14ac:dyDescent="0.2">
      <c r="A301" s="212" t="s">
        <v>538</v>
      </c>
      <c r="B301" s="29">
        <f>'Design Regulator'!H91</f>
        <v>2.9</v>
      </c>
      <c r="C301" t="s">
        <v>0</v>
      </c>
      <c r="D301" s="29">
        <f>'Design Regulator'!I91</f>
        <v>3</v>
      </c>
      <c r="E301" t="s">
        <v>0</v>
      </c>
      <c r="F301" s="114" t="s">
        <v>748</v>
      </c>
      <c r="I301" s="57"/>
    </row>
    <row r="302" spans="1:9" x14ac:dyDescent="0.2">
      <c r="A302" s="212" t="s">
        <v>539</v>
      </c>
      <c r="B302" s="389">
        <f>Vth_Q3+Iout2/Gfs_Q3</f>
        <v>3.0562499999999999</v>
      </c>
      <c r="C302" t="s">
        <v>0</v>
      </c>
      <c r="D302" s="389">
        <f>Vth_Q4+Iout2/Gfs_Q4</f>
        <v>3.0357142857142856</v>
      </c>
      <c r="E302" t="s">
        <v>0</v>
      </c>
      <c r="F302" s="114" t="s">
        <v>749</v>
      </c>
      <c r="I302" s="57"/>
    </row>
    <row r="303" spans="1:9" x14ac:dyDescent="0.2">
      <c r="E303" s="2"/>
      <c r="I303" s="57"/>
    </row>
    <row r="304" spans="1:9" x14ac:dyDescent="0.2">
      <c r="A304" s="212" t="s">
        <v>72</v>
      </c>
      <c r="B304" s="29">
        <f>'Design Regulator'!H92</f>
        <v>0.7</v>
      </c>
      <c r="C304" t="s">
        <v>0</v>
      </c>
      <c r="D304" s="29">
        <f>'Design Regulator'!I92</f>
        <v>0.7</v>
      </c>
      <c r="E304" t="s">
        <v>0</v>
      </c>
      <c r="F304" s="114" t="s">
        <v>540</v>
      </c>
      <c r="I304" s="57"/>
    </row>
    <row r="305" spans="1:9" x14ac:dyDescent="0.2">
      <c r="A305" s="56" t="s">
        <v>73</v>
      </c>
      <c r="B305" s="72"/>
      <c r="C305" t="s">
        <v>134</v>
      </c>
      <c r="D305" s="72">
        <f>'Design Regulator'!I93/1000000000</f>
        <v>5.9999999999999995E-8</v>
      </c>
      <c r="E305" t="s">
        <v>134</v>
      </c>
      <c r="F305" t="s">
        <v>110</v>
      </c>
      <c r="I305" s="57"/>
    </row>
    <row r="306" spans="1:9" x14ac:dyDescent="0.2">
      <c r="A306" s="56" t="s">
        <v>74</v>
      </c>
      <c r="B306" s="72">
        <v>4.0000000000000001E-8</v>
      </c>
      <c r="C306" t="s">
        <v>133</v>
      </c>
      <c r="D306" s="72">
        <v>4.0000000000000001E-8</v>
      </c>
      <c r="E306" t="s">
        <v>133</v>
      </c>
      <c r="F306" t="s">
        <v>106</v>
      </c>
      <c r="I306" s="57"/>
    </row>
    <row r="307" spans="1:9" x14ac:dyDescent="0.2">
      <c r="A307" s="212" t="s">
        <v>601</v>
      </c>
      <c r="B307" s="29">
        <f>'Design Regulator'!H94</f>
        <v>50</v>
      </c>
      <c r="C307" s="114" t="s">
        <v>205</v>
      </c>
      <c r="D307" s="29">
        <f>'Design Regulator'!I94</f>
        <v>38</v>
      </c>
      <c r="E307" s="114" t="s">
        <v>205</v>
      </c>
      <c r="F307" s="114" t="s">
        <v>746</v>
      </c>
      <c r="I307" s="57"/>
    </row>
    <row r="308" spans="1:9" x14ac:dyDescent="0.2">
      <c r="A308" s="212"/>
      <c r="B308" s="29"/>
      <c r="C308" s="114"/>
      <c r="D308" s="29"/>
      <c r="E308" s="114"/>
      <c r="I308" s="57"/>
    </row>
    <row r="309" spans="1:9" x14ac:dyDescent="0.2">
      <c r="A309" s="66" t="s">
        <v>522</v>
      </c>
      <c r="B309" s="486"/>
      <c r="D309" s="486"/>
      <c r="I309" s="57"/>
    </row>
    <row r="310" spans="1:9" x14ac:dyDescent="0.2">
      <c r="A310" s="56" t="s">
        <v>195</v>
      </c>
      <c r="B310" s="29">
        <f>'Design Regulator'!E97</f>
        <v>0</v>
      </c>
      <c r="C310" t="s">
        <v>0</v>
      </c>
      <c r="D310" s="29">
        <f>'Design Regulator'!F97</f>
        <v>0</v>
      </c>
      <c r="E310" t="s">
        <v>0</v>
      </c>
      <c r="F310" t="s">
        <v>198</v>
      </c>
      <c r="I310" s="57"/>
    </row>
    <row r="311" spans="1:9" x14ac:dyDescent="0.2">
      <c r="A311" s="56" t="s">
        <v>196</v>
      </c>
      <c r="B311" s="72">
        <f>'Design Regulator'!E98/1000000000</f>
        <v>0</v>
      </c>
      <c r="C311" t="s">
        <v>134</v>
      </c>
      <c r="D311" s="72">
        <f>'Design Regulator'!F98/1000000000</f>
        <v>0</v>
      </c>
      <c r="E311" t="s">
        <v>134</v>
      </c>
      <c r="F311" t="s">
        <v>199</v>
      </c>
      <c r="I311" s="57"/>
    </row>
    <row r="312" spans="1:9" x14ac:dyDescent="0.2">
      <c r="A312" s="56" t="s">
        <v>197</v>
      </c>
      <c r="B312" s="29">
        <v>0</v>
      </c>
      <c r="C312" t="s">
        <v>1</v>
      </c>
      <c r="D312" s="29">
        <v>0</v>
      </c>
      <c r="E312" t="s">
        <v>1</v>
      </c>
      <c r="F312" t="s">
        <v>200</v>
      </c>
      <c r="I312" s="57"/>
    </row>
    <row r="313" spans="1:9" x14ac:dyDescent="0.2">
      <c r="A313" s="56"/>
      <c r="C313"/>
      <c r="I313" s="57"/>
    </row>
    <row r="314" spans="1:9" x14ac:dyDescent="0.2">
      <c r="A314" s="66" t="s">
        <v>117</v>
      </c>
      <c r="C314"/>
      <c r="I314" s="57"/>
    </row>
    <row r="315" spans="1:9" x14ac:dyDescent="0.2">
      <c r="A315" s="212" t="s">
        <v>473</v>
      </c>
      <c r="B315" s="408">
        <v>34.799999999999997</v>
      </c>
      <c r="C315" s="114" t="s">
        <v>205</v>
      </c>
      <c r="D315" s="114"/>
      <c r="E315" s="114"/>
      <c r="F315" t="s">
        <v>477</v>
      </c>
      <c r="I315" s="57"/>
    </row>
    <row r="316" spans="1:9" x14ac:dyDescent="0.2">
      <c r="A316" s="66" t="s">
        <v>77</v>
      </c>
      <c r="C316"/>
      <c r="I316" s="57"/>
    </row>
    <row r="317" spans="1:9" x14ac:dyDescent="0.2">
      <c r="A317" s="212" t="s">
        <v>59</v>
      </c>
      <c r="C317"/>
      <c r="I317" s="57"/>
    </row>
    <row r="318" spans="1:9" x14ac:dyDescent="0.2">
      <c r="A318" s="56" t="s">
        <v>88</v>
      </c>
      <c r="B318" s="69">
        <f>(Qgd_Q1+Qgs_Q1/2)*(RdsonDRT+Rgate1)/(VCC-Vsp_Q1)</f>
        <v>2.5466237942122185E-9</v>
      </c>
      <c r="C318" t="s">
        <v>133</v>
      </c>
      <c r="D318" s="69">
        <f>(Qgd_Q3+Qgs_Q3/2)*(RdsonDRT+Rgate3)/(VCC-Vsp_Q3)</f>
        <v>2.5466237942122185E-9</v>
      </c>
      <c r="E318" t="s">
        <v>133</v>
      </c>
      <c r="I318" s="57"/>
    </row>
    <row r="319" spans="1:9" x14ac:dyDescent="0.2">
      <c r="A319" s="56" t="s">
        <v>89</v>
      </c>
      <c r="B319" s="69">
        <f>(Qgd_Q1+Qgs_Q1/2)*(RdsonDRT2+Rgate1)/(Vsp_Q1)</f>
        <v>1.0797546012269937E-9</v>
      </c>
      <c r="C319" t="s">
        <v>133</v>
      </c>
      <c r="D319" s="69">
        <f>(Qgd_Q3+Qgs_Q3/2)*(RdsonDRT2+Rgate3)/(Vsp_Q3)</f>
        <v>1.0797546012269937E-9</v>
      </c>
      <c r="E319" t="s">
        <v>133</v>
      </c>
      <c r="I319" s="57"/>
    </row>
    <row r="320" spans="1:9" x14ac:dyDescent="0.2">
      <c r="A320" s="56"/>
      <c r="C320"/>
      <c r="I320" s="57"/>
    </row>
    <row r="321" spans="1:9" x14ac:dyDescent="0.2">
      <c r="A321" s="66" t="s">
        <v>413</v>
      </c>
      <c r="B321" s="2" t="s">
        <v>7</v>
      </c>
      <c r="C321" s="2" t="s">
        <v>76</v>
      </c>
      <c r="I321" s="57"/>
    </row>
    <row r="322" spans="1:9" x14ac:dyDescent="0.2">
      <c r="A322" s="58" t="s">
        <v>115</v>
      </c>
      <c r="B322" s="3">
        <f>CHOOSE(Ext_VCC, IF(MODE=1, (Qg_Q1+Qg_Q2+Qg_Q3+Qg_Q4)*Fsw*VCC, (Qg_Q1+Qg_Q2)*2*Fsw*VCC), IF(MODE=1, (Qg_Q1+Qg_Q2+Qg_Q3+Qg_Q4)*Fsw*Vin, (Qg_Q1+Qg_Q2)*2*Fsw*Vin))</f>
        <v>0.19799999999999998</v>
      </c>
      <c r="C322" s="3" t="s">
        <v>116</v>
      </c>
      <c r="I322" s="57"/>
    </row>
    <row r="323" spans="1:9" x14ac:dyDescent="0.2">
      <c r="A323" s="58" t="s">
        <v>119</v>
      </c>
      <c r="B323" s="642">
        <f>B322*ThetaJaCtrl</f>
        <v>6.8903999999999987</v>
      </c>
      <c r="C323" s="114" t="s">
        <v>226</v>
      </c>
      <c r="I323" s="57"/>
    </row>
    <row r="324" spans="1:9" x14ac:dyDescent="0.2">
      <c r="A324" s="212" t="s">
        <v>807</v>
      </c>
      <c r="B324" s="642" t="e">
        <f>B323 + Ta</f>
        <v>#VALUE!</v>
      </c>
      <c r="C324" s="114" t="s">
        <v>226</v>
      </c>
      <c r="I324" s="57"/>
    </row>
    <row r="325" spans="1:9" x14ac:dyDescent="0.2">
      <c r="A325" s="643"/>
      <c r="B325" s="642"/>
      <c r="C325" s="114"/>
      <c r="I325" s="57"/>
    </row>
    <row r="326" spans="1:9" x14ac:dyDescent="0.2">
      <c r="A326" s="58" t="s">
        <v>210</v>
      </c>
      <c r="B326" s="42">
        <f>(Qg_Q1+Qg_Q2)*Fsw+Iq</f>
        <v>1.9834999999999998E-2</v>
      </c>
      <c r="C326" t="s">
        <v>1</v>
      </c>
      <c r="I326" s="57"/>
    </row>
    <row r="327" spans="1:9" x14ac:dyDescent="0.2">
      <c r="A327" s="58" t="s">
        <v>211</v>
      </c>
      <c r="B327">
        <f>Qrr_Q2*Fsw</f>
        <v>3.5999999999999997E-2</v>
      </c>
      <c r="C327" t="s">
        <v>1</v>
      </c>
      <c r="I327" s="57"/>
    </row>
    <row r="328" spans="1:9" x14ac:dyDescent="0.2">
      <c r="A328" s="58" t="s">
        <v>212</v>
      </c>
      <c r="B328" t="e">
        <f>C328/Vin</f>
        <v>#NAME?</v>
      </c>
      <c r="C328" t="e">
        <f>Deadtime*Fsw*(Ipp/2)*(Vsd_Q1+Vsd_Q2)</f>
        <v>#NAME?</v>
      </c>
      <c r="I328" s="57"/>
    </row>
    <row r="329" spans="1:9" x14ac:dyDescent="0.2">
      <c r="A329" s="58" t="s">
        <v>214</v>
      </c>
      <c r="B329" t="e">
        <f>SUM(B326:B328)</f>
        <v>#NAME?</v>
      </c>
      <c r="C329" t="s">
        <v>1</v>
      </c>
      <c r="I329" s="57"/>
    </row>
    <row r="330" spans="1:9" x14ac:dyDescent="0.2">
      <c r="A330" s="56"/>
      <c r="I330" s="57"/>
    </row>
    <row r="331" spans="1:9" x14ac:dyDescent="0.2">
      <c r="A331" s="66" t="s">
        <v>440</v>
      </c>
      <c r="I331" s="57"/>
    </row>
    <row r="332" spans="1:9" x14ac:dyDescent="0.2">
      <c r="A332" s="56" t="s">
        <v>114</v>
      </c>
      <c r="I332" s="57"/>
    </row>
    <row r="333" spans="1:9" ht="13.5" thickBot="1" x14ac:dyDescent="0.25">
      <c r="A333" s="60" t="s">
        <v>115</v>
      </c>
      <c r="B333" s="61"/>
      <c r="C333" s="298"/>
      <c r="D333" s="61"/>
      <c r="E333" s="61"/>
      <c r="F333" s="61"/>
      <c r="G333" s="61"/>
      <c r="H333" s="61"/>
      <c r="I333" s="62"/>
    </row>
    <row r="334" spans="1:9" x14ac:dyDescent="0.2">
      <c r="A334" s="1"/>
      <c r="B334" s="1"/>
      <c r="C334" s="1"/>
    </row>
    <row r="335" spans="1:9" ht="21.75" customHeight="1" thickBot="1" x14ac:dyDescent="0.3">
      <c r="A335" s="89" t="s">
        <v>206</v>
      </c>
      <c r="D335" s="2"/>
    </row>
    <row r="336" spans="1:9" x14ac:dyDescent="0.2">
      <c r="A336" s="90" t="str">
        <f>"RC1 = "&amp;'Design Regulator'!D70&amp;"kΩ"</f>
        <v>RC1 = 6,34kΩ</v>
      </c>
      <c r="B336" s="63" t="str">
        <f>'Design Regulator'!D70&amp;"kΩ"</f>
        <v>6,34kΩ</v>
      </c>
      <c r="C336" s="297"/>
      <c r="D336" s="292" t="str">
        <f>'Design Regulator'!D73&amp;"kΩ"</f>
        <v>31,6kΩ</v>
      </c>
      <c r="E336" s="63"/>
      <c r="F336" s="63"/>
      <c r="G336" s="63"/>
      <c r="H336" s="63"/>
      <c r="I336" s="64"/>
    </row>
    <row r="337" spans="1:9" x14ac:dyDescent="0.2">
      <c r="A337" s="56" t="str">
        <f>"RC2 = "&amp;'Design Regulator'!D73&amp;"kΩ"</f>
        <v>RC2 = 31,6kΩ</v>
      </c>
      <c r="B337" t="str">
        <f>'Design Regulator'!D73&amp;"kΩ"</f>
        <v>31,6kΩ</v>
      </c>
      <c r="I337" s="57"/>
    </row>
    <row r="338" spans="1:9" x14ac:dyDescent="0.2">
      <c r="A338" s="56"/>
      <c r="I338" s="57"/>
    </row>
    <row r="339" spans="1:9" x14ac:dyDescent="0.2">
      <c r="A339" s="56" t="str">
        <f>"LF = "&amp;'Design Regulator'!E28&amp;"µH"</f>
        <v>LF = 10µH</v>
      </c>
      <c r="B339" t="str">
        <f>'Design Regulator'!E28&amp;"µH"</f>
        <v>10µH</v>
      </c>
      <c r="D339" t="str">
        <f>IF(MODE = 1, 'Design Regulator'!J28&amp;"µH", 'Design Regulator'!E28&amp;"µH")</f>
        <v>10µH</v>
      </c>
      <c r="I339" s="57"/>
    </row>
    <row r="340" spans="1:9" x14ac:dyDescent="0.2">
      <c r="A340" s="56" t="str">
        <f>"Rdcr = "&amp;Rdcr*1000&amp;"mΩ"</f>
        <v>Rdcr = 12mΩ</v>
      </c>
      <c r="B340" t="str">
        <f>Rdcr*1000&amp;"mΩ"</f>
        <v>12mΩ</v>
      </c>
      <c r="D340" t="str">
        <f>IF(MODE=1, Rdcr2*1000&amp;"mΩ", Rdcr*1000&amp;"mΩ")</f>
        <v>12mΩ</v>
      </c>
      <c r="I340" s="57"/>
    </row>
    <row r="341" spans="1:9" x14ac:dyDescent="0.2">
      <c r="A341" s="56" t="str">
        <f>"Rs = "&amp;'Design Regulator'!E19&amp;"mΩ"</f>
        <v>Rs = 5mΩ</v>
      </c>
      <c r="B341" t="str">
        <f>CHOOSE(SENSING_TYPE, 'Design Regulator'!E19&amp;"mΩ", Rdcr*1000&amp;"mΩ")</f>
        <v>5mΩ</v>
      </c>
      <c r="D341" t="str">
        <f>IF(MODE = 1, 'Design Regulator'!J19&amp;"mΩ", CHOOSE(SENSING_TYPE, 'Design Regulator'!E19&amp;"mΩ", Rdcr*1000&amp;"mΩ"))</f>
        <v>5mΩ</v>
      </c>
      <c r="I341" s="57"/>
    </row>
    <row r="342" spans="1:9" x14ac:dyDescent="0.2">
      <c r="A342" s="56"/>
      <c r="I342" s="57"/>
    </row>
    <row r="343" spans="1:9" x14ac:dyDescent="0.2">
      <c r="A343" s="56" t="str">
        <f>"VOUT = "&amp;'Design Regulator'!E10&amp;"V"</f>
        <v>VOUT = 10V</v>
      </c>
      <c r="B343" t="str">
        <f>'Design Regulator'!E10&amp;"V"</f>
        <v>10V</v>
      </c>
      <c r="D343" t="str">
        <f>IF(MODE=1, 'Design Regulator'!J10&amp;"V", "")</f>
        <v>50V</v>
      </c>
      <c r="I343" s="57"/>
    </row>
    <row r="344" spans="1:9" x14ac:dyDescent="0.2">
      <c r="A344" s="56"/>
      <c r="I344" s="57"/>
    </row>
    <row r="345" spans="1:9" x14ac:dyDescent="0.2">
      <c r="A345" s="56" t="str">
        <f>"COUT = "&amp;'Design Regulator'!$E$35&amp;"µF"</f>
        <v>COUT = 200µF</v>
      </c>
      <c r="B345" t="str">
        <f>ROUND('Design Regulator'!$E$35/Number_of_Phases, 0)&amp;"µF"</f>
        <v>200µF</v>
      </c>
      <c r="D345" t="str">
        <f>IF(MODE=1, 'Design Regulator'!$J$35&amp;"µF", ROUND('Design Regulator'!$E$35/Number_of_Phases, 0)&amp;"µF")</f>
        <v>200µF</v>
      </c>
      <c r="I345" s="57"/>
    </row>
    <row r="346" spans="1:9" x14ac:dyDescent="0.2">
      <c r="A346" s="212" t="s">
        <v>266</v>
      </c>
      <c r="B346" t="str">
        <f>"22µF"</f>
        <v>22µF</v>
      </c>
      <c r="I346" s="57"/>
    </row>
    <row r="347" spans="1:9" x14ac:dyDescent="0.2">
      <c r="A347" s="212" t="s">
        <v>267</v>
      </c>
      <c r="B347" s="116" t="str">
        <f>ROUNDUP(Cout*1000000/22,0)&amp;" x"</f>
        <v>10 x</v>
      </c>
      <c r="C347" s="299"/>
      <c r="I347" s="57"/>
    </row>
    <row r="348" spans="1:9" x14ac:dyDescent="0.2">
      <c r="A348" s="56"/>
      <c r="I348" s="57"/>
    </row>
    <row r="349" spans="1:9" x14ac:dyDescent="0.2">
      <c r="A349" s="56" t="s">
        <v>215</v>
      </c>
      <c r="B349" t="str">
        <f>Cin*1000000&amp;"µF"</f>
        <v>50µF</v>
      </c>
      <c r="I349" s="57"/>
    </row>
    <row r="350" spans="1:9" x14ac:dyDescent="0.2">
      <c r="A350" s="212" t="s">
        <v>265</v>
      </c>
      <c r="B350" t="str">
        <f>"10µF"</f>
        <v>10µF</v>
      </c>
      <c r="I350" s="57"/>
    </row>
    <row r="351" spans="1:9" x14ac:dyDescent="0.2">
      <c r="A351" s="212" t="s">
        <v>264</v>
      </c>
      <c r="B351" s="116" t="str">
        <f>ROUNDUP(Cin*1000000/10,0)&amp;" x"</f>
        <v>5 x</v>
      </c>
      <c r="C351" s="299"/>
      <c r="I351" s="57"/>
    </row>
    <row r="352" spans="1:9" x14ac:dyDescent="0.2">
      <c r="A352" s="212"/>
      <c r="B352" s="116"/>
      <c r="C352" s="299"/>
      <c r="I352" s="57"/>
    </row>
    <row r="353" spans="1:9" x14ac:dyDescent="0.2">
      <c r="A353" s="56" t="str">
        <f>"RC1 = "&amp;Rcea1_u/1000&amp;"kΩ"</f>
        <v>RC1 = 6,34kΩ</v>
      </c>
      <c r="B353" t="str">
        <f>ROUND(Rcea1_u/1000,2)&amp;"kΩ"</f>
        <v>6,34kΩ</v>
      </c>
      <c r="C353" s="114" t="str">
        <f>IF(MODE=1, "Rc2", "")</f>
        <v>Rc2</v>
      </c>
      <c r="D353" t="str">
        <f>IF(MODE=1, ROUND(Rcea2_u/1000,2)&amp;"kΩ", "")</f>
        <v>31,6kΩ</v>
      </c>
      <c r="E353">
        <f>IF(MODE=1, ROUND(Rcea2_u/1000,2), "")</f>
        <v>31.6</v>
      </c>
      <c r="I353" s="57"/>
    </row>
    <row r="354" spans="1:9" x14ac:dyDescent="0.2">
      <c r="A354" s="56" t="str">
        <f>"CC1 = "&amp;Cc1ea_u*10^9&amp;"nF"</f>
        <v>CC1 = 39nF</v>
      </c>
      <c r="B354" t="str">
        <f>Cc1ea_u*10^9&amp;"nF"</f>
        <v>39nF</v>
      </c>
      <c r="C354" s="114" t="str">
        <f>IF(MODE=1, "Cc3", "")</f>
        <v>Cc3</v>
      </c>
      <c r="D354" t="str">
        <f>IF(MODE=1, Cc3ea_u*10^9&amp;"nF", "")</f>
        <v>8,2nF</v>
      </c>
      <c r="E354">
        <f>IF(MODE=1, Cc3ea_u*10^9, "")</f>
        <v>8.2000000000000028</v>
      </c>
      <c r="I354" s="57"/>
    </row>
    <row r="355" spans="1:9" x14ac:dyDescent="0.2">
      <c r="A355" s="56" t="str">
        <f>"CC2 = "&amp;IF(Cc2ea_u&gt;0, Cc2ea_u*10^12&amp;"pF", "OPEN")</f>
        <v>CC2 = 82pF</v>
      </c>
      <c r="B355" t="str">
        <f>IF(Cc2ea_u&gt;0, ROUND(Cc2ea_u*10^12,1)&amp;"pF", "N/A")</f>
        <v>82pF</v>
      </c>
      <c r="C355" s="114" t="str">
        <f>IF(MODE=1, "Cc4", "")</f>
        <v>Cc4</v>
      </c>
      <c r="D355" t="str">
        <f>IF(MODE=1, IF(Cc4ea_u&gt;0, ROUND(Cc4ea_u*10^12,1)&amp;"pF", "N/A"), "")</f>
        <v>10pF</v>
      </c>
      <c r="E355">
        <f>IF(MODE=1, IF(Cc4ea_u&gt;0, ROUND(Cc4ea_u*10^12,1), "N/A"), "")</f>
        <v>10</v>
      </c>
      <c r="I355" s="57"/>
    </row>
    <row r="356" spans="1:9" x14ac:dyDescent="0.2">
      <c r="A356" s="56"/>
      <c r="I356" s="57"/>
    </row>
    <row r="357" spans="1:9" x14ac:dyDescent="0.2">
      <c r="A357" s="56" t="str">
        <f>"gm = "&amp;$B$184*1000&amp;"mS"</f>
        <v>gm = 1,2mS</v>
      </c>
      <c r="B357" t="str">
        <f>$B$184*1000&amp;"mS"</f>
        <v>1,2mS</v>
      </c>
      <c r="I357" s="57"/>
    </row>
    <row r="358" spans="1:9" x14ac:dyDescent="0.2">
      <c r="A358" s="56" t="str">
        <f>"RoEA = "&amp;RoEA/1000000&amp;"MΩ"</f>
        <v>RoEA = 64MΩ</v>
      </c>
      <c r="B358" t="str">
        <f>RoEA/1000000&amp;"MΩ"</f>
        <v>64MΩ</v>
      </c>
      <c r="I358" s="57"/>
    </row>
    <row r="359" spans="1:9" x14ac:dyDescent="0.2">
      <c r="A359" s="56" t="str">
        <f>"GBW = "&amp;GBW&amp;"MHz"</f>
        <v>GBW = 30MHz</v>
      </c>
      <c r="B359" t="str">
        <f>GBW&amp;"MHz"</f>
        <v>30MHz</v>
      </c>
      <c r="I359" s="57"/>
    </row>
    <row r="360" spans="1:9" x14ac:dyDescent="0.2">
      <c r="A360" s="56"/>
      <c r="I360" s="57"/>
    </row>
    <row r="361" spans="1:9" x14ac:dyDescent="0.2">
      <c r="A361" s="56" t="e">
        <f>"Cslope = "&amp;Cslope&amp;"pF"</f>
        <v>#NAME?</v>
      </c>
      <c r="B361" t="e">
        <f>ROUND(Cslope*1,0)&amp;"pF"</f>
        <v>#NAME?</v>
      </c>
      <c r="I361" s="57"/>
    </row>
    <row r="362" spans="1:9" x14ac:dyDescent="0.2">
      <c r="A362" s="56" t="str">
        <f>IF(DITHER=1, "Cdither = "&amp;Cdither*1000000000&amp;"nF", "")</f>
        <v/>
      </c>
      <c r="B362" t="str">
        <f>IF(DITHER=1, ROUND(Cdither*1000000000,1)&amp;"nF", "")</f>
        <v/>
      </c>
      <c r="C362" s="2" t="str">
        <f>IF(DITHER=1, "Cd", "")</f>
        <v/>
      </c>
      <c r="I362" s="57"/>
    </row>
    <row r="363" spans="1:9" x14ac:dyDescent="0.2">
      <c r="A363" s="56" t="str">
        <f>"RFB1 = "&amp;'Design Regulator'!E65&amp;"kΩ"</f>
        <v>RFB1 = 100kΩ</v>
      </c>
      <c r="B363" t="str">
        <f>'Design Regulator'!E65&amp;"kΩ"</f>
        <v>100kΩ</v>
      </c>
      <c r="D363" t="str">
        <f>'Design Regulator'!J65&amp;"kΩ"</f>
        <v>100kΩ</v>
      </c>
      <c r="I363" s="57"/>
    </row>
    <row r="364" spans="1:9" x14ac:dyDescent="0.2">
      <c r="A364" s="56" t="str">
        <f>"RFB2 = "&amp;IF(Vout=Vref,"OPEN",'Design Regulator'!E66&amp;"kΩ")</f>
        <v>RFB2 = 6,34kΩ</v>
      </c>
      <c r="B364" t="str">
        <f>IF(Vout=Vref,"OPEN",Rfb2_u/1000&amp;"kΩ")</f>
        <v>6,34kΩ</v>
      </c>
      <c r="D364" t="str">
        <f>IF(Vout2=Vref,"OPEN",Rfb4_u/1000&amp;"kΩ")</f>
        <v>1,21kΩ</v>
      </c>
      <c r="I364" s="57"/>
    </row>
    <row r="365" spans="1:9" x14ac:dyDescent="0.2">
      <c r="A365" s="56" t="str">
        <f>CHOOSE(BODE_PLOT_TYPE, "Crossover Frequency = "&amp;ROUND('Stability Calculations'!Q4,1)&amp;" kHz",  "Crossover Frequency = "&amp;ROUND('Ch2 Stability Calculations'!Q4,1)&amp;" kHz")</f>
        <v>Crossover Frequency = 6 kHz</v>
      </c>
      <c r="B365" t="str">
        <f>CHOOSE(BODE_PLOT_TYPE, ROUND('Stability Calculations'!Q4,1)&amp;" kHz", ROUND('Ch2 Stability Calculations'!Q4,1)&amp;" kHz")</f>
        <v>6 kHz</v>
      </c>
      <c r="D365" s="115">
        <f>'Stability Calculations'!Q4</f>
        <v>5.9569999999999999</v>
      </c>
      <c r="I365" s="57"/>
    </row>
    <row r="366" spans="1:9" x14ac:dyDescent="0.2">
      <c r="A366" s="56" t="str">
        <f>CHOOSE(BODE_PLOT_TYPE, "Phase Margin = "&amp;ROUND('Stability Calculations'!Q5,0)&amp;"°", "Phase Margin = "&amp;ROUND('Ch2 Stability Calculations'!Q5,0)&amp;"°")</f>
        <v>Phase Margin = 89°</v>
      </c>
      <c r="B366" s="116" t="str">
        <f>CHOOSE(BODE_PLOT_TYPE, ROUND('Stability Calculations'!Q5,0)&amp;"°", ROUND('Ch2 Stability Calculations'!Q5,0)&amp;"°")</f>
        <v>89°</v>
      </c>
      <c r="C366" s="299"/>
      <c r="E366" s="213"/>
      <c r="I366" s="57"/>
    </row>
    <row r="367" spans="1:9" x14ac:dyDescent="0.2">
      <c r="A367" s="56"/>
      <c r="B367" s="116"/>
      <c r="C367" s="299"/>
      <c r="E367" s="213"/>
      <c r="I367" s="57"/>
    </row>
    <row r="368" spans="1:9" x14ac:dyDescent="0.2">
      <c r="A368" s="66" t="s">
        <v>598</v>
      </c>
      <c r="B368" s="492" t="e">
        <f>IF(PLOT_TYPE=1, ROUND('Efficiency Calculations'!AZ109,1)&amp;"%", ROUND('Ch2 Efficiency Calculations'!AZ109,1)&amp;"%")</f>
        <v>#VALUE!</v>
      </c>
      <c r="C368" s="299"/>
      <c r="D368" s="492"/>
      <c r="E368" s="213"/>
      <c r="I368" s="57"/>
    </row>
    <row r="369" spans="1:9" x14ac:dyDescent="0.2">
      <c r="A369" s="66" t="s">
        <v>599</v>
      </c>
      <c r="B369" s="492" t="e">
        <f>IF(PLOT_TYPE=1, ROUND('Efficiency Calculations'!AZ59,1)&amp;"%", ROUND('Ch2 Efficiency Calculations'!AZ59,1)&amp;"%")</f>
        <v>#VALUE!</v>
      </c>
      <c r="C369" s="299"/>
      <c r="D369" s="492"/>
      <c r="E369" s="213"/>
      <c r="I369" s="57"/>
    </row>
    <row r="370" spans="1:9" x14ac:dyDescent="0.2">
      <c r="A370" s="56"/>
      <c r="B370" s="116"/>
      <c r="C370" s="299"/>
      <c r="E370" s="213"/>
      <c r="I370" s="57"/>
    </row>
    <row r="371" spans="1:9" x14ac:dyDescent="0.2">
      <c r="A371" s="56" t="str">
        <f>"CDITH = "&amp;Cdither*1000000000&amp;"nF"</f>
        <v>CDITH = 10nF</v>
      </c>
      <c r="B371" t="str">
        <f>Cdither*1000000000&amp;"nF"</f>
        <v>10nF</v>
      </c>
      <c r="I371" s="57"/>
    </row>
    <row r="372" spans="1:9" x14ac:dyDescent="0.2">
      <c r="A372" s="56" t="str">
        <f>"Rs = "&amp;Rs&amp;"Ω"</f>
        <v>Rs = 0,005Ω</v>
      </c>
      <c r="B372" t="str">
        <f>'Standard Value Calculator'!O6&amp;"Ω"</f>
        <v>Ω</v>
      </c>
      <c r="I372" s="57"/>
    </row>
    <row r="373" spans="1:9" x14ac:dyDescent="0.2">
      <c r="A373" s="56" t="s">
        <v>189</v>
      </c>
      <c r="B373" t="str">
        <f>'Standard Value Calculator'!O16&amp;"mΩ"</f>
        <v>4,99mΩ</v>
      </c>
      <c r="I373" s="57"/>
    </row>
    <row r="374" spans="1:9" x14ac:dyDescent="0.2">
      <c r="A374" s="56" t="s">
        <v>167</v>
      </c>
      <c r="B374" t="str">
        <f>'Standard Value Calculator'!O6&amp;"mΩ"</f>
        <v>mΩ</v>
      </c>
      <c r="I374" s="57"/>
    </row>
    <row r="375" spans="1:9" x14ac:dyDescent="0.2">
      <c r="A375" s="56" t="e">
        <f>"Rshunt = "&amp;ROUND(Rshunt,1)&amp;"mΩ"</f>
        <v>#NAME?</v>
      </c>
      <c r="B375" t="e">
        <f>IF(Rshunt="0", "N/A",ROUND(Rshunt,1)&amp;"mΩ")</f>
        <v>#NAME?</v>
      </c>
      <c r="I375" s="57"/>
    </row>
    <row r="376" spans="1:9" x14ac:dyDescent="0.2">
      <c r="A376" s="56"/>
      <c r="I376" s="57"/>
    </row>
    <row r="377" spans="1:9" x14ac:dyDescent="0.2">
      <c r="A377" s="212" t="s">
        <v>262</v>
      </c>
      <c r="B377" s="114" t="s">
        <v>263</v>
      </c>
      <c r="I377" s="57"/>
    </row>
    <row r="378" spans="1:9" x14ac:dyDescent="0.2">
      <c r="A378" s="212"/>
      <c r="B378" s="114"/>
      <c r="I378" s="57"/>
    </row>
    <row r="379" spans="1:9" x14ac:dyDescent="0.2">
      <c r="A379" s="212"/>
      <c r="B379" s="114"/>
      <c r="I379" s="57"/>
    </row>
    <row r="380" spans="1:9" x14ac:dyDescent="0.2">
      <c r="A380" s="212" t="s">
        <v>280</v>
      </c>
      <c r="B380" t="str">
        <f>'Standard Value Calculator'!O4/1000&amp;"kΩ"</f>
        <v>36,5kΩ</v>
      </c>
      <c r="I380" s="57"/>
    </row>
    <row r="381" spans="1:9" x14ac:dyDescent="0.2">
      <c r="A381" s="56" t="s">
        <v>152</v>
      </c>
      <c r="B381" t="str">
        <f>IF(MODE=1, 'Standard Value Calculator'!B4*1000000000&amp;"nF", "")</f>
        <v>100nF</v>
      </c>
      <c r="C381" s="114" t="str">
        <f>IF(MODE=1,"Css1","")</f>
        <v>Css1</v>
      </c>
      <c r="I381" s="57"/>
    </row>
    <row r="382" spans="1:9" x14ac:dyDescent="0.2">
      <c r="A382" s="643" t="s">
        <v>814</v>
      </c>
      <c r="B382" t="str">
        <f xml:space="preserve"> 'Standard Value Calculator'!B4*1000000000&amp;"nF"</f>
        <v>100nF</v>
      </c>
      <c r="C382" s="114" t="str">
        <f>IF(MODE=1,"Css2","Css")</f>
        <v>Css2</v>
      </c>
      <c r="I382" s="57"/>
    </row>
    <row r="383" spans="1:9" x14ac:dyDescent="0.2">
      <c r="A383" s="212" t="s">
        <v>682</v>
      </c>
      <c r="B383" t="str">
        <f>IF(Cres_u = 0, "N/A", Cres_u*1000000000 &amp;"nF")</f>
        <v>470nF</v>
      </c>
      <c r="D383">
        <f>Cres_u</f>
        <v>4.7E-7</v>
      </c>
      <c r="I383" s="57"/>
    </row>
    <row r="384" spans="1:9" x14ac:dyDescent="0.2">
      <c r="A384" s="643"/>
      <c r="I384" s="57"/>
    </row>
    <row r="385" spans="1:9" x14ac:dyDescent="0.2">
      <c r="A385" s="56" t="s">
        <v>190</v>
      </c>
      <c r="B385" t="str">
        <f>IF(B76="y","","|")</f>
        <v>|</v>
      </c>
      <c r="I385" s="57"/>
    </row>
    <row r="386" spans="1:9" x14ac:dyDescent="0.2">
      <c r="A386" s="56" t="s">
        <v>207</v>
      </c>
      <c r="B386" t="str">
        <f>'Design Regulator'!$E$11&amp;"A"</f>
        <v>10A</v>
      </c>
      <c r="D386" t="str">
        <f>IF(MODE=1,'Design Regulator'!$J$11&amp;"A","")</f>
        <v>10A</v>
      </c>
      <c r="I386" s="57"/>
    </row>
    <row r="387" spans="1:9" x14ac:dyDescent="0.2">
      <c r="A387" s="56" t="s">
        <v>144</v>
      </c>
      <c r="B387" t="str">
        <f>VIN_nom&amp;"V"</f>
        <v>60V</v>
      </c>
      <c r="I387" s="57"/>
    </row>
    <row r="388" spans="1:9" x14ac:dyDescent="0.2">
      <c r="A388" s="212" t="s">
        <v>608</v>
      </c>
      <c r="B388" t="str">
        <f>VIN_min&amp;"V"&amp;"..."&amp;VIN_max&amp;"V"</f>
        <v>55V...65V</v>
      </c>
      <c r="I388" s="57"/>
    </row>
    <row r="389" spans="1:9" x14ac:dyDescent="0.2">
      <c r="A389" s="56"/>
      <c r="I389" s="57"/>
    </row>
    <row r="390" spans="1:9" ht="13.5" thickBot="1" x14ac:dyDescent="0.25">
      <c r="A390" s="60"/>
      <c r="B390" s="61"/>
      <c r="C390" s="298"/>
      <c r="D390" s="61"/>
      <c r="E390" s="61"/>
      <c r="F390" s="61"/>
      <c r="G390" s="61"/>
      <c r="H390" s="61"/>
      <c r="I390"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K132"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687"/>
  <sheetViews>
    <sheetView zoomScaleNormal="100" workbookViewId="0">
      <pane ySplit="11" topLeftCell="A12" activePane="bottomLeft" state="frozen"/>
      <selection activeCell="A93" sqref="A93"/>
      <selection pane="bottomLeft" activeCell="C5" sqref="C5"/>
    </sheetView>
  </sheetViews>
  <sheetFormatPr defaultColWidth="9.140625" defaultRowHeight="12.75" x14ac:dyDescent="0.2"/>
  <cols>
    <col min="1" max="1" width="16.140625" style="319" customWidth="1"/>
    <col min="2" max="2" width="15.7109375" style="319" customWidth="1"/>
    <col min="3" max="3" width="10" style="319" customWidth="1"/>
    <col min="4" max="4" width="10.85546875" style="319" customWidth="1"/>
    <col min="5" max="5" width="10.140625" style="319" customWidth="1"/>
    <col min="6" max="8" width="11.85546875" style="319" customWidth="1"/>
    <col min="9" max="9" width="14.28515625" style="319" customWidth="1"/>
    <col min="10" max="10" width="11" style="319" customWidth="1"/>
    <col min="11" max="11" width="12" style="319" customWidth="1"/>
    <col min="12" max="12" width="11.42578125" style="319" customWidth="1"/>
    <col min="13" max="13" width="10.85546875" style="319" customWidth="1"/>
    <col min="14" max="14" width="11.42578125" style="319" customWidth="1"/>
    <col min="15" max="15" width="12.28515625" style="319" customWidth="1"/>
    <col min="16" max="16" width="12.140625" style="319" customWidth="1"/>
    <col min="17" max="17" width="9.42578125" style="319" customWidth="1"/>
    <col min="18" max="18" width="16.140625" style="319" bestFit="1" customWidth="1"/>
    <col min="19" max="19" width="16.140625" style="359" customWidth="1"/>
    <col min="20" max="20" width="9.140625" style="319"/>
    <col min="21" max="21" width="13.42578125" style="319" bestFit="1" customWidth="1"/>
    <col min="22" max="22" width="9.28515625" style="319" bestFit="1" customWidth="1"/>
    <col min="23" max="23" width="9.140625" style="319"/>
    <col min="24" max="24" width="13.5703125" style="319" customWidth="1"/>
    <col min="25" max="25" width="10.5703125" style="319" customWidth="1"/>
    <col min="26" max="26" width="9.140625" style="319"/>
    <col min="27" max="27" width="9.28515625" style="319" bestFit="1" customWidth="1"/>
    <col min="28" max="28" width="11.28515625" style="319" bestFit="1" customWidth="1"/>
    <col min="29" max="29" width="9.140625" style="319"/>
    <col min="30" max="30" width="12.28515625" customWidth="1"/>
    <col min="31" max="31" width="8.85546875" customWidth="1"/>
    <col min="32" max="16384" width="9.140625" style="319"/>
  </cols>
  <sheetData>
    <row r="1" spans="1:31" ht="13.5" thickBot="1" x14ac:dyDescent="0.25"/>
    <row r="2" spans="1:31" x14ac:dyDescent="0.2">
      <c r="A2" s="733" t="s">
        <v>422</v>
      </c>
      <c r="B2" s="734"/>
      <c r="C2" s="735"/>
      <c r="D2" s="736"/>
      <c r="E2" s="733" t="s">
        <v>328</v>
      </c>
      <c r="F2" s="734"/>
      <c r="G2" s="734"/>
      <c r="H2" s="401"/>
      <c r="I2" s="417"/>
      <c r="J2" s="733" t="s">
        <v>420</v>
      </c>
      <c r="K2" s="735"/>
      <c r="L2" s="736"/>
      <c r="M2" s="733" t="s">
        <v>421</v>
      </c>
      <c r="N2" s="735"/>
      <c r="O2" s="736"/>
      <c r="P2" s="733" t="s">
        <v>329</v>
      </c>
      <c r="Q2" s="734"/>
      <c r="R2" s="742"/>
      <c r="AD2" s="114"/>
      <c r="AE2" s="114"/>
    </row>
    <row r="3" spans="1:31" x14ac:dyDescent="0.2">
      <c r="B3" s="320" t="s">
        <v>330</v>
      </c>
      <c r="C3" s="404">
        <f>Afb</f>
        <v>0.06</v>
      </c>
      <c r="D3" s="322" t="s">
        <v>28</v>
      </c>
      <c r="E3" s="323" t="s">
        <v>331</v>
      </c>
      <c r="F3" s="404">
        <f>Acs</f>
        <v>16.666666666666668</v>
      </c>
      <c r="G3" s="322" t="s">
        <v>419</v>
      </c>
      <c r="H3" s="415" t="s">
        <v>347</v>
      </c>
      <c r="I3" s="427">
        <f>gm</f>
        <v>1.1999999999999999E-3</v>
      </c>
      <c r="J3" s="323" t="s">
        <v>438</v>
      </c>
      <c r="K3" s="324">
        <f>Fesr</f>
        <v>397887.35818439093</v>
      </c>
      <c r="L3" s="322" t="s">
        <v>9</v>
      </c>
      <c r="M3" s="323" t="s">
        <v>333</v>
      </c>
      <c r="N3" s="324">
        <f>Fsw/2</f>
        <v>300000</v>
      </c>
      <c r="O3" s="322" t="s">
        <v>9</v>
      </c>
      <c r="P3" s="325" t="s">
        <v>334</v>
      </c>
      <c r="Q3" s="324">
        <f>Am*Afb*AEA</f>
        <v>67626.238714294377</v>
      </c>
      <c r="R3" s="322" t="s">
        <v>28</v>
      </c>
    </row>
    <row r="4" spans="1:31" x14ac:dyDescent="0.2">
      <c r="B4" s="320" t="s">
        <v>443</v>
      </c>
      <c r="C4" s="324">
        <f>Fz1_u</f>
        <v>643.67444501236082</v>
      </c>
      <c r="D4" s="322" t="s">
        <v>9</v>
      </c>
      <c r="E4" s="323" t="s">
        <v>336</v>
      </c>
      <c r="F4" s="329">
        <f>Am</f>
        <v>14.675833054317357</v>
      </c>
      <c r="G4" s="322" t="s">
        <v>28</v>
      </c>
      <c r="H4" s="416"/>
      <c r="I4" s="416"/>
      <c r="J4" s="323" t="s">
        <v>437</v>
      </c>
      <c r="K4" s="324">
        <f>Fp_dominant</f>
        <v>903.72463971154241</v>
      </c>
      <c r="L4" s="322" t="s">
        <v>9</v>
      </c>
      <c r="M4" s="323" t="s">
        <v>338</v>
      </c>
      <c r="N4" s="402">
        <f>Q*pole3</f>
        <v>117324.28881882732</v>
      </c>
      <c r="O4" s="322"/>
      <c r="P4" s="325" t="s">
        <v>339</v>
      </c>
      <c r="Q4" s="365">
        <f>AE7</f>
        <v>5.9569999999999999</v>
      </c>
      <c r="R4" s="322" t="s">
        <v>2</v>
      </c>
    </row>
    <row r="5" spans="1:31" x14ac:dyDescent="0.2">
      <c r="B5" s="320" t="s">
        <v>442</v>
      </c>
      <c r="C5" s="404">
        <f>Fp1_u</f>
        <v>6.3757683713494134E-2</v>
      </c>
      <c r="D5" s="322" t="s">
        <v>9</v>
      </c>
      <c r="E5" s="323" t="s">
        <v>27</v>
      </c>
      <c r="F5" s="404">
        <f>Q</f>
        <v>0.39108096272942439</v>
      </c>
      <c r="G5" s="322"/>
      <c r="H5" s="416"/>
      <c r="I5" s="416"/>
      <c r="J5" s="323"/>
      <c r="K5" s="324"/>
      <c r="L5" s="322"/>
      <c r="M5" s="323" t="s">
        <v>341</v>
      </c>
      <c r="N5" s="321">
        <f>pole3^2</f>
        <v>90000000000</v>
      </c>
      <c r="O5" s="322"/>
      <c r="P5" s="325" t="s">
        <v>342</v>
      </c>
      <c r="Q5" s="329">
        <f>AE9</f>
        <v>89.208680727921532</v>
      </c>
      <c r="R5" s="388" t="s">
        <v>399</v>
      </c>
    </row>
    <row r="6" spans="1:31" x14ac:dyDescent="0.2">
      <c r="B6" s="320" t="s">
        <v>343</v>
      </c>
      <c r="C6" s="321">
        <f>AEA</f>
        <v>76800</v>
      </c>
      <c r="D6" s="322" t="s">
        <v>28</v>
      </c>
      <c r="E6" s="323" t="s">
        <v>371</v>
      </c>
      <c r="F6" s="404">
        <f>mc</f>
        <v>1.5818181818181818</v>
      </c>
      <c r="G6" s="415"/>
      <c r="H6" s="418"/>
      <c r="I6" s="328"/>
      <c r="J6" s="326"/>
      <c r="K6" s="327"/>
      <c r="L6" s="328"/>
      <c r="M6" s="326"/>
      <c r="N6" s="430"/>
      <c r="O6" s="328"/>
      <c r="P6" s="400" t="s">
        <v>344</v>
      </c>
      <c r="Q6" s="327">
        <f>180/Pi</f>
        <v>57.295779578552292</v>
      </c>
      <c r="R6" s="328"/>
      <c r="AD6" s="5" t="s">
        <v>46</v>
      </c>
      <c r="AE6" s="5"/>
    </row>
    <row r="7" spans="1:31" ht="13.5" thickBot="1" x14ac:dyDescent="0.25">
      <c r="B7" s="396" t="s">
        <v>441</v>
      </c>
      <c r="C7" s="403">
        <f>Fp2_u</f>
        <v>284082.64698583551</v>
      </c>
      <c r="D7" s="398" t="s">
        <v>9</v>
      </c>
      <c r="E7" s="397" t="s">
        <v>346</v>
      </c>
      <c r="F7" s="399">
        <f>k</f>
        <v>1.3139232457800318</v>
      </c>
      <c r="G7" s="399"/>
      <c r="H7" s="419"/>
      <c r="I7" s="398"/>
      <c r="J7" s="397"/>
      <c r="K7" s="397"/>
      <c r="L7" s="398"/>
      <c r="M7" s="397"/>
      <c r="N7" s="397"/>
      <c r="O7" s="398"/>
      <c r="P7" s="397"/>
      <c r="Q7" s="397"/>
      <c r="R7" s="398"/>
      <c r="AD7" t="s">
        <v>43</v>
      </c>
      <c r="AE7">
        <f>SUM(AD12:AD613)/1000</f>
        <v>5.9569999999999999</v>
      </c>
    </row>
    <row r="8" spans="1:31" x14ac:dyDescent="0.2">
      <c r="B8" s="405"/>
      <c r="C8" s="406"/>
      <c r="F8" s="407"/>
      <c r="G8" s="407"/>
      <c r="H8" s="407"/>
    </row>
    <row r="9" spans="1:31" ht="13.5" thickBot="1" x14ac:dyDescent="0.25">
      <c r="AD9" t="s">
        <v>44</v>
      </c>
      <c r="AE9" s="4">
        <f>SUM(AE13:AE613)</f>
        <v>89.208680727921532</v>
      </c>
    </row>
    <row r="10" spans="1:31" ht="15" x14ac:dyDescent="0.25">
      <c r="A10" s="737" t="s">
        <v>450</v>
      </c>
      <c r="B10" s="731"/>
      <c r="C10" s="745" t="s">
        <v>348</v>
      </c>
      <c r="D10" s="746"/>
      <c r="E10" s="746"/>
      <c r="F10" s="746"/>
      <c r="G10" s="746"/>
      <c r="H10" s="747"/>
      <c r="I10" s="745" t="s">
        <v>349</v>
      </c>
      <c r="J10" s="746"/>
      <c r="K10" s="746"/>
      <c r="L10" s="746"/>
      <c r="M10" s="746"/>
      <c r="N10" s="747"/>
      <c r="O10" s="740" t="s">
        <v>350</v>
      </c>
      <c r="P10" s="741"/>
      <c r="Q10" s="740" t="s">
        <v>351</v>
      </c>
      <c r="R10" s="748"/>
      <c r="S10" s="749"/>
      <c r="X10" s="750" t="s">
        <v>352</v>
      </c>
      <c r="Y10" s="751"/>
      <c r="AA10" s="750" t="s">
        <v>353</v>
      </c>
      <c r="AB10" s="751"/>
    </row>
    <row r="11" spans="1:31" x14ac:dyDescent="0.2">
      <c r="A11" s="738"/>
      <c r="B11" s="732"/>
      <c r="C11" s="752" t="s">
        <v>437</v>
      </c>
      <c r="D11" s="753"/>
      <c r="E11" s="753" t="s">
        <v>438</v>
      </c>
      <c r="F11" s="754"/>
      <c r="G11" s="743" t="s">
        <v>439</v>
      </c>
      <c r="H11" s="744"/>
      <c r="I11" s="752" t="s">
        <v>337</v>
      </c>
      <c r="J11" s="753"/>
      <c r="K11" s="753" t="s">
        <v>332</v>
      </c>
      <c r="L11" s="754"/>
      <c r="M11" s="743" t="s">
        <v>340</v>
      </c>
      <c r="N11" s="744"/>
      <c r="O11" s="752" t="s">
        <v>333</v>
      </c>
      <c r="P11" s="754"/>
      <c r="Q11" s="323"/>
      <c r="R11" s="321"/>
      <c r="S11" s="366"/>
      <c r="X11" s="323"/>
      <c r="Y11" s="322"/>
      <c r="AA11" s="323"/>
      <c r="AB11" s="322"/>
    </row>
    <row r="12" spans="1:31" ht="13.5" thickBot="1" x14ac:dyDescent="0.25">
      <c r="A12" s="739"/>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
      <c r="A13" s="336">
        <v>1</v>
      </c>
      <c r="B13" s="364">
        <f>A13/1000</f>
        <v>1E-3</v>
      </c>
      <c r="C13" s="337">
        <f t="shared" ref="C13:C76" si="0">SQRT(1+(A13/pole1)^2)</f>
        <v>1.0000006122060607</v>
      </c>
      <c r="D13" s="338">
        <f t="shared" ref="D13:D76" si="1">ATAN(A13/pole1)</f>
        <v>1.1065312905289251E-3</v>
      </c>
      <c r="E13" s="338">
        <f t="shared" ref="E13:E76" si="2">SQRT(1+(A13/Zero1)^2)</f>
        <v>1.0000000000031584</v>
      </c>
      <c r="F13" s="339">
        <f t="shared" ref="F13:F76" si="3">ATAN(A13/Zero1)</f>
        <v>2.5132741199947084E-6</v>
      </c>
      <c r="G13" s="338">
        <f t="shared" ref="G13:G76" si="4">IF(VIN_nom&gt;Vout, 1, SQRT(1+(A13/z_RHP)^2))</f>
        <v>1</v>
      </c>
      <c r="H13" s="339">
        <f t="shared" ref="H13:H76" si="5">IF(VIN_nom&gt;Vout, 0, -ATAN(A13/z_RHP))</f>
        <v>0</v>
      </c>
      <c r="I13" s="337">
        <f t="shared" ref="I13:I76" si="6">SQRT(1+(A13/Pole2)^2)</f>
        <v>15.7162305995256</v>
      </c>
      <c r="J13" s="340">
        <f t="shared" ref="J13:J76" si="7">ATAN(A13/Pole2)</f>
        <v>1.5071248255366432</v>
      </c>
      <c r="K13" s="338">
        <f t="shared" ref="K13:K76" si="8">SQRT(1+(A13/Zero2)^2)</f>
        <v>1.0000012068052972</v>
      </c>
      <c r="L13" s="339">
        <f t="shared" ref="L13:L76" si="9">ATAN(A13/Zero2)</f>
        <v>1.5535791473663544E-3</v>
      </c>
      <c r="M13" s="337">
        <f t="shared" ref="M13:M76" si="10">SQRT(1+(A13/pole4)^2)</f>
        <v>1.0000000000061955</v>
      </c>
      <c r="N13" s="340">
        <f t="shared" ref="N13:N76" si="11">ATAN(A13/pole4)</f>
        <v>3.5201023737494607E-6</v>
      </c>
      <c r="O13" s="341">
        <f t="shared" ref="O13:O76" si="12">SQRT((1-(V13/pterm2))^2+(A13/pterm1)^2)</f>
        <v>1.0000000000252129</v>
      </c>
      <c r="P13" s="342">
        <f t="shared" ref="P13:P76" si="13">IF((ATAN((A13/pterm1)/(1-A13^2/pterm2))&gt;0),ATAN((A13/pterm1)/(1-A13^2/pterm2)),PI()+ATAN((A13/pterm1)/(1-A13^2/pterm2)))</f>
        <v>8.5233842885772743E-6</v>
      </c>
      <c r="Q13" s="343">
        <f t="shared" ref="Q13:Q76" si="14">20*LOG10(((E13*K13*G13)/(C13*I13*O13*M13))*Adc)</f>
        <v>72.675341978961711</v>
      </c>
      <c r="R13" s="344">
        <f t="shared" ref="R13:R76" si="15">((F13+L13+H13)-(D13+J13+P13+N13))*radconv</f>
        <v>-86.32682388680233</v>
      </c>
      <c r="S13" s="600">
        <f t="shared" ref="S13:S76" si="16">IF(R13&gt;0,R13,R13+180)</f>
        <v>93.67317611319767</v>
      </c>
      <c r="U13" s="319">
        <f>IF(Q13&lt;0,A13,1000000000)</f>
        <v>1000000000</v>
      </c>
      <c r="V13" s="319">
        <f>A13^2</f>
        <v>1</v>
      </c>
      <c r="X13" s="345">
        <f t="shared" ref="X13:X76" si="17">20*LOG10((K13/(I13*M13))*AEA)</f>
        <v>73.780267033570624</v>
      </c>
      <c r="Y13" s="346">
        <f t="shared" ref="Y13:Y76" si="18">(L13-(J13+N13))*radconv</f>
        <v>-86.263079959935951</v>
      </c>
      <c r="AA13" s="345">
        <f t="shared" ref="AA13:AA76" si="19">20*LOG10((E13*G13/(C13*O13))*Acs*Am)</f>
        <v>47.769024930045347</v>
      </c>
      <c r="AB13" s="346">
        <f t="shared" ref="AB13:AB76" si="20">(F13+H13-(D13+P13))*radconv</f>
        <v>-6.3743926866378225E-2</v>
      </c>
      <c r="AD13">
        <f>SUM((Q14&lt;0)*(Q13&gt;0))*A13</f>
        <v>0</v>
      </c>
      <c r="AE13">
        <f t="shared" ref="AE13:AE44" si="21">IF(AD13&gt;0,S11,0)</f>
        <v>0</v>
      </c>
    </row>
    <row r="14" spans="1:31" x14ac:dyDescent="0.2">
      <c r="A14" s="347">
        <v>1.0965</v>
      </c>
      <c r="B14" s="364">
        <f t="shared" ref="B14:B77" si="22">A14/1000</f>
        <v>1.0965E-3</v>
      </c>
      <c r="C14" s="337">
        <f t="shared" si="0"/>
        <v>1.0000007360628009</v>
      </c>
      <c r="D14" s="338">
        <f t="shared" si="1"/>
        <v>1.2133114598804774E-3</v>
      </c>
      <c r="E14" s="338">
        <f t="shared" si="2"/>
        <v>1.0000000000037972</v>
      </c>
      <c r="F14" s="339">
        <f t="shared" si="3"/>
        <v>2.7558050725730243E-6</v>
      </c>
      <c r="G14" s="338">
        <f t="shared" si="4"/>
        <v>1</v>
      </c>
      <c r="H14" s="339">
        <f t="shared" si="5"/>
        <v>0</v>
      </c>
      <c r="I14" s="337">
        <f t="shared" si="6"/>
        <v>17.226975892116908</v>
      </c>
      <c r="J14" s="340">
        <f t="shared" si="7"/>
        <v>1.5127151833510939</v>
      </c>
      <c r="K14" s="348">
        <f t="shared" si="8"/>
        <v>1.0000014509566151</v>
      </c>
      <c r="L14" s="349">
        <f t="shared" si="9"/>
        <v>1.7034992578130628E-3</v>
      </c>
      <c r="M14" s="337">
        <f t="shared" si="10"/>
        <v>1.0000000000074492</v>
      </c>
      <c r="N14" s="340">
        <f t="shared" si="11"/>
        <v>3.8597922528130586E-6</v>
      </c>
      <c r="O14" s="341">
        <f t="shared" si="12"/>
        <v>1.000000000030314</v>
      </c>
      <c r="P14" s="342">
        <f t="shared" si="13"/>
        <v>9.3458908724002007E-6</v>
      </c>
      <c r="Q14" s="343">
        <f t="shared" si="14"/>
        <v>71.878129953865198</v>
      </c>
      <c r="R14" s="344">
        <f t="shared" si="15"/>
        <v>-86.644708752300659</v>
      </c>
      <c r="S14" s="346">
        <f t="shared" si="16"/>
        <v>93.355291247699341</v>
      </c>
      <c r="U14" s="319">
        <f t="shared" ref="U14:U77" si="23">IF(Q14&lt;0,A14,1000000000)</f>
        <v>1000000000</v>
      </c>
      <c r="V14" s="319">
        <f t="shared" ref="V14:V77" si="24">A14^2</f>
        <v>1.2023122500000001</v>
      </c>
      <c r="X14" s="345">
        <f t="shared" si="17"/>
        <v>72.983056084318108</v>
      </c>
      <c r="Y14" s="346">
        <f t="shared" si="18"/>
        <v>-86.574813542231837</v>
      </c>
      <c r="AA14" s="345">
        <f t="shared" si="19"/>
        <v>47.769023854201336</v>
      </c>
      <c r="AB14" s="346">
        <f t="shared" si="20"/>
        <v>-6.9895210068833966E-2</v>
      </c>
      <c r="AD14">
        <f t="shared" ref="AD14:AD77" si="25">SUM((Q15&lt;0)*(Q14&gt;0))*A14</f>
        <v>0</v>
      </c>
      <c r="AE14">
        <f t="shared" si="21"/>
        <v>0</v>
      </c>
    </row>
    <row r="15" spans="1:31" x14ac:dyDescent="0.2">
      <c r="A15" s="347">
        <v>1.2022999999999999</v>
      </c>
      <c r="B15" s="364">
        <f t="shared" si="22"/>
        <v>1.2022999999999999E-3</v>
      </c>
      <c r="C15" s="337">
        <f t="shared" si="0"/>
        <v>1.0000008849592228</v>
      </c>
      <c r="D15" s="338">
        <f t="shared" si="1"/>
        <v>1.3303823286923797E-3</v>
      </c>
      <c r="E15" s="338">
        <f t="shared" si="2"/>
        <v>1.0000000000045652</v>
      </c>
      <c r="F15" s="339">
        <f t="shared" si="3"/>
        <v>3.0217094744668033E-6</v>
      </c>
      <c r="G15" s="338">
        <f t="shared" si="4"/>
        <v>1</v>
      </c>
      <c r="H15" s="339">
        <f t="shared" si="5"/>
        <v>0</v>
      </c>
      <c r="I15" s="337">
        <f t="shared" si="6"/>
        <v>18.883831256970709</v>
      </c>
      <c r="J15" s="340">
        <f t="shared" si="7"/>
        <v>1.5178161896898548</v>
      </c>
      <c r="K15" s="348">
        <f t="shared" si="8"/>
        <v>1.0000017444671083</v>
      </c>
      <c r="L15" s="349">
        <f t="shared" si="9"/>
        <v>1.8678675393584761E-3</v>
      </c>
      <c r="M15" s="337">
        <f t="shared" si="10"/>
        <v>1.0000000000089559</v>
      </c>
      <c r="N15" s="340">
        <f t="shared" si="11"/>
        <v>4.2322190839511881E-6</v>
      </c>
      <c r="O15" s="341">
        <f t="shared" si="12"/>
        <v>1.000000000036446</v>
      </c>
      <c r="P15" s="342">
        <f t="shared" si="13"/>
        <v>1.0247664930096623E-5</v>
      </c>
      <c r="Q15" s="343">
        <f t="shared" si="14"/>
        <v>71.080509909242522</v>
      </c>
      <c r="R15" s="344">
        <f t="shared" si="15"/>
        <v>-86.934322716113755</v>
      </c>
      <c r="S15" s="346">
        <f t="shared" si="16"/>
        <v>93.065677283886245</v>
      </c>
      <c r="U15" s="319">
        <f t="shared" si="23"/>
        <v>1000000000</v>
      </c>
      <c r="V15" s="319">
        <f t="shared" si="24"/>
        <v>1.4455252899999997</v>
      </c>
      <c r="X15" s="345">
        <f t="shared" si="17"/>
        <v>72.185437333038863</v>
      </c>
      <c r="Y15" s="346">
        <f t="shared" si="18"/>
        <v>-86.857683406702776</v>
      </c>
      <c r="AA15" s="345">
        <f t="shared" si="19"/>
        <v>47.769022560857913</v>
      </c>
      <c r="AB15" s="346">
        <f t="shared" si="20"/>
        <v>-7.6639309410989898E-2</v>
      </c>
      <c r="AD15">
        <f t="shared" si="25"/>
        <v>0</v>
      </c>
      <c r="AE15">
        <f t="shared" si="21"/>
        <v>0</v>
      </c>
    </row>
    <row r="16" spans="1:31" x14ac:dyDescent="0.2">
      <c r="A16" s="347">
        <v>1.3183</v>
      </c>
      <c r="B16" s="364">
        <f t="shared" si="22"/>
        <v>1.3183000000000001E-3</v>
      </c>
      <c r="C16" s="337">
        <f t="shared" si="0"/>
        <v>1.0000010639617885</v>
      </c>
      <c r="D16" s="338">
        <f t="shared" si="1"/>
        <v>1.4587397609751246E-3</v>
      </c>
      <c r="E16" s="338">
        <f t="shared" si="2"/>
        <v>1.0000000000054889</v>
      </c>
      <c r="F16" s="339">
        <f t="shared" si="3"/>
        <v>3.3132492723838765E-6</v>
      </c>
      <c r="G16" s="338">
        <f t="shared" si="4"/>
        <v>1</v>
      </c>
      <c r="H16" s="339">
        <f t="shared" si="5"/>
        <v>0</v>
      </c>
      <c r="I16" s="337">
        <f t="shared" si="6"/>
        <v>20.70089120177251</v>
      </c>
      <c r="J16" s="340">
        <f t="shared" si="7"/>
        <v>1.5224704200241519</v>
      </c>
      <c r="K16" s="348">
        <f t="shared" si="8"/>
        <v>1.0000020973239614</v>
      </c>
      <c r="L16" s="349">
        <f t="shared" si="9"/>
        <v>2.0480821740705758E-3</v>
      </c>
      <c r="M16" s="337">
        <f t="shared" si="10"/>
        <v>1.0000000000107674</v>
      </c>
      <c r="N16" s="340">
        <f t="shared" si="11"/>
        <v>4.6405509592997698E-6</v>
      </c>
      <c r="O16" s="341">
        <f t="shared" si="12"/>
        <v>1.0000000000438178</v>
      </c>
      <c r="P16" s="342">
        <f t="shared" si="13"/>
        <v>1.1236377507522764E-5</v>
      </c>
      <c r="Q16" s="343">
        <f t="shared" si="14"/>
        <v>70.282532782338905</v>
      </c>
      <c r="R16" s="344">
        <f t="shared" si="15"/>
        <v>-87.198082613366537</v>
      </c>
      <c r="S16" s="346">
        <f t="shared" si="16"/>
        <v>92.801917386633463</v>
      </c>
      <c r="U16" s="319">
        <f t="shared" si="23"/>
        <v>1000000000</v>
      </c>
      <c r="V16" s="319">
        <f t="shared" si="24"/>
        <v>1.7379148900000001</v>
      </c>
      <c r="X16" s="345">
        <f t="shared" si="17"/>
        <v>71.38746176098627</v>
      </c>
      <c r="Y16" s="346">
        <f t="shared" si="18"/>
        <v>-87.114049019750311</v>
      </c>
      <c r="AA16" s="345">
        <f t="shared" si="19"/>
        <v>47.769021006006881</v>
      </c>
      <c r="AB16" s="346">
        <f t="shared" si="20"/>
        <v>-8.4033593616233929E-2</v>
      </c>
      <c r="AD16">
        <f t="shared" si="25"/>
        <v>0</v>
      </c>
      <c r="AE16">
        <f t="shared" si="21"/>
        <v>0</v>
      </c>
    </row>
    <row r="17" spans="1:31" x14ac:dyDescent="0.2">
      <c r="A17" s="347">
        <v>1.4454</v>
      </c>
      <c r="B17" s="364">
        <f t="shared" si="22"/>
        <v>1.4454000000000001E-3</v>
      </c>
      <c r="C17" s="337">
        <f t="shared" si="0"/>
        <v>1.0000012790089419</v>
      </c>
      <c r="D17" s="338">
        <f t="shared" si="1"/>
        <v>1.5993796163502195E-3</v>
      </c>
      <c r="E17" s="338">
        <f t="shared" si="2"/>
        <v>1.0000000000065983</v>
      </c>
      <c r="F17" s="339">
        <f t="shared" si="3"/>
        <v>3.6326864130320209E-6</v>
      </c>
      <c r="G17" s="338">
        <f t="shared" si="4"/>
        <v>1</v>
      </c>
      <c r="H17" s="339">
        <f t="shared" si="5"/>
        <v>0</v>
      </c>
      <c r="I17" s="337">
        <f t="shared" si="6"/>
        <v>22.692253421299949</v>
      </c>
      <c r="J17" s="340">
        <f t="shared" si="7"/>
        <v>1.5267141491489309</v>
      </c>
      <c r="K17" s="348">
        <f t="shared" si="8"/>
        <v>1.0000025212332337</v>
      </c>
      <c r="L17" s="349">
        <f t="shared" si="9"/>
        <v>2.2455413318703166E-3</v>
      </c>
      <c r="M17" s="337">
        <f t="shared" si="10"/>
        <v>1.0000000000129436</v>
      </c>
      <c r="N17" s="340">
        <f t="shared" si="11"/>
        <v>5.0879559709945814E-6</v>
      </c>
      <c r="O17" s="341">
        <f t="shared" si="12"/>
        <v>1.0000000000526743</v>
      </c>
      <c r="P17" s="342">
        <f t="shared" si="13"/>
        <v>1.2319699650533745E-5</v>
      </c>
      <c r="Q17" s="343">
        <f t="shared" si="14"/>
        <v>69.484762952859896</v>
      </c>
      <c r="R17" s="344">
        <f t="shared" si="15"/>
        <v>-87.438044277469089</v>
      </c>
      <c r="S17" s="346">
        <f t="shared" si="16"/>
        <v>92.561955722530911</v>
      </c>
      <c r="U17" s="319">
        <f t="shared" si="23"/>
        <v>1000000000</v>
      </c>
      <c r="V17" s="319">
        <f t="shared" si="24"/>
        <v>2.0891811599999999</v>
      </c>
      <c r="X17" s="345">
        <f t="shared" si="17"/>
        <v>70.589693799448213</v>
      </c>
      <c r="Y17" s="346">
        <f t="shared" si="18"/>
        <v>-87.345908846312597</v>
      </c>
      <c r="AA17" s="345">
        <f t="shared" si="19"/>
        <v>47.769019138065943</v>
      </c>
      <c r="AB17" s="346">
        <f t="shared" si="20"/>
        <v>-9.2135431156483566E-2</v>
      </c>
      <c r="AD17">
        <f t="shared" si="25"/>
        <v>0</v>
      </c>
      <c r="AE17">
        <f t="shared" si="21"/>
        <v>0</v>
      </c>
    </row>
    <row r="18" spans="1:31" x14ac:dyDescent="0.2">
      <c r="A18" s="347">
        <v>1.5849</v>
      </c>
      <c r="B18" s="364">
        <f t="shared" si="22"/>
        <v>1.5849E-3</v>
      </c>
      <c r="C18" s="337">
        <f t="shared" si="0"/>
        <v>1.0000015378045961</v>
      </c>
      <c r="D18" s="338">
        <f t="shared" si="1"/>
        <v>1.753740360186807E-3</v>
      </c>
      <c r="E18" s="338">
        <f t="shared" si="2"/>
        <v>1.0000000000079332</v>
      </c>
      <c r="F18" s="339">
        <f t="shared" si="3"/>
        <v>3.9832881527669331E-6</v>
      </c>
      <c r="G18" s="338">
        <f t="shared" si="4"/>
        <v>1</v>
      </c>
      <c r="H18" s="339">
        <f t="shared" si="5"/>
        <v>0</v>
      </c>
      <c r="I18" s="337">
        <f t="shared" si="6"/>
        <v>24.878286314848115</v>
      </c>
      <c r="J18" s="340">
        <f t="shared" si="7"/>
        <v>1.5305898002831473</v>
      </c>
      <c r="K18" s="348">
        <f t="shared" si="8"/>
        <v>1.0000030313811272</v>
      </c>
      <c r="L18" s="349">
        <f t="shared" si="9"/>
        <v>2.462264595604789E-3</v>
      </c>
      <c r="M18" s="337">
        <f t="shared" si="10"/>
        <v>1.0000000000155627</v>
      </c>
      <c r="N18" s="340">
        <f t="shared" si="11"/>
        <v>5.5790102521206808E-6</v>
      </c>
      <c r="O18" s="341">
        <f t="shared" si="12"/>
        <v>1.0000000000633325</v>
      </c>
      <c r="P18" s="342">
        <f t="shared" si="13"/>
        <v>1.3508711758698468E-5</v>
      </c>
      <c r="Q18" s="343">
        <f t="shared" si="14"/>
        <v>68.685908403274695</v>
      </c>
      <c r="R18" s="344">
        <f t="shared" si="15"/>
        <v>-87.656605794098013</v>
      </c>
      <c r="S18" s="346">
        <f t="shared" si="16"/>
        <v>92.343394205901987</v>
      </c>
      <c r="U18" s="319">
        <f t="shared" si="23"/>
        <v>1000000000</v>
      </c>
      <c r="V18" s="319">
        <f t="shared" si="24"/>
        <v>2.51190801</v>
      </c>
      <c r="X18" s="345">
        <f t="shared" si="17"/>
        <v>69.790841497811314</v>
      </c>
      <c r="Y18" s="346">
        <f t="shared" si="18"/>
        <v>-87.555578106411417</v>
      </c>
      <c r="AA18" s="345">
        <f t="shared" si="19"/>
        <v>47.769016890117641</v>
      </c>
      <c r="AB18" s="346">
        <f t="shared" si="20"/>
        <v>-0.10102768768659198</v>
      </c>
      <c r="AD18">
        <f t="shared" si="25"/>
        <v>0</v>
      </c>
      <c r="AE18">
        <f t="shared" si="21"/>
        <v>0</v>
      </c>
    </row>
    <row r="19" spans="1:31" x14ac:dyDescent="0.2">
      <c r="A19" s="347">
        <v>1.7378</v>
      </c>
      <c r="B19" s="364">
        <f t="shared" si="22"/>
        <v>1.7378000000000001E-3</v>
      </c>
      <c r="C19" s="337">
        <f t="shared" si="0"/>
        <v>1.0000018488298399</v>
      </c>
      <c r="D19" s="338">
        <f t="shared" si="1"/>
        <v>1.9229284913892114E-3</v>
      </c>
      <c r="E19" s="338">
        <f t="shared" si="2"/>
        <v>1.0000000000095377</v>
      </c>
      <c r="F19" s="339">
        <f t="shared" si="3"/>
        <v>4.367567765708229E-6</v>
      </c>
      <c r="G19" s="338">
        <f t="shared" si="4"/>
        <v>1</v>
      </c>
      <c r="H19" s="339">
        <f t="shared" si="5"/>
        <v>0</v>
      </c>
      <c r="I19" s="337">
        <f t="shared" si="6"/>
        <v>27.274660868697193</v>
      </c>
      <c r="J19" s="340">
        <f t="shared" si="7"/>
        <v>1.5341240402812528</v>
      </c>
      <c r="K19" s="348">
        <f t="shared" si="8"/>
        <v>1.0000036444858154</v>
      </c>
      <c r="L19" s="349">
        <f t="shared" si="9"/>
        <v>2.6998054547887167E-3</v>
      </c>
      <c r="M19" s="337">
        <f t="shared" si="10"/>
        <v>1.0000000000187104</v>
      </c>
      <c r="N19" s="340">
        <f t="shared" si="11"/>
        <v>6.1172339050507755E-6</v>
      </c>
      <c r="O19" s="341">
        <f t="shared" si="12"/>
        <v>1.0000000000761418</v>
      </c>
      <c r="P19" s="342">
        <f t="shared" si="13"/>
        <v>1.4811937216297494E-5</v>
      </c>
      <c r="Q19" s="343">
        <f t="shared" si="14"/>
        <v>67.887133073741126</v>
      </c>
      <c r="R19" s="344">
        <f t="shared" si="15"/>
        <v>-87.855269996833485</v>
      </c>
      <c r="S19" s="346">
        <f t="shared" si="16"/>
        <v>92.144730003166515</v>
      </c>
      <c r="U19" s="319">
        <f t="shared" si="23"/>
        <v>1000000000</v>
      </c>
      <c r="V19" s="319">
        <f t="shared" si="24"/>
        <v>3.0199488400000001</v>
      </c>
      <c r="X19" s="345">
        <f t="shared" si="17"/>
        <v>68.992068869901445</v>
      </c>
      <c r="Y19" s="346">
        <f t="shared" si="18"/>
        <v>-87.744495891555644</v>
      </c>
      <c r="AA19" s="345">
        <f t="shared" si="19"/>
        <v>47.769014188493941</v>
      </c>
      <c r="AB19" s="346">
        <f t="shared" si="20"/>
        <v>-0.11077410527783227</v>
      </c>
      <c r="AD19">
        <f t="shared" si="25"/>
        <v>0</v>
      </c>
      <c r="AE19">
        <f t="shared" si="21"/>
        <v>0</v>
      </c>
    </row>
    <row r="20" spans="1:31" x14ac:dyDescent="0.2">
      <c r="A20" s="347">
        <v>1.9055</v>
      </c>
      <c r="B20" s="364">
        <f t="shared" si="22"/>
        <v>1.9055000000000001E-3</v>
      </c>
      <c r="C20" s="337">
        <f t="shared" si="0"/>
        <v>1.0000022228757151</v>
      </c>
      <c r="D20" s="338">
        <f t="shared" si="1"/>
        <v>2.1084931100467589E-3</v>
      </c>
      <c r="E20" s="338">
        <f t="shared" si="2"/>
        <v>1.0000000000114675</v>
      </c>
      <c r="F20" s="339">
        <f t="shared" si="3"/>
        <v>4.7890438356233884E-6</v>
      </c>
      <c r="G20" s="338">
        <f t="shared" si="4"/>
        <v>1</v>
      </c>
      <c r="H20" s="339">
        <f t="shared" si="5"/>
        <v>0</v>
      </c>
      <c r="I20" s="337">
        <f t="shared" si="6"/>
        <v>29.903319111187855</v>
      </c>
      <c r="J20" s="340">
        <f t="shared" si="7"/>
        <v>1.5373489868955839</v>
      </c>
      <c r="K20" s="348">
        <f t="shared" si="8"/>
        <v>1.0000043818189033</v>
      </c>
      <c r="L20" s="349">
        <f t="shared" si="9"/>
        <v>2.9603387992354858E-3</v>
      </c>
      <c r="M20" s="337">
        <f t="shared" si="10"/>
        <v>1.0000000000224958</v>
      </c>
      <c r="N20" s="340">
        <f t="shared" si="11"/>
        <v>6.7075550731067083E-6</v>
      </c>
      <c r="O20" s="341">
        <f t="shared" si="12"/>
        <v>1.0000000000915463</v>
      </c>
      <c r="P20" s="342">
        <f t="shared" si="13"/>
        <v>1.6241308761324026E-5</v>
      </c>
      <c r="Q20" s="343">
        <f t="shared" si="14"/>
        <v>67.087935507079152</v>
      </c>
      <c r="R20" s="344">
        <f t="shared" si="15"/>
        <v>-88.035842006681193</v>
      </c>
      <c r="S20" s="346">
        <f t="shared" si="16"/>
        <v>91.964157993318807</v>
      </c>
      <c r="U20" s="319">
        <f t="shared" si="23"/>
        <v>1000000000</v>
      </c>
      <c r="V20" s="319">
        <f t="shared" si="24"/>
        <v>3.63093025</v>
      </c>
      <c r="X20" s="345">
        <f t="shared" si="17"/>
        <v>68.192874552271078</v>
      </c>
      <c r="Y20" s="346">
        <f t="shared" si="18"/>
        <v>-87.914378083758209</v>
      </c>
      <c r="AA20" s="345">
        <f t="shared" si="19"/>
        <v>47.769010939462326</v>
      </c>
      <c r="AB20" s="346">
        <f t="shared" si="20"/>
        <v>-0.12146392292299343</v>
      </c>
      <c r="AD20">
        <f t="shared" si="25"/>
        <v>0</v>
      </c>
      <c r="AE20">
        <f t="shared" si="21"/>
        <v>0</v>
      </c>
    </row>
    <row r="21" spans="1:31" x14ac:dyDescent="0.2">
      <c r="A21" s="347">
        <v>2.0893000000000002</v>
      </c>
      <c r="B21" s="364">
        <f t="shared" si="22"/>
        <v>2.0893000000000001E-3</v>
      </c>
      <c r="C21" s="337">
        <f t="shared" si="0"/>
        <v>1.0000026723835262</v>
      </c>
      <c r="D21" s="338">
        <f t="shared" si="1"/>
        <v>2.3118726500584359E-3</v>
      </c>
      <c r="E21" s="338">
        <f t="shared" si="2"/>
        <v>1.0000000000137863</v>
      </c>
      <c r="F21" s="339">
        <f t="shared" si="3"/>
        <v>5.2509836188677394E-6</v>
      </c>
      <c r="G21" s="338">
        <f t="shared" si="4"/>
        <v>1</v>
      </c>
      <c r="H21" s="339">
        <f t="shared" si="5"/>
        <v>0</v>
      </c>
      <c r="I21" s="337">
        <f t="shared" si="6"/>
        <v>32.784638271713902</v>
      </c>
      <c r="J21" s="340">
        <f t="shared" si="7"/>
        <v>1.540289504679407</v>
      </c>
      <c r="K21" s="348">
        <f t="shared" si="8"/>
        <v>1.0000052679050011</v>
      </c>
      <c r="L21" s="349">
        <f t="shared" si="9"/>
        <v>3.2458841246954528E-3</v>
      </c>
      <c r="M21" s="337">
        <f t="shared" si="10"/>
        <v>1.0000000000270446</v>
      </c>
      <c r="N21" s="340">
        <f t="shared" si="11"/>
        <v>7.3545498893725239E-6</v>
      </c>
      <c r="O21" s="341">
        <f t="shared" si="12"/>
        <v>1.0000000001100586</v>
      </c>
      <c r="P21" s="342">
        <f t="shared" si="13"/>
        <v>1.7807906793339169E-5</v>
      </c>
      <c r="Q21" s="343">
        <f t="shared" si="14"/>
        <v>66.288919281931641</v>
      </c>
      <c r="R21" s="344">
        <f t="shared" si="15"/>
        <v>-88.199713875065896</v>
      </c>
      <c r="S21" s="346">
        <f t="shared" si="16"/>
        <v>91.800286124934104</v>
      </c>
      <c r="U21" s="319">
        <f t="shared" si="23"/>
        <v>1000000000</v>
      </c>
      <c r="V21" s="319">
        <f t="shared" si="24"/>
        <v>4.3651744900000002</v>
      </c>
      <c r="X21" s="345">
        <f t="shared" si="17"/>
        <v>67.39386223162991</v>
      </c>
      <c r="Y21" s="346">
        <f t="shared" si="18"/>
        <v>-88.066533870592082</v>
      </c>
      <c r="AA21" s="345">
        <f t="shared" si="19"/>
        <v>47.76900703495599</v>
      </c>
      <c r="AB21" s="346">
        <f t="shared" si="20"/>
        <v>-0.13318000447382103</v>
      </c>
      <c r="AD21">
        <f t="shared" si="25"/>
        <v>0</v>
      </c>
      <c r="AE21">
        <f t="shared" si="21"/>
        <v>0</v>
      </c>
    </row>
    <row r="22" spans="1:31" x14ac:dyDescent="0.2">
      <c r="A22" s="347">
        <v>2.2909000000000002</v>
      </c>
      <c r="B22" s="364">
        <f t="shared" si="22"/>
        <v>2.2909000000000002E-3</v>
      </c>
      <c r="C22" s="337">
        <f t="shared" si="0"/>
        <v>1.0000032129896346</v>
      </c>
      <c r="D22" s="338">
        <f t="shared" si="1"/>
        <v>2.5349481382407509E-3</v>
      </c>
      <c r="E22" s="338">
        <f t="shared" si="2"/>
        <v>1.0000000000165752</v>
      </c>
      <c r="F22" s="339">
        <f t="shared" si="3"/>
        <v>5.7576596814443777E-6</v>
      </c>
      <c r="G22" s="338">
        <f t="shared" si="4"/>
        <v>1</v>
      </c>
      <c r="H22" s="339">
        <f t="shared" si="5"/>
        <v>0</v>
      </c>
      <c r="I22" s="337">
        <f t="shared" si="6"/>
        <v>35.945268239113794</v>
      </c>
      <c r="J22" s="340">
        <f t="shared" si="7"/>
        <v>1.5429726635789078</v>
      </c>
      <c r="K22" s="348">
        <f t="shared" si="8"/>
        <v>1.0000063335668528</v>
      </c>
      <c r="L22" s="349">
        <f t="shared" si="9"/>
        <v>3.5590823043368715E-3</v>
      </c>
      <c r="M22" s="337">
        <f t="shared" si="10"/>
        <v>1.0000000000325158</v>
      </c>
      <c r="N22" s="340">
        <f t="shared" si="11"/>
        <v>8.0642025278811398E-6</v>
      </c>
      <c r="O22" s="341">
        <f t="shared" si="12"/>
        <v>1.000000000132323</v>
      </c>
      <c r="P22" s="342">
        <f t="shared" si="13"/>
        <v>1.9526221065614601E-5</v>
      </c>
      <c r="Q22" s="343">
        <f t="shared" si="14"/>
        <v>65.489497190285462</v>
      </c>
      <c r="R22" s="344">
        <f t="shared" si="15"/>
        <v>-88.348393987938024</v>
      </c>
      <c r="S22" s="346">
        <f t="shared" si="16"/>
        <v>91.651606012061976</v>
      </c>
      <c r="U22" s="319">
        <f t="shared" si="23"/>
        <v>1000000000</v>
      </c>
      <c r="V22" s="319">
        <f t="shared" si="24"/>
        <v>5.2482228100000006</v>
      </c>
      <c r="X22" s="345">
        <f t="shared" si="17"/>
        <v>66.594444835784074</v>
      </c>
      <c r="Y22" s="346">
        <f t="shared" si="18"/>
        <v>-88.20236327770813</v>
      </c>
      <c r="AA22" s="345">
        <f t="shared" si="19"/>
        <v>47.769002339155655</v>
      </c>
      <c r="AB22" s="346">
        <f t="shared" si="20"/>
        <v>-0.14603071022988476</v>
      </c>
      <c r="AD22">
        <f t="shared" si="25"/>
        <v>0</v>
      </c>
      <c r="AE22">
        <f t="shared" si="21"/>
        <v>0</v>
      </c>
    </row>
    <row r="23" spans="1:31" x14ac:dyDescent="0.2">
      <c r="A23" s="347">
        <v>2.5118999999999998</v>
      </c>
      <c r="B23" s="364">
        <f t="shared" si="22"/>
        <v>2.5118999999999996E-3</v>
      </c>
      <c r="C23" s="337">
        <f t="shared" si="0"/>
        <v>1.0000038627945569</v>
      </c>
      <c r="D23" s="338">
        <f t="shared" si="1"/>
        <v>2.7794899253643134E-3</v>
      </c>
      <c r="E23" s="338">
        <f t="shared" si="2"/>
        <v>1.0000000000199276</v>
      </c>
      <c r="F23" s="339">
        <f t="shared" si="3"/>
        <v>6.3130932619441298E-6</v>
      </c>
      <c r="G23" s="338">
        <f t="shared" si="4"/>
        <v>1</v>
      </c>
      <c r="H23" s="339">
        <f t="shared" si="5"/>
        <v>0</v>
      </c>
      <c r="I23" s="337">
        <f t="shared" si="6"/>
        <v>39.410293477198515</v>
      </c>
      <c r="J23" s="340">
        <f t="shared" si="7"/>
        <v>1.5454195216458484</v>
      </c>
      <c r="K23" s="348">
        <f t="shared" si="8"/>
        <v>1.0000076144845229</v>
      </c>
      <c r="L23" s="349">
        <f t="shared" si="9"/>
        <v>3.9024187899893183E-3</v>
      </c>
      <c r="M23" s="337">
        <f t="shared" si="10"/>
        <v>1.0000000000390918</v>
      </c>
      <c r="N23" s="340">
        <f t="shared" si="11"/>
        <v>8.8421451524273543E-6</v>
      </c>
      <c r="O23" s="341">
        <f t="shared" si="12"/>
        <v>1.0000000001590845</v>
      </c>
      <c r="P23" s="342">
        <f t="shared" si="13"/>
        <v>2.1409888992987502E-5</v>
      </c>
      <c r="Q23" s="343">
        <f t="shared" si="14"/>
        <v>64.690143869903267</v>
      </c>
      <c r="R23" s="344">
        <f t="shared" si="15"/>
        <v>-88.483048784182515</v>
      </c>
      <c r="S23" s="346">
        <f t="shared" si="16"/>
        <v>91.516951215817485</v>
      </c>
      <c r="U23" s="319">
        <f t="shared" si="23"/>
        <v>1000000000</v>
      </c>
      <c r="V23" s="319">
        <f t="shared" si="24"/>
        <v>6.309641609999999</v>
      </c>
      <c r="X23" s="345">
        <f t="shared" si="17"/>
        <v>65.795097159719077</v>
      </c>
      <c r="Y23" s="346">
        <f t="shared" si="18"/>
        <v>-88.32293075939748</v>
      </c>
      <c r="AA23" s="345">
        <f t="shared" si="19"/>
        <v>47.768996694838449</v>
      </c>
      <c r="AB23" s="346">
        <f t="shared" si="20"/>
        <v>-0.16011802478502873</v>
      </c>
      <c r="AD23">
        <f t="shared" si="25"/>
        <v>0</v>
      </c>
      <c r="AE23">
        <f t="shared" si="21"/>
        <v>0</v>
      </c>
    </row>
    <row r="24" spans="1:31" x14ac:dyDescent="0.2">
      <c r="A24" s="347">
        <v>2.7542</v>
      </c>
      <c r="B24" s="364">
        <f t="shared" si="22"/>
        <v>2.7542000000000001E-3</v>
      </c>
      <c r="C24" s="337">
        <f t="shared" si="0"/>
        <v>1.0000046439517325</v>
      </c>
      <c r="D24" s="338">
        <f t="shared" si="1"/>
        <v>3.0476002889466948E-3</v>
      </c>
      <c r="E24" s="338">
        <f t="shared" si="2"/>
        <v>1.0000000000239575</v>
      </c>
      <c r="F24" s="339">
        <f t="shared" si="3"/>
        <v>6.9220595811934437E-6</v>
      </c>
      <c r="G24" s="338">
        <f t="shared" si="4"/>
        <v>1</v>
      </c>
      <c r="H24" s="339">
        <f t="shared" si="5"/>
        <v>0</v>
      </c>
      <c r="I24" s="337">
        <f t="shared" si="6"/>
        <v>43.209503736721345</v>
      </c>
      <c r="J24" s="340">
        <f t="shared" si="7"/>
        <v>1.5476512035724201</v>
      </c>
      <c r="K24" s="348">
        <f t="shared" si="8"/>
        <v>1.0000091543271734</v>
      </c>
      <c r="L24" s="349">
        <f t="shared" si="9"/>
        <v>4.2788450168928975E-3</v>
      </c>
      <c r="M24" s="337">
        <f t="shared" si="10"/>
        <v>1.0000000000469971</v>
      </c>
      <c r="N24" s="340">
        <f t="shared" si="11"/>
        <v>9.695065957517049E-6</v>
      </c>
      <c r="O24" s="341">
        <f t="shared" si="12"/>
        <v>1.0000000001912555</v>
      </c>
      <c r="P24" s="342">
        <f t="shared" si="13"/>
        <v>2.3475105005573533E-5</v>
      </c>
      <c r="Q24" s="343">
        <f t="shared" si="14"/>
        <v>63.890758269330078</v>
      </c>
      <c r="R24" s="344">
        <f t="shared" si="15"/>
        <v>-88.604841003830998</v>
      </c>
      <c r="S24" s="346">
        <f t="shared" si="16"/>
        <v>91.395158996169002</v>
      </c>
      <c r="U24" s="319">
        <f t="shared" si="23"/>
        <v>1000000000</v>
      </c>
      <c r="V24" s="319">
        <f t="shared" si="24"/>
        <v>7.5856176399999997</v>
      </c>
      <c r="X24" s="345">
        <f t="shared" si="17"/>
        <v>64.99571834440647</v>
      </c>
      <c r="Y24" s="346">
        <f t="shared" si="18"/>
        <v>-88.429277949789963</v>
      </c>
      <c r="AA24" s="345">
        <f t="shared" si="19"/>
        <v>47.768989909577861</v>
      </c>
      <c r="AB24" s="346">
        <f t="shared" si="20"/>
        <v>-0.17556305404101114</v>
      </c>
      <c r="AD24">
        <f t="shared" si="25"/>
        <v>0</v>
      </c>
      <c r="AE24">
        <f t="shared" si="21"/>
        <v>0</v>
      </c>
    </row>
    <row r="25" spans="1:31" x14ac:dyDescent="0.2">
      <c r="A25" s="347">
        <v>3.02</v>
      </c>
      <c r="B25" s="364">
        <f t="shared" si="22"/>
        <v>3.0200000000000001E-3</v>
      </c>
      <c r="C25" s="337">
        <f t="shared" si="0"/>
        <v>1.0000055835502779</v>
      </c>
      <c r="D25" s="338">
        <f t="shared" si="1"/>
        <v>3.3417134221990306E-3</v>
      </c>
      <c r="E25" s="338">
        <f t="shared" si="2"/>
        <v>1.0000000000288047</v>
      </c>
      <c r="F25" s="339">
        <f t="shared" si="3"/>
        <v>7.5900878422542472E-6</v>
      </c>
      <c r="G25" s="338">
        <f t="shared" si="4"/>
        <v>1</v>
      </c>
      <c r="H25" s="339">
        <f t="shared" si="5"/>
        <v>0</v>
      </c>
      <c r="I25" s="337">
        <f t="shared" si="6"/>
        <v>47.377394681322251</v>
      </c>
      <c r="J25" s="340">
        <f t="shared" si="7"/>
        <v>1.5496876467309859</v>
      </c>
      <c r="K25" s="348">
        <f t="shared" si="8"/>
        <v>1.0000110064931027</v>
      </c>
      <c r="L25" s="349">
        <f t="shared" si="9"/>
        <v>4.6917783731079896E-3</v>
      </c>
      <c r="M25" s="337">
        <f t="shared" si="10"/>
        <v>1.0000000000565059</v>
      </c>
      <c r="N25" s="340">
        <f t="shared" si="11"/>
        <v>1.0630709168366815E-5</v>
      </c>
      <c r="O25" s="341">
        <f t="shared" si="12"/>
        <v>1.0000000002299521</v>
      </c>
      <c r="P25" s="342">
        <f t="shared" si="13"/>
        <v>2.5740620548764125E-5</v>
      </c>
      <c r="Q25" s="343">
        <f t="shared" si="14"/>
        <v>63.090928266976661</v>
      </c>
      <c r="R25" s="344">
        <f t="shared" si="15"/>
        <v>-88.714857842550444</v>
      </c>
      <c r="S25" s="346">
        <f t="shared" si="16"/>
        <v>91.285142157449556</v>
      </c>
      <c r="U25" s="319">
        <f t="shared" si="23"/>
        <v>1000000000</v>
      </c>
      <c r="V25" s="319">
        <f t="shared" si="24"/>
        <v>9.1204000000000001</v>
      </c>
      <c r="X25" s="345">
        <f t="shared" si="17"/>
        <v>64.195896503554607</v>
      </c>
      <c r="Y25" s="346">
        <f t="shared" si="18"/>
        <v>-88.522351817976244</v>
      </c>
      <c r="AA25" s="345">
        <f t="shared" si="19"/>
        <v>47.768981748076314</v>
      </c>
      <c r="AB25" s="346">
        <f t="shared" si="20"/>
        <v>-0.1925060245741908</v>
      </c>
      <c r="AD25">
        <f t="shared" si="25"/>
        <v>0</v>
      </c>
      <c r="AE25">
        <f t="shared" si="21"/>
        <v>0</v>
      </c>
    </row>
    <row r="26" spans="1:31" x14ac:dyDescent="0.2">
      <c r="A26" s="347">
        <v>3.3113000000000001</v>
      </c>
      <c r="B26" s="364">
        <f t="shared" si="22"/>
        <v>3.3113000000000001E-3</v>
      </c>
      <c r="C26" s="337">
        <f t="shared" si="0"/>
        <v>1.0000067126400276</v>
      </c>
      <c r="D26" s="338">
        <f t="shared" si="1"/>
        <v>3.6640421608399813E-3</v>
      </c>
      <c r="E26" s="338">
        <f t="shared" si="2"/>
        <v>1.0000000000346296</v>
      </c>
      <c r="F26" s="339">
        <f t="shared" si="3"/>
        <v>8.3222045933638715E-6</v>
      </c>
      <c r="G26" s="338">
        <f t="shared" si="4"/>
        <v>1</v>
      </c>
      <c r="H26" s="339">
        <f t="shared" si="5"/>
        <v>0</v>
      </c>
      <c r="I26" s="337">
        <f t="shared" si="6"/>
        <v>51.945327431358912</v>
      </c>
      <c r="J26" s="340">
        <f t="shared" si="7"/>
        <v>1.5515441278647786</v>
      </c>
      <c r="K26" s="348">
        <f t="shared" si="8"/>
        <v>1.0000132321877617</v>
      </c>
      <c r="L26" s="349">
        <f t="shared" si="9"/>
        <v>5.144325389073689E-3</v>
      </c>
      <c r="M26" s="337">
        <f t="shared" si="10"/>
        <v>1.0000000000679325</v>
      </c>
      <c r="N26" s="340">
        <f t="shared" si="11"/>
        <v>1.1656114989716847E-5</v>
      </c>
      <c r="O26" s="341">
        <f t="shared" si="12"/>
        <v>1.0000000002764524</v>
      </c>
      <c r="P26" s="342">
        <f t="shared" si="13"/>
        <v>2.8223482391080318E-5</v>
      </c>
      <c r="Q26" s="343">
        <f t="shared" si="14"/>
        <v>62.291431525807077</v>
      </c>
      <c r="R26" s="344">
        <f t="shared" si="15"/>
        <v>-88.813924480400033</v>
      </c>
      <c r="S26" s="346">
        <f t="shared" si="16"/>
        <v>91.186075519599967</v>
      </c>
      <c r="U26" s="319">
        <f t="shared" si="23"/>
        <v>1000000000</v>
      </c>
      <c r="V26" s="319">
        <f t="shared" si="24"/>
        <v>10.964707690000001</v>
      </c>
      <c r="X26" s="345">
        <f t="shared" si="17"/>
        <v>63.396409569826993</v>
      </c>
      <c r="Y26" s="346">
        <f t="shared" si="18"/>
        <v>-88.602850069159985</v>
      </c>
      <c r="AA26" s="345">
        <f t="shared" si="19"/>
        <v>47.768971940634344</v>
      </c>
      <c r="AB26" s="346">
        <f t="shared" si="20"/>
        <v>-0.21107441124003951</v>
      </c>
      <c r="AD26">
        <f t="shared" si="25"/>
        <v>0</v>
      </c>
      <c r="AE26">
        <f t="shared" si="21"/>
        <v>0</v>
      </c>
    </row>
    <row r="27" spans="1:31" x14ac:dyDescent="0.2">
      <c r="A27" s="347">
        <v>3.6307999999999998</v>
      </c>
      <c r="B27" s="364">
        <f t="shared" si="22"/>
        <v>3.6308E-3</v>
      </c>
      <c r="C27" s="337">
        <f t="shared" si="0"/>
        <v>1.0000080705040308</v>
      </c>
      <c r="D27" s="338">
        <f t="shared" si="1"/>
        <v>4.017573833491178E-3</v>
      </c>
      <c r="E27" s="338">
        <f t="shared" si="2"/>
        <v>1.0000000000416347</v>
      </c>
      <c r="F27" s="339">
        <f t="shared" si="3"/>
        <v>9.1251956746427164E-6</v>
      </c>
      <c r="G27" s="338">
        <f t="shared" si="4"/>
        <v>1</v>
      </c>
      <c r="H27" s="339">
        <f t="shared" si="5"/>
        <v>0</v>
      </c>
      <c r="I27" s="337">
        <f t="shared" si="6"/>
        <v>56.955641189385744</v>
      </c>
      <c r="J27" s="340">
        <f t="shared" si="7"/>
        <v>1.5532379012550255</v>
      </c>
      <c r="K27" s="348">
        <f t="shared" si="8"/>
        <v>1.0000159088456722</v>
      </c>
      <c r="L27" s="349">
        <f t="shared" si="9"/>
        <v>5.6406798819982028E-3</v>
      </c>
      <c r="M27" s="337">
        <f t="shared" si="10"/>
        <v>1.0000000000816742</v>
      </c>
      <c r="N27" s="340">
        <f t="shared" si="11"/>
        <v>1.2780787697966423E-5</v>
      </c>
      <c r="O27" s="341">
        <f t="shared" si="12"/>
        <v>1.0000000003323746</v>
      </c>
      <c r="P27" s="342">
        <f t="shared" si="13"/>
        <v>3.0946703670025614E-5</v>
      </c>
      <c r="Q27" s="343">
        <f t="shared" si="14"/>
        <v>61.491637835105955</v>
      </c>
      <c r="R27" s="344">
        <f t="shared" si="15"/>
        <v>-88.902961862480197</v>
      </c>
      <c r="S27" s="346">
        <f t="shared" si="16"/>
        <v>91.097038137519803</v>
      </c>
      <c r="U27" s="319">
        <f t="shared" si="23"/>
        <v>1000000000</v>
      </c>
      <c r="V27" s="319">
        <f t="shared" si="24"/>
        <v>13.182708639999998</v>
      </c>
      <c r="X27" s="345">
        <f t="shared" si="17"/>
        <v>62.596627673720448</v>
      </c>
      <c r="Y27" s="346">
        <f t="shared" si="18"/>
        <v>-88.671521557363747</v>
      </c>
      <c r="AA27" s="345">
        <f t="shared" si="19"/>
        <v>47.768960146039767</v>
      </c>
      <c r="AB27" s="346">
        <f t="shared" si="20"/>
        <v>-0.23144030511644495</v>
      </c>
      <c r="AD27">
        <f t="shared" si="25"/>
        <v>0</v>
      </c>
      <c r="AE27">
        <f t="shared" si="21"/>
        <v>0</v>
      </c>
    </row>
    <row r="28" spans="1:31" x14ac:dyDescent="0.2">
      <c r="A28" s="347">
        <v>3.9811000000000001</v>
      </c>
      <c r="B28" s="364">
        <f t="shared" si="22"/>
        <v>3.9811000000000004E-3</v>
      </c>
      <c r="C28" s="337">
        <f t="shared" si="0"/>
        <v>1.0000097029059993</v>
      </c>
      <c r="D28" s="338">
        <f t="shared" si="1"/>
        <v>4.4051850232679664E-3</v>
      </c>
      <c r="E28" s="338">
        <f t="shared" si="2"/>
        <v>1.000000000050056</v>
      </c>
      <c r="F28" s="339">
        <f t="shared" si="3"/>
        <v>1.0005595598798108E-5</v>
      </c>
      <c r="G28" s="338">
        <f t="shared" si="4"/>
        <v>1</v>
      </c>
      <c r="H28" s="339">
        <f t="shared" si="5"/>
        <v>0</v>
      </c>
      <c r="I28" s="337">
        <f t="shared" si="6"/>
        <v>62.449108530238512</v>
      </c>
      <c r="J28" s="340">
        <f t="shared" si="7"/>
        <v>1.5547826035456174</v>
      </c>
      <c r="K28" s="348">
        <f t="shared" si="8"/>
        <v>1.0000191266755036</v>
      </c>
      <c r="L28" s="349">
        <f t="shared" si="9"/>
        <v>6.1848800555244932E-3</v>
      </c>
      <c r="M28" s="337">
        <f t="shared" si="10"/>
        <v>1.0000000000981943</v>
      </c>
      <c r="N28" s="340">
        <f t="shared" si="11"/>
        <v>1.4013879559274472E-5</v>
      </c>
      <c r="O28" s="341">
        <f t="shared" si="12"/>
        <v>1.0000000003996035</v>
      </c>
      <c r="P28" s="342">
        <f t="shared" si="13"/>
        <v>3.3932445184651838E-5</v>
      </c>
      <c r="Q28" s="343">
        <f t="shared" si="14"/>
        <v>60.691861649720245</v>
      </c>
      <c r="R28" s="344">
        <f t="shared" si="15"/>
        <v>-88.982686174686279</v>
      </c>
      <c r="S28" s="346">
        <f t="shared" si="16"/>
        <v>91.017313825313721</v>
      </c>
      <c r="U28" s="319">
        <f t="shared" si="23"/>
        <v>1000000000</v>
      </c>
      <c r="V28" s="319">
        <f t="shared" si="24"/>
        <v>15.849157210000001</v>
      </c>
      <c r="X28" s="345">
        <f t="shared" si="17"/>
        <v>61.796865667582885</v>
      </c>
      <c r="Y28" s="346">
        <f t="shared" si="18"/>
        <v>-88.728916757090502</v>
      </c>
      <c r="AA28" s="345">
        <f t="shared" si="19"/>
        <v>47.768945966791627</v>
      </c>
      <c r="AB28" s="346">
        <f t="shared" si="20"/>
        <v>-0.25376941759578137</v>
      </c>
      <c r="AD28">
        <f t="shared" si="25"/>
        <v>0</v>
      </c>
      <c r="AE28">
        <f t="shared" si="21"/>
        <v>0</v>
      </c>
    </row>
    <row r="29" spans="1:31" x14ac:dyDescent="0.2">
      <c r="A29" s="347">
        <v>4.3651999999999997</v>
      </c>
      <c r="B29" s="364">
        <f t="shared" si="22"/>
        <v>4.3651999999999996E-3</v>
      </c>
      <c r="C29" s="337">
        <f t="shared" si="0"/>
        <v>1.0000116655042877</v>
      </c>
      <c r="D29" s="338">
        <f t="shared" si="1"/>
        <v>4.8301947963902379E-3</v>
      </c>
      <c r="E29" s="338">
        <f t="shared" si="2"/>
        <v>1.0000000000601807</v>
      </c>
      <c r="F29" s="339">
        <f t="shared" si="3"/>
        <v>1.097094418818384E-5</v>
      </c>
      <c r="G29" s="338">
        <f t="shared" si="4"/>
        <v>1</v>
      </c>
      <c r="H29" s="339">
        <f t="shared" si="5"/>
        <v>0</v>
      </c>
      <c r="I29" s="337">
        <f t="shared" si="6"/>
        <v>68.472775987751248</v>
      </c>
      <c r="J29" s="340">
        <f t="shared" si="7"/>
        <v>1.5561914632297982</v>
      </c>
      <c r="K29" s="348">
        <f t="shared" si="8"/>
        <v>1.000022995389471</v>
      </c>
      <c r="L29" s="349">
        <f t="shared" si="9"/>
        <v>6.781585186815881E-3</v>
      </c>
      <c r="M29" s="337">
        <f t="shared" si="10"/>
        <v>1.0000000001180562</v>
      </c>
      <c r="N29" s="340">
        <f t="shared" si="11"/>
        <v>1.536595088074525E-5</v>
      </c>
      <c r="O29" s="341">
        <f t="shared" si="12"/>
        <v>1.0000000004804317</v>
      </c>
      <c r="P29" s="342">
        <f t="shared" si="13"/>
        <v>3.7206277087694175E-5</v>
      </c>
      <c r="Q29" s="343">
        <f t="shared" si="14"/>
        <v>59.892044364201737</v>
      </c>
      <c r="R29" s="344">
        <f t="shared" si="15"/>
        <v>-89.053780203543411</v>
      </c>
      <c r="S29" s="346">
        <f t="shared" si="16"/>
        <v>90.946219796456589</v>
      </c>
      <c r="U29" s="319">
        <f t="shared" si="23"/>
        <v>1000000000</v>
      </c>
      <c r="V29" s="319">
        <f t="shared" si="24"/>
        <v>19.054971039999998</v>
      </c>
      <c r="X29" s="345">
        <f t="shared" si="17"/>
        <v>60.997065429408501</v>
      </c>
      <c r="Y29" s="346">
        <f t="shared" si="18"/>
        <v>-88.775527253316994</v>
      </c>
      <c r="AA29" s="345">
        <f t="shared" si="19"/>
        <v>47.76892891944749</v>
      </c>
      <c r="AB29" s="346">
        <f t="shared" si="20"/>
        <v>-0.2782529502264256</v>
      </c>
      <c r="AD29">
        <f t="shared" si="25"/>
        <v>0</v>
      </c>
      <c r="AE29">
        <f t="shared" si="21"/>
        <v>0</v>
      </c>
    </row>
    <row r="30" spans="1:31" x14ac:dyDescent="0.2">
      <c r="A30" s="347">
        <v>4.7862999999999998</v>
      </c>
      <c r="B30" s="364">
        <f t="shared" si="22"/>
        <v>4.7862999999999994E-3</v>
      </c>
      <c r="C30" s="337">
        <f t="shared" si="0"/>
        <v>1.0000140247311511</v>
      </c>
      <c r="D30" s="338">
        <f t="shared" si="1"/>
        <v>5.296143359463901E-3</v>
      </c>
      <c r="E30" s="338">
        <f t="shared" si="2"/>
        <v>1.0000000000723519</v>
      </c>
      <c r="F30" s="339">
        <f t="shared" si="3"/>
        <v>1.2029283919975773E-5</v>
      </c>
      <c r="G30" s="338">
        <f t="shared" si="4"/>
        <v>1</v>
      </c>
      <c r="H30" s="339">
        <f t="shared" si="5"/>
        <v>0</v>
      </c>
      <c r="I30" s="337">
        <f t="shared" si="6"/>
        <v>75.076827706064378</v>
      </c>
      <c r="J30" s="340">
        <f t="shared" si="7"/>
        <v>1.5574762438620431</v>
      </c>
      <c r="K30" s="348">
        <f t="shared" si="8"/>
        <v>1.0000276459360533</v>
      </c>
      <c r="L30" s="349">
        <f t="shared" si="9"/>
        <v>7.4357648098323558E-3</v>
      </c>
      <c r="M30" s="337">
        <f t="shared" si="10"/>
        <v>1.000000000141932</v>
      </c>
      <c r="N30" s="340">
        <f t="shared" si="11"/>
        <v>1.6848265989952427E-5</v>
      </c>
      <c r="O30" s="341">
        <f t="shared" si="12"/>
        <v>1.0000000005775946</v>
      </c>
      <c r="P30" s="342">
        <f t="shared" si="13"/>
        <v>4.0795474208704563E-5</v>
      </c>
      <c r="Q30" s="343">
        <f t="shared" si="14"/>
        <v>59.092304694531698</v>
      </c>
      <c r="R30" s="344">
        <f t="shared" si="15"/>
        <v>-89.116837803981866</v>
      </c>
      <c r="S30" s="346">
        <f t="shared" si="16"/>
        <v>90.883162196018134</v>
      </c>
      <c r="U30" s="319">
        <f t="shared" si="23"/>
        <v>1000000000</v>
      </c>
      <c r="V30" s="319">
        <f t="shared" si="24"/>
        <v>22.908667689999998</v>
      </c>
      <c r="X30" s="345">
        <f t="shared" si="17"/>
        <v>60.197346252197633</v>
      </c>
      <c r="Y30" s="346">
        <f t="shared" si="18"/>
        <v>-88.811742960143505</v>
      </c>
      <c r="AA30" s="345">
        <f t="shared" si="19"/>
        <v>47.768908426988325</v>
      </c>
      <c r="AB30" s="346">
        <f t="shared" si="20"/>
        <v>-0.30509484383835478</v>
      </c>
      <c r="AD30">
        <f t="shared" si="25"/>
        <v>0</v>
      </c>
      <c r="AE30">
        <f t="shared" si="21"/>
        <v>0</v>
      </c>
    </row>
    <row r="31" spans="1:31" x14ac:dyDescent="0.2">
      <c r="A31" s="347">
        <v>5.2481</v>
      </c>
      <c r="B31" s="364">
        <f t="shared" si="22"/>
        <v>5.2481000000000003E-3</v>
      </c>
      <c r="C31" s="337">
        <f t="shared" si="0"/>
        <v>1.0000168615812546</v>
      </c>
      <c r="D31" s="338">
        <f t="shared" si="1"/>
        <v>5.8071239577965105E-3</v>
      </c>
      <c r="E31" s="338">
        <f t="shared" si="2"/>
        <v>1.0000000000869869</v>
      </c>
      <c r="F31" s="339">
        <f t="shared" si="3"/>
        <v>1.3189913908407101E-5</v>
      </c>
      <c r="G31" s="338">
        <f t="shared" si="4"/>
        <v>1</v>
      </c>
      <c r="H31" s="339">
        <f t="shared" si="5"/>
        <v>0</v>
      </c>
      <c r="I31" s="337">
        <f t="shared" si="6"/>
        <v>82.31929027309512</v>
      </c>
      <c r="J31" s="340">
        <f t="shared" si="7"/>
        <v>1.5586482070377716</v>
      </c>
      <c r="K31" s="348">
        <f t="shared" si="8"/>
        <v>1.0000332379672703</v>
      </c>
      <c r="L31" s="349">
        <f t="shared" si="9"/>
        <v>8.1531646200756376E-3</v>
      </c>
      <c r="M31" s="337">
        <f t="shared" si="10"/>
        <v>1.0000000001706415</v>
      </c>
      <c r="N31" s="340">
        <f t="shared" si="11"/>
        <v>1.8473849265649244E-5</v>
      </c>
      <c r="O31" s="341">
        <f t="shared" si="12"/>
        <v>1.0000000006944283</v>
      </c>
      <c r="P31" s="342">
        <f t="shared" si="13"/>
        <v>4.4731573069323057E-5</v>
      </c>
      <c r="Q31" s="343">
        <f t="shared" si="14"/>
        <v>58.292414548088729</v>
      </c>
      <c r="R31" s="344">
        <f t="shared" si="15"/>
        <v>-89.172411559819963</v>
      </c>
      <c r="S31" s="346">
        <f t="shared" si="16"/>
        <v>90.827588440180037</v>
      </c>
      <c r="U31" s="319">
        <f t="shared" si="23"/>
        <v>1000000000</v>
      </c>
      <c r="V31" s="319">
        <f t="shared" si="24"/>
        <v>27.542553609999999</v>
      </c>
      <c r="X31" s="345">
        <f t="shared" si="17"/>
        <v>59.397480746828748</v>
      </c>
      <c r="Y31" s="346">
        <f t="shared" si="18"/>
        <v>-88.837880661597893</v>
      </c>
      <c r="AA31" s="345">
        <f t="shared" si="19"/>
        <v>47.768883785914234</v>
      </c>
      <c r="AB31" s="346">
        <f t="shared" si="20"/>
        <v>-0.33453089822206478</v>
      </c>
      <c r="AD31">
        <f t="shared" si="25"/>
        <v>0</v>
      </c>
      <c r="AE31">
        <f t="shared" si="21"/>
        <v>0</v>
      </c>
    </row>
    <row r="32" spans="1:31" x14ac:dyDescent="0.2">
      <c r="A32" s="347">
        <v>5.7544000000000004</v>
      </c>
      <c r="B32" s="364">
        <f t="shared" si="22"/>
        <v>5.7544000000000007E-3</v>
      </c>
      <c r="C32" s="337">
        <f t="shared" si="0"/>
        <v>1.0000202718530951</v>
      </c>
      <c r="D32" s="338">
        <f t="shared" si="1"/>
        <v>6.367340205204481E-3</v>
      </c>
      <c r="E32" s="338">
        <f t="shared" si="2"/>
        <v>1.0000000001045803</v>
      </c>
      <c r="F32" s="339">
        <f t="shared" si="3"/>
        <v>1.4462384595119682E-5</v>
      </c>
      <c r="G32" s="338">
        <f t="shared" si="4"/>
        <v>1</v>
      </c>
      <c r="H32" s="339">
        <f t="shared" si="5"/>
        <v>0</v>
      </c>
      <c r="I32" s="337">
        <f t="shared" si="6"/>
        <v>90.259759540040903</v>
      </c>
      <c r="J32" s="340">
        <f t="shared" si="7"/>
        <v>1.5597169658028476</v>
      </c>
      <c r="K32" s="348">
        <f t="shared" si="8"/>
        <v>1.0000399603135504</v>
      </c>
      <c r="L32" s="349">
        <f t="shared" si="9"/>
        <v>8.9396848833397571E-3</v>
      </c>
      <c r="M32" s="337">
        <f t="shared" si="10"/>
        <v>1.0000000002051543</v>
      </c>
      <c r="N32" s="340">
        <f t="shared" si="11"/>
        <v>2.0256077096817148E-5</v>
      </c>
      <c r="O32" s="341">
        <f t="shared" si="12"/>
        <v>1.0000000008348786</v>
      </c>
      <c r="P32" s="342">
        <f t="shared" si="13"/>
        <v>4.9046962529548162E-5</v>
      </c>
      <c r="Q32" s="343">
        <f t="shared" si="14"/>
        <v>57.492592218547536</v>
      </c>
      <c r="R32" s="344">
        <f t="shared" si="15"/>
        <v>-89.220957121972447</v>
      </c>
      <c r="S32" s="346">
        <f t="shared" si="16"/>
        <v>90.779042878027553</v>
      </c>
      <c r="U32" s="319">
        <f t="shared" si="23"/>
        <v>1000000000</v>
      </c>
      <c r="V32" s="319">
        <f t="shared" si="24"/>
        <v>33.113119360000006</v>
      </c>
      <c r="X32" s="345">
        <f t="shared" si="17"/>
        <v>58.597688039049558</v>
      </c>
      <c r="Y32" s="346">
        <f t="shared" si="18"/>
        <v>-88.854153850719243</v>
      </c>
      <c r="AA32" s="345">
        <f t="shared" si="19"/>
        <v>47.768854164152231</v>
      </c>
      <c r="AB32" s="346">
        <f t="shared" si="20"/>
        <v>-0.36680327125319812</v>
      </c>
      <c r="AD32">
        <f t="shared" si="25"/>
        <v>0</v>
      </c>
      <c r="AE32">
        <f t="shared" si="21"/>
        <v>0</v>
      </c>
    </row>
    <row r="33" spans="1:31" x14ac:dyDescent="0.2">
      <c r="A33" s="347">
        <v>6.3095999999999997</v>
      </c>
      <c r="B33" s="364">
        <f t="shared" si="22"/>
        <v>6.3095999999999994E-3</v>
      </c>
      <c r="C33" s="337">
        <f t="shared" si="0"/>
        <v>1.0000243722778754</v>
      </c>
      <c r="D33" s="338">
        <f t="shared" si="1"/>
        <v>6.9816592410419064E-3</v>
      </c>
      <c r="E33" s="338">
        <f t="shared" si="2"/>
        <v>1.0000000001257341</v>
      </c>
      <c r="F33" s="339">
        <f t="shared" si="3"/>
        <v>1.5857754386222758E-5</v>
      </c>
      <c r="G33" s="338">
        <f t="shared" si="4"/>
        <v>1</v>
      </c>
      <c r="H33" s="339">
        <f t="shared" si="5"/>
        <v>0</v>
      </c>
      <c r="I33" s="337">
        <f t="shared" si="6"/>
        <v>98.96724215491173</v>
      </c>
      <c r="J33" s="340">
        <f t="shared" si="7"/>
        <v>1.5606918013445141</v>
      </c>
      <c r="K33" s="348">
        <f t="shared" si="8"/>
        <v>1.0000480430635563</v>
      </c>
      <c r="L33" s="349">
        <f t="shared" si="9"/>
        <v>9.8021569247359417E-3</v>
      </c>
      <c r="M33" s="337">
        <f t="shared" si="10"/>
        <v>1.0000000002466518</v>
      </c>
      <c r="N33" s="340">
        <f t="shared" si="11"/>
        <v>2.221043793384917E-5</v>
      </c>
      <c r="O33" s="341">
        <f t="shared" si="12"/>
        <v>1.0000000010037531</v>
      </c>
      <c r="P33" s="342">
        <f t="shared" si="13"/>
        <v>5.3779145479854259E-5</v>
      </c>
      <c r="Q33" s="343">
        <f t="shared" si="14"/>
        <v>56.692680882812148</v>
      </c>
      <c r="R33" s="344">
        <f t="shared" si="15"/>
        <v>-89.262896126323866</v>
      </c>
      <c r="S33" s="346">
        <f t="shared" si="16"/>
        <v>90.737103873676134</v>
      </c>
      <c r="U33" s="319">
        <f t="shared" si="23"/>
        <v>1000000000</v>
      </c>
      <c r="V33" s="319">
        <f t="shared" si="24"/>
        <v>39.811052159999996</v>
      </c>
      <c r="X33" s="345">
        <f t="shared" si="17"/>
        <v>57.79781231963937</v>
      </c>
      <c r="Y33" s="346">
        <f t="shared" si="18"/>
        <v>-88.860703781691157</v>
      </c>
      <c r="AA33" s="345">
        <f t="shared" si="19"/>
        <v>47.768818547827038</v>
      </c>
      <c r="AB33" s="346">
        <f t="shared" si="20"/>
        <v>-0.40219234463271253</v>
      </c>
      <c r="AD33">
        <f t="shared" si="25"/>
        <v>0</v>
      </c>
      <c r="AE33">
        <f t="shared" si="21"/>
        <v>0</v>
      </c>
    </row>
    <row r="34" spans="1:31" x14ac:dyDescent="0.2">
      <c r="A34" s="347">
        <v>6.9183000000000003</v>
      </c>
      <c r="B34" s="364">
        <f t="shared" si="22"/>
        <v>6.9183000000000005E-3</v>
      </c>
      <c r="C34" s="337">
        <f t="shared" si="0"/>
        <v>1.0000293015217743</v>
      </c>
      <c r="D34" s="338">
        <f t="shared" si="1"/>
        <v>7.6551690130982394E-3</v>
      </c>
      <c r="E34" s="338">
        <f t="shared" si="2"/>
        <v>1.000000000151164</v>
      </c>
      <c r="F34" s="339">
        <f t="shared" si="3"/>
        <v>1.7387584342643752E-5</v>
      </c>
      <c r="G34" s="338">
        <f t="shared" si="4"/>
        <v>1</v>
      </c>
      <c r="H34" s="339">
        <f t="shared" si="5"/>
        <v>0</v>
      </c>
      <c r="I34" s="337">
        <f t="shared" si="6"/>
        <v>108.51388224751254</v>
      </c>
      <c r="J34" s="340">
        <f t="shared" si="7"/>
        <v>1.5615807855775441</v>
      </c>
      <c r="K34" s="348">
        <f t="shared" si="8"/>
        <v>1.0000577595377282</v>
      </c>
      <c r="L34" s="349">
        <f t="shared" si="9"/>
        <v>1.0747721407671733E-2</v>
      </c>
      <c r="M34" s="337">
        <f t="shared" si="10"/>
        <v>1.0000000002965375</v>
      </c>
      <c r="N34" s="340">
        <f t="shared" si="11"/>
        <v>2.4353124247597076E-5</v>
      </c>
      <c r="O34" s="341">
        <f t="shared" si="12"/>
        <v>1.0000000012067631</v>
      </c>
      <c r="P34" s="342">
        <f t="shared" si="13"/>
        <v>5.896732948745031E-5</v>
      </c>
      <c r="Q34" s="343">
        <f t="shared" si="14"/>
        <v>55.892845798483826</v>
      </c>
      <c r="R34" s="344">
        <f t="shared" si="15"/>
        <v>-89.298575959370581</v>
      </c>
      <c r="S34" s="346">
        <f t="shared" si="16"/>
        <v>90.701424040629419</v>
      </c>
      <c r="U34" s="319">
        <f t="shared" si="23"/>
        <v>1000000000</v>
      </c>
      <c r="V34" s="319">
        <f t="shared" si="24"/>
        <v>47.862874890000008</v>
      </c>
      <c r="X34" s="345">
        <f t="shared" si="17"/>
        <v>56.998020050573011</v>
      </c>
      <c r="Y34" s="346">
        <f t="shared" si="18"/>
        <v>-88.8575847390468</v>
      </c>
      <c r="AA34" s="345">
        <f t="shared" si="19"/>
        <v>47.768775732565075</v>
      </c>
      <c r="AB34" s="346">
        <f t="shared" si="20"/>
        <v>-0.44099122032378962</v>
      </c>
      <c r="AD34">
        <f t="shared" si="25"/>
        <v>0</v>
      </c>
      <c r="AE34">
        <f t="shared" si="21"/>
        <v>0</v>
      </c>
    </row>
    <row r="35" spans="1:31" x14ac:dyDescent="0.2">
      <c r="A35" s="347">
        <v>7.5857999999999999</v>
      </c>
      <c r="B35" s="364">
        <f t="shared" si="22"/>
        <v>7.5858000000000002E-3</v>
      </c>
      <c r="C35" s="337">
        <f t="shared" si="0"/>
        <v>1.000035228397224</v>
      </c>
      <c r="D35" s="338">
        <f t="shared" si="1"/>
        <v>8.3937313579986166E-3</v>
      </c>
      <c r="E35" s="338">
        <f t="shared" si="2"/>
        <v>1.0000000001817408</v>
      </c>
      <c r="F35" s="339">
        <f t="shared" si="3"/>
        <v>1.9065194817186049E-5</v>
      </c>
      <c r="G35" s="338">
        <f t="shared" si="4"/>
        <v>1</v>
      </c>
      <c r="H35" s="339">
        <f t="shared" si="5"/>
        <v>0</v>
      </c>
      <c r="I35" s="337">
        <f t="shared" si="6"/>
        <v>118.98280318599377</v>
      </c>
      <c r="J35" s="340">
        <f t="shared" si="7"/>
        <v>1.5623916519476666</v>
      </c>
      <c r="K35" s="348">
        <f t="shared" si="8"/>
        <v>1.0000694424712269</v>
      </c>
      <c r="L35" s="349">
        <f t="shared" si="9"/>
        <v>1.1784604610889834E-2</v>
      </c>
      <c r="M35" s="337">
        <f t="shared" si="10"/>
        <v>1.0000000003565195</v>
      </c>
      <c r="N35" s="340">
        <f t="shared" si="11"/>
        <v>2.6702792580552238E-5</v>
      </c>
      <c r="O35" s="341">
        <f t="shared" si="12"/>
        <v>1.0000000014508619</v>
      </c>
      <c r="P35" s="342">
        <f t="shared" si="13"/>
        <v>6.4656688488378273E-5</v>
      </c>
      <c r="Q35" s="343">
        <f t="shared" si="14"/>
        <v>55.092917883580739</v>
      </c>
      <c r="R35" s="344">
        <f t="shared" si="15"/>
        <v>-89.328307136377106</v>
      </c>
      <c r="S35" s="346">
        <f t="shared" si="16"/>
        <v>90.671692863622894</v>
      </c>
      <c r="U35" s="319">
        <f t="shared" si="23"/>
        <v>1000000000</v>
      </c>
      <c r="V35" s="319">
        <f t="shared" si="24"/>
        <v>57.544361639999998</v>
      </c>
      <c r="X35" s="345">
        <f t="shared" si="17"/>
        <v>56.198143616049649</v>
      </c>
      <c r="Y35" s="346">
        <f t="shared" si="18"/>
        <v>-88.84476955447559</v>
      </c>
      <c r="AA35" s="345">
        <f t="shared" si="19"/>
        <v>47.768724252185351</v>
      </c>
      <c r="AB35" s="346">
        <f t="shared" si="20"/>
        <v>-0.4835375819015128</v>
      </c>
      <c r="AD35">
        <f t="shared" si="25"/>
        <v>0</v>
      </c>
      <c r="AE35">
        <f t="shared" si="21"/>
        <v>0</v>
      </c>
    </row>
    <row r="36" spans="1:31" x14ac:dyDescent="0.2">
      <c r="A36" s="347">
        <v>8.3176000000000005</v>
      </c>
      <c r="B36" s="364">
        <f t="shared" si="22"/>
        <v>8.3176000000000014E-3</v>
      </c>
      <c r="C36" s="337">
        <f t="shared" si="0"/>
        <v>1.000042353043362</v>
      </c>
      <c r="D36" s="338">
        <f t="shared" si="1"/>
        <v>9.2034285566986937E-3</v>
      </c>
      <c r="E36" s="338">
        <f t="shared" si="2"/>
        <v>1.0000000002184972</v>
      </c>
      <c r="F36" s="339">
        <f t="shared" si="3"/>
        <v>2.0904408817466969E-5</v>
      </c>
      <c r="G36" s="338">
        <f t="shared" si="4"/>
        <v>1</v>
      </c>
      <c r="H36" s="339">
        <f t="shared" si="5"/>
        <v>0</v>
      </c>
      <c r="I36" s="337">
        <f t="shared" si="6"/>
        <v>130.46026574116334</v>
      </c>
      <c r="J36" s="340">
        <f t="shared" si="7"/>
        <v>1.5631310826146299</v>
      </c>
      <c r="K36" s="348">
        <f t="shared" si="8"/>
        <v>1.0000834863363746</v>
      </c>
      <c r="L36" s="349">
        <f t="shared" si="9"/>
        <v>1.2921341144111956E-2</v>
      </c>
      <c r="M36" s="337">
        <f t="shared" si="10"/>
        <v>1.000000000428624</v>
      </c>
      <c r="N36" s="340">
        <f t="shared" si="11"/>
        <v>2.9278803495653045E-5</v>
      </c>
      <c r="O36" s="341">
        <f t="shared" si="12"/>
        <v>1.0000000017442927</v>
      </c>
      <c r="P36" s="342">
        <f t="shared" si="13"/>
        <v>7.089410109532466E-5</v>
      </c>
      <c r="Q36" s="343">
        <f t="shared" si="14"/>
        <v>54.293096727076176</v>
      </c>
      <c r="R36" s="344">
        <f t="shared" si="15"/>
        <v>-89.352335012032256</v>
      </c>
      <c r="S36" s="346">
        <f t="shared" si="16"/>
        <v>90.647664987967744</v>
      </c>
      <c r="U36" s="319">
        <f t="shared" si="23"/>
        <v>1000000000</v>
      </c>
      <c r="V36" s="319">
        <f t="shared" si="24"/>
        <v>69.182469760000004</v>
      </c>
      <c r="X36" s="345">
        <f t="shared" si="17"/>
        <v>55.398384343264169</v>
      </c>
      <c r="Y36" s="346">
        <f t="shared" si="18"/>
        <v>-88.822153199690732</v>
      </c>
      <c r="AA36" s="345">
        <f t="shared" si="19"/>
        <v>47.768662368466259</v>
      </c>
      <c r="AB36" s="346">
        <f t="shared" si="20"/>
        <v>-0.53018181234151385</v>
      </c>
      <c r="AD36">
        <f t="shared" si="25"/>
        <v>0</v>
      </c>
      <c r="AE36">
        <f t="shared" si="21"/>
        <v>0</v>
      </c>
    </row>
    <row r="37" spans="1:31" x14ac:dyDescent="0.2">
      <c r="A37" s="347">
        <v>9.1201000000000008</v>
      </c>
      <c r="B37" s="364">
        <f t="shared" si="22"/>
        <v>9.1201000000000008E-3</v>
      </c>
      <c r="C37" s="337">
        <f t="shared" si="0"/>
        <v>1.0000509197076313</v>
      </c>
      <c r="D37" s="338">
        <f t="shared" si="1"/>
        <v>1.0091337576818326E-2</v>
      </c>
      <c r="E37" s="338">
        <f t="shared" si="2"/>
        <v>1.0000000002626932</v>
      </c>
      <c r="F37" s="339">
        <f t="shared" si="3"/>
        <v>2.2921311297797821E-5</v>
      </c>
      <c r="G37" s="338">
        <f t="shared" si="4"/>
        <v>1</v>
      </c>
      <c r="H37" s="339">
        <f t="shared" si="5"/>
        <v>0</v>
      </c>
      <c r="I37" s="337">
        <f t="shared" si="6"/>
        <v>143.04664673789964</v>
      </c>
      <c r="J37" s="340">
        <f t="shared" si="7"/>
        <v>1.5638055432426299</v>
      </c>
      <c r="K37" s="348">
        <f t="shared" si="8"/>
        <v>1.0001003725309832</v>
      </c>
      <c r="L37" s="349">
        <f t="shared" si="9"/>
        <v>1.4167860541705974E-2</v>
      </c>
      <c r="M37" s="337">
        <f t="shared" si="10"/>
        <v>1.0000000005153233</v>
      </c>
      <c r="N37" s="340">
        <f t="shared" si="11"/>
        <v>3.2103685647935876E-5</v>
      </c>
      <c r="O37" s="341">
        <f t="shared" si="12"/>
        <v>1.000000002097116</v>
      </c>
      <c r="P37" s="342">
        <f t="shared" si="13"/>
        <v>7.7734116966540767E-5</v>
      </c>
      <c r="Q37" s="343">
        <f t="shared" si="14"/>
        <v>53.493180519773503</v>
      </c>
      <c r="R37" s="344">
        <f t="shared" si="15"/>
        <v>-89.370870096233048</v>
      </c>
      <c r="S37" s="346">
        <f t="shared" si="16"/>
        <v>90.629129903766952</v>
      </c>
      <c r="U37" s="319">
        <f t="shared" si="23"/>
        <v>1000000000</v>
      </c>
      <c r="V37" s="319">
        <f t="shared" si="24"/>
        <v>83.176224010000013</v>
      </c>
      <c r="X37" s="345">
        <f t="shared" si="17"/>
        <v>54.598542544272604</v>
      </c>
      <c r="Y37" s="346">
        <f t="shared" si="18"/>
        <v>-88.789538500347234</v>
      </c>
      <c r="AA37" s="345">
        <f t="shared" si="19"/>
        <v>47.768587960155159</v>
      </c>
      <c r="AB37" s="346">
        <f t="shared" si="20"/>
        <v>-0.58133159588582317</v>
      </c>
      <c r="AD37">
        <f t="shared" si="25"/>
        <v>0</v>
      </c>
      <c r="AE37">
        <f t="shared" si="21"/>
        <v>0</v>
      </c>
    </row>
    <row r="38" spans="1:31" x14ac:dyDescent="0.2">
      <c r="A38" s="347">
        <v>10</v>
      </c>
      <c r="B38" s="364">
        <f t="shared" si="22"/>
        <v>0.01</v>
      </c>
      <c r="C38" s="337">
        <f t="shared" si="0"/>
        <v>1.000061218750951</v>
      </c>
      <c r="D38" s="338">
        <f t="shared" si="1"/>
        <v>1.1064865837534374E-2</v>
      </c>
      <c r="E38" s="338">
        <f t="shared" si="2"/>
        <v>1.0000000003158274</v>
      </c>
      <c r="F38" s="339">
        <f t="shared" si="3"/>
        <v>2.5132741194708266E-5</v>
      </c>
      <c r="G38" s="338">
        <f t="shared" si="4"/>
        <v>1</v>
      </c>
      <c r="H38" s="339">
        <f t="shared" si="5"/>
        <v>0</v>
      </c>
      <c r="I38" s="337">
        <f t="shared" si="6"/>
        <v>156.84702874376194</v>
      </c>
      <c r="J38" s="340">
        <f t="shared" si="7"/>
        <v>1.564420644813999</v>
      </c>
      <c r="K38" s="348">
        <f t="shared" si="8"/>
        <v>1.0001206733215151</v>
      </c>
      <c r="L38" s="349">
        <f t="shared" si="9"/>
        <v>1.5534554240300921E-2</v>
      </c>
      <c r="M38" s="337">
        <f t="shared" si="10"/>
        <v>1.000000000619556</v>
      </c>
      <c r="N38" s="340">
        <f t="shared" si="11"/>
        <v>3.5201023723100657E-5</v>
      </c>
      <c r="O38" s="341">
        <f t="shared" si="12"/>
        <v>1.0000000025212927</v>
      </c>
      <c r="P38" s="342">
        <f t="shared" si="13"/>
        <v>8.5233842775191501E-5</v>
      </c>
      <c r="Q38" s="343">
        <f t="shared" si="14"/>
        <v>52.69329508838063</v>
      </c>
      <c r="R38" s="344">
        <f t="shared" si="15"/>
        <v>-89.384066561454574</v>
      </c>
      <c r="S38" s="346">
        <f t="shared" si="16"/>
        <v>90.615933438545426</v>
      </c>
      <c r="U38" s="319">
        <f t="shared" si="23"/>
        <v>1000000000</v>
      </c>
      <c r="V38" s="319">
        <f t="shared" si="24"/>
        <v>100</v>
      </c>
      <c r="X38" s="345">
        <f t="shared" si="17"/>
        <v>53.798746567440752</v>
      </c>
      <c r="Y38" s="346">
        <f t="shared" si="18"/>
        <v>-88.746652907892354</v>
      </c>
      <c r="AA38" s="345">
        <f t="shared" si="19"/>
        <v>47.768498505594138</v>
      </c>
      <c r="AB38" s="346">
        <f t="shared" si="20"/>
        <v>-0.63741365356220647</v>
      </c>
      <c r="AD38">
        <f t="shared" si="25"/>
        <v>0</v>
      </c>
      <c r="AE38">
        <f t="shared" si="21"/>
        <v>0</v>
      </c>
    </row>
    <row r="39" spans="1:31" x14ac:dyDescent="0.2">
      <c r="A39" s="347">
        <v>10.965</v>
      </c>
      <c r="B39" s="364">
        <f t="shared" si="22"/>
        <v>1.0964999999999999E-2</v>
      </c>
      <c r="C39" s="337">
        <f t="shared" si="0"/>
        <v>1.0000736035984275</v>
      </c>
      <c r="D39" s="338">
        <f t="shared" si="1"/>
        <v>1.2132525222411783E-2</v>
      </c>
      <c r="E39" s="338">
        <f t="shared" si="2"/>
        <v>1.0000000003797229</v>
      </c>
      <c r="F39" s="339">
        <f t="shared" si="3"/>
        <v>2.7558050718823716E-5</v>
      </c>
      <c r="G39" s="338">
        <f t="shared" si="4"/>
        <v>1</v>
      </c>
      <c r="H39" s="339">
        <f t="shared" si="5"/>
        <v>0</v>
      </c>
      <c r="I39" s="337">
        <f t="shared" si="6"/>
        <v>171.98217884059298</v>
      </c>
      <c r="J39" s="340">
        <f t="shared" si="7"/>
        <v>1.5649817380876789</v>
      </c>
      <c r="K39" s="348">
        <f t="shared" si="8"/>
        <v>1.0001450852419078</v>
      </c>
      <c r="L39" s="349">
        <f t="shared" si="9"/>
        <v>1.7033361537867303E-2</v>
      </c>
      <c r="M39" s="337">
        <f t="shared" si="10"/>
        <v>1.0000000007448997</v>
      </c>
      <c r="N39" s="340">
        <f t="shared" si="11"/>
        <v>3.8597922509154532E-5</v>
      </c>
      <c r="O39" s="341">
        <f t="shared" si="12"/>
        <v>1.0000000030313811</v>
      </c>
      <c r="P39" s="342">
        <f t="shared" si="13"/>
        <v>9.3458908578218845E-5</v>
      </c>
      <c r="Q39" s="343">
        <f t="shared" si="14"/>
        <v>51.893256513638029</v>
      </c>
      <c r="R39" s="344">
        <f t="shared" si="15"/>
        <v>-89.39203881173664</v>
      </c>
      <c r="S39" s="346">
        <f t="shared" si="16"/>
        <v>90.60796118826336</v>
      </c>
      <c r="U39" s="319">
        <f t="shared" si="23"/>
        <v>1000000000</v>
      </c>
      <c r="V39" s="319">
        <f t="shared" si="24"/>
        <v>120.23122499999999</v>
      </c>
      <c r="X39" s="345">
        <f t="shared" si="17"/>
        <v>52.998815562740937</v>
      </c>
      <c r="Y39" s="346">
        <f t="shared" si="18"/>
        <v>-88.693120479836153</v>
      </c>
      <c r="AA39" s="345">
        <f t="shared" si="19"/>
        <v>47.768390935551352</v>
      </c>
      <c r="AB39" s="346">
        <f t="shared" si="20"/>
        <v>-0.69891833190048103</v>
      </c>
      <c r="AD39">
        <f t="shared" si="25"/>
        <v>0</v>
      </c>
      <c r="AE39">
        <f t="shared" si="21"/>
        <v>0</v>
      </c>
    </row>
    <row r="40" spans="1:31" x14ac:dyDescent="0.2">
      <c r="A40" s="347">
        <v>12.023</v>
      </c>
      <c r="B40" s="364">
        <f t="shared" si="22"/>
        <v>1.2022999999999999E-2</v>
      </c>
      <c r="C40" s="337">
        <f t="shared" si="0"/>
        <v>1.000088492046024</v>
      </c>
      <c r="D40" s="338">
        <f t="shared" si="1"/>
        <v>1.3303046328940466E-2</v>
      </c>
      <c r="E40" s="338">
        <f t="shared" si="2"/>
        <v>1.0000000004565364</v>
      </c>
      <c r="F40" s="339">
        <f t="shared" si="3"/>
        <v>3.0217094735563201E-5</v>
      </c>
      <c r="G40" s="338">
        <f t="shared" si="4"/>
        <v>1</v>
      </c>
      <c r="H40" s="339">
        <f t="shared" si="5"/>
        <v>0</v>
      </c>
      <c r="I40" s="337">
        <f t="shared" si="6"/>
        <v>188.57600137391398</v>
      </c>
      <c r="J40" s="340">
        <f t="shared" si="7"/>
        <v>1.5654934002317711</v>
      </c>
      <c r="K40" s="348">
        <f t="shared" si="8"/>
        <v>1.0001744316497843</v>
      </c>
      <c r="L40" s="349">
        <f t="shared" si="9"/>
        <v>1.8676525277688757E-2</v>
      </c>
      <c r="M40" s="337">
        <f t="shared" si="10"/>
        <v>1.0000000008955838</v>
      </c>
      <c r="N40" s="340">
        <f t="shared" si="11"/>
        <v>4.2322190814495856E-5</v>
      </c>
      <c r="O40" s="341">
        <f t="shared" si="12"/>
        <v>1.0000000036445926</v>
      </c>
      <c r="P40" s="342">
        <f t="shared" si="13"/>
        <v>1.0247664910878101E-4</v>
      </c>
      <c r="Q40" s="343">
        <f t="shared" si="14"/>
        <v>51.093322540507238</v>
      </c>
      <c r="R40" s="344">
        <f t="shared" si="15"/>
        <v>-89.394852176356423</v>
      </c>
      <c r="S40" s="346">
        <f t="shared" si="16"/>
        <v>90.605147823643577</v>
      </c>
      <c r="U40" s="319">
        <f t="shared" si="23"/>
        <v>1000000000</v>
      </c>
      <c r="V40" s="319">
        <f t="shared" si="24"/>
        <v>144.55252899999999</v>
      </c>
      <c r="X40" s="345">
        <f t="shared" si="17"/>
        <v>52.199010903201739</v>
      </c>
      <c r="Y40" s="346">
        <f t="shared" si="18"/>
        <v>-88.628503598670378</v>
      </c>
      <c r="AA40" s="345">
        <f t="shared" si="19"/>
        <v>47.768261621959752</v>
      </c>
      <c r="AB40" s="346">
        <f t="shared" si="20"/>
        <v>-0.76634857768605447</v>
      </c>
      <c r="AD40">
        <f t="shared" si="25"/>
        <v>0</v>
      </c>
      <c r="AE40">
        <f t="shared" si="21"/>
        <v>0</v>
      </c>
    </row>
    <row r="41" spans="1:31" x14ac:dyDescent="0.2">
      <c r="A41" s="347">
        <v>13.183</v>
      </c>
      <c r="B41" s="364">
        <f t="shared" si="22"/>
        <v>1.3183E-2</v>
      </c>
      <c r="C41" s="337">
        <f t="shared" si="0"/>
        <v>1.0001063905759704</v>
      </c>
      <c r="D41" s="338">
        <f t="shared" si="1"/>
        <v>1.4586373391930967E-2</v>
      </c>
      <c r="E41" s="338">
        <f t="shared" si="2"/>
        <v>1.0000000005488809</v>
      </c>
      <c r="F41" s="339">
        <f t="shared" si="3"/>
        <v>3.3132492711836135E-5</v>
      </c>
      <c r="G41" s="338">
        <f t="shared" si="4"/>
        <v>1</v>
      </c>
      <c r="H41" s="339">
        <f t="shared" si="5"/>
        <v>0</v>
      </c>
      <c r="I41" s="337">
        <f t="shared" si="6"/>
        <v>206.76965361184472</v>
      </c>
      <c r="J41" s="340">
        <f t="shared" si="7"/>
        <v>1.5659600083077685</v>
      </c>
      <c r="K41" s="348">
        <f t="shared" si="8"/>
        <v>1.0002097106268155</v>
      </c>
      <c r="L41" s="349">
        <f t="shared" si="9"/>
        <v>2.0477987429605989E-2</v>
      </c>
      <c r="M41" s="337">
        <f t="shared" si="10"/>
        <v>1.0000000010767356</v>
      </c>
      <c r="N41" s="340">
        <f t="shared" si="11"/>
        <v>4.640550956001983E-5</v>
      </c>
      <c r="O41" s="341">
        <f t="shared" si="12"/>
        <v>1.0000000043817923</v>
      </c>
      <c r="P41" s="342">
        <f t="shared" si="13"/>
        <v>1.1236377482187565E-4</v>
      </c>
      <c r="Q41" s="343">
        <f t="shared" si="14"/>
        <v>50.293465901758623</v>
      </c>
      <c r="R41" s="344">
        <f t="shared" si="15"/>
        <v>-89.392533303487767</v>
      </c>
      <c r="S41" s="346">
        <f t="shared" si="16"/>
        <v>90.607466696512233</v>
      </c>
      <c r="U41" s="319">
        <f t="shared" si="23"/>
        <v>1000000000</v>
      </c>
      <c r="V41" s="319">
        <f t="shared" si="24"/>
        <v>173.79148899999998</v>
      </c>
      <c r="X41" s="345">
        <f t="shared" si="17"/>
        <v>51.399309719562858</v>
      </c>
      <c r="Y41" s="346">
        <f t="shared" si="18"/>
        <v>-88.552256050697721</v>
      </c>
      <c r="AA41" s="345">
        <f t="shared" si="19"/>
        <v>47.768106166850018</v>
      </c>
      <c r="AB41" s="346">
        <f t="shared" si="20"/>
        <v>-0.84027725279003973</v>
      </c>
      <c r="AD41">
        <f t="shared" si="25"/>
        <v>0</v>
      </c>
      <c r="AE41">
        <f t="shared" si="21"/>
        <v>0</v>
      </c>
    </row>
    <row r="42" spans="1:31" x14ac:dyDescent="0.2">
      <c r="A42" s="347">
        <v>14.454000000000001</v>
      </c>
      <c r="B42" s="364">
        <f t="shared" si="22"/>
        <v>1.4454E-2</v>
      </c>
      <c r="C42" s="337">
        <f t="shared" si="0"/>
        <v>1.0001278927976909</v>
      </c>
      <c r="D42" s="338">
        <f t="shared" si="1"/>
        <v>1.5992446260990015E-2</v>
      </c>
      <c r="E42" s="338">
        <f t="shared" si="2"/>
        <v>1.0000000006598204</v>
      </c>
      <c r="F42" s="339">
        <f t="shared" si="3"/>
        <v>3.6326864114500532E-5</v>
      </c>
      <c r="G42" s="338">
        <f t="shared" si="4"/>
        <v>1</v>
      </c>
      <c r="H42" s="339">
        <f t="shared" si="5"/>
        <v>0</v>
      </c>
      <c r="I42" s="337">
        <f t="shared" si="6"/>
        <v>226.70429315222492</v>
      </c>
      <c r="J42" s="340">
        <f t="shared" si="7"/>
        <v>1.5663852800123601</v>
      </c>
      <c r="K42" s="348">
        <f t="shared" si="8"/>
        <v>1.0002520918660502</v>
      </c>
      <c r="L42" s="349">
        <f t="shared" si="9"/>
        <v>2.245167783704911E-2</v>
      </c>
      <c r="M42" s="337">
        <f t="shared" si="10"/>
        <v>1.0000000012943648</v>
      </c>
      <c r="N42" s="340">
        <f t="shared" si="11"/>
        <v>5.0879559666480381E-5</v>
      </c>
      <c r="O42" s="341">
        <f t="shared" si="12"/>
        <v>1.0000000052674376</v>
      </c>
      <c r="P42" s="342">
        <f t="shared" si="13"/>
        <v>1.2319699617141497E-4</v>
      </c>
      <c r="Q42" s="343">
        <f t="shared" si="14"/>
        <v>49.494188296171501</v>
      </c>
      <c r="R42" s="344">
        <f t="shared" si="15"/>
        <v>-89.385071506022399</v>
      </c>
      <c r="S42" s="346">
        <f t="shared" si="16"/>
        <v>90.614928493977601</v>
      </c>
      <c r="U42" s="319">
        <f t="shared" si="23"/>
        <v>1000000000</v>
      </c>
      <c r="V42" s="319">
        <f t="shared" si="24"/>
        <v>208.91811600000003</v>
      </c>
      <c r="X42" s="345">
        <f t="shared" si="17"/>
        <v>50.600218864754076</v>
      </c>
      <c r="Y42" s="346">
        <f t="shared" si="18"/>
        <v>-88.463794538192573</v>
      </c>
      <c r="AA42" s="345">
        <f t="shared" si="19"/>
        <v>47.767919416071678</v>
      </c>
      <c r="AB42" s="346">
        <f t="shared" si="20"/>
        <v>-0.92127696782981927</v>
      </c>
      <c r="AD42">
        <f t="shared" si="25"/>
        <v>0</v>
      </c>
      <c r="AE42">
        <f t="shared" si="21"/>
        <v>0</v>
      </c>
    </row>
    <row r="43" spans="1:31" x14ac:dyDescent="0.2">
      <c r="A43" s="347">
        <v>15.849</v>
      </c>
      <c r="B43" s="364">
        <f t="shared" si="22"/>
        <v>1.5848999999999999E-2</v>
      </c>
      <c r="C43" s="337">
        <f t="shared" si="0"/>
        <v>1.0001537687554445</v>
      </c>
      <c r="D43" s="338">
        <f t="shared" si="1"/>
        <v>1.7535623969764057E-2</v>
      </c>
      <c r="E43" s="338">
        <f t="shared" si="2"/>
        <v>1.0000000007933292</v>
      </c>
      <c r="F43" s="339">
        <f t="shared" si="3"/>
        <v>3.9832881506812946E-5</v>
      </c>
      <c r="G43" s="338">
        <f t="shared" si="4"/>
        <v>1</v>
      </c>
      <c r="H43" s="339">
        <f t="shared" si="5"/>
        <v>0</v>
      </c>
      <c r="I43" s="337">
        <f t="shared" si="6"/>
        <v>248.58381483185084</v>
      </c>
      <c r="J43" s="340">
        <f t="shared" si="7"/>
        <v>1.5667735278937158</v>
      </c>
      <c r="K43" s="348">
        <f t="shared" si="8"/>
        <v>1.0003030926395986</v>
      </c>
      <c r="L43" s="349">
        <f t="shared" si="9"/>
        <v>2.461772146658308E-2</v>
      </c>
      <c r="M43" s="337">
        <f t="shared" si="10"/>
        <v>1.0000000015562678</v>
      </c>
      <c r="N43" s="340">
        <f t="shared" si="11"/>
        <v>5.5790102463902746E-5</v>
      </c>
      <c r="O43" s="341">
        <f t="shared" si="12"/>
        <v>1.0000000063332557</v>
      </c>
      <c r="P43" s="342">
        <f t="shared" si="13"/>
        <v>1.3508711714674713E-4</v>
      </c>
      <c r="Q43" s="343">
        <f t="shared" si="14"/>
        <v>48.69414434611771</v>
      </c>
      <c r="R43" s="344">
        <f t="shared" si="15"/>
        <v>-89.372390609680124</v>
      </c>
      <c r="S43" s="346">
        <f t="shared" si="16"/>
        <v>90.627609390319876</v>
      </c>
      <c r="U43" s="319">
        <f t="shared" si="23"/>
        <v>1000000000</v>
      </c>
      <c r="V43" s="319">
        <f t="shared" si="24"/>
        <v>251.19080099999999</v>
      </c>
      <c r="X43" s="345">
        <f t="shared" si="17"/>
        <v>49.800399646863511</v>
      </c>
      <c r="Y43" s="346">
        <f t="shared" si="18"/>
        <v>-88.362215698246985</v>
      </c>
      <c r="AA43" s="345">
        <f t="shared" si="19"/>
        <v>47.767694683908466</v>
      </c>
      <c r="AB43" s="346">
        <f t="shared" si="20"/>
        <v>-1.0101749114331287</v>
      </c>
      <c r="AD43">
        <f t="shared" si="25"/>
        <v>0</v>
      </c>
      <c r="AE43">
        <f t="shared" si="21"/>
        <v>0</v>
      </c>
    </row>
    <row r="44" spans="1:31" x14ac:dyDescent="0.2">
      <c r="A44" s="347">
        <v>17.378</v>
      </c>
      <c r="B44" s="364">
        <f t="shared" si="22"/>
        <v>1.7378000000000001E-2</v>
      </c>
      <c r="C44" s="337">
        <f t="shared" si="0"/>
        <v>1.0001848660671742</v>
      </c>
      <c r="D44" s="338">
        <f t="shared" si="1"/>
        <v>1.9226939023873658E-2</v>
      </c>
      <c r="E44" s="338">
        <f t="shared" si="2"/>
        <v>1.0000000009537824</v>
      </c>
      <c r="F44" s="339">
        <f t="shared" si="3"/>
        <v>4.3675677629588608E-5</v>
      </c>
      <c r="G44" s="338">
        <f t="shared" si="4"/>
        <v>1</v>
      </c>
      <c r="H44" s="339">
        <f t="shared" si="5"/>
        <v>0</v>
      </c>
      <c r="I44" s="337">
        <f t="shared" si="6"/>
        <v>272.56506113264805</v>
      </c>
      <c r="J44" s="340">
        <f t="shared" si="7"/>
        <v>1.5671274697547952</v>
      </c>
      <c r="K44" s="348">
        <f t="shared" si="8"/>
        <v>1.0003643828582185</v>
      </c>
      <c r="L44" s="349">
        <f t="shared" si="9"/>
        <v>2.6991563381506524E-2</v>
      </c>
      <c r="M44" s="337">
        <f t="shared" si="10"/>
        <v>1.0000000018710276</v>
      </c>
      <c r="N44" s="340">
        <f t="shared" si="11"/>
        <v>6.1172338974967361E-5</v>
      </c>
      <c r="O44" s="341">
        <f t="shared" si="12"/>
        <v>1.0000000076141755</v>
      </c>
      <c r="P44" s="342">
        <f t="shared" si="13"/>
        <v>1.4811937158263713E-4</v>
      </c>
      <c r="Q44" s="343">
        <f t="shared" si="14"/>
        <v>47.894459727707321</v>
      </c>
      <c r="R44" s="344">
        <f t="shared" si="15"/>
        <v>-89.354398972577243</v>
      </c>
      <c r="S44" s="346">
        <f t="shared" si="16"/>
        <v>90.645601027422757</v>
      </c>
      <c r="U44" s="319">
        <f t="shared" si="23"/>
        <v>1000000000</v>
      </c>
      <c r="V44" s="319">
        <f t="shared" si="24"/>
        <v>301.99488400000001</v>
      </c>
      <c r="X44" s="345">
        <f t="shared" si="17"/>
        <v>49.000985100276885</v>
      </c>
      <c r="Y44" s="346">
        <f t="shared" si="18"/>
        <v>-88.246792329428018</v>
      </c>
      <c r="AA44" s="345">
        <f t="shared" si="19"/>
        <v>47.767424612084682</v>
      </c>
      <c r="AB44" s="346">
        <f t="shared" si="20"/>
        <v>-1.1076066431492342</v>
      </c>
      <c r="AD44">
        <f t="shared" si="25"/>
        <v>0</v>
      </c>
      <c r="AE44">
        <f t="shared" si="21"/>
        <v>0</v>
      </c>
    </row>
    <row r="45" spans="1:31" x14ac:dyDescent="0.2">
      <c r="A45" s="347">
        <v>19.055</v>
      </c>
      <c r="B45" s="364">
        <f t="shared" si="22"/>
        <v>1.9054999999999999E-2</v>
      </c>
      <c r="C45" s="337">
        <f t="shared" si="0"/>
        <v>1.0002222631181317</v>
      </c>
      <c r="D45" s="338">
        <f t="shared" si="1"/>
        <v>2.108183855960968E-2</v>
      </c>
      <c r="E45" s="338">
        <f t="shared" si="2"/>
        <v>1.0000000011467469</v>
      </c>
      <c r="F45" s="339">
        <f t="shared" si="3"/>
        <v>4.789043831998786E-5</v>
      </c>
      <c r="G45" s="338">
        <f t="shared" si="4"/>
        <v>1</v>
      </c>
      <c r="H45" s="339">
        <f t="shared" si="5"/>
        <v>0</v>
      </c>
      <c r="I45" s="337">
        <f t="shared" si="6"/>
        <v>298.86761180588513</v>
      </c>
      <c r="J45" s="340">
        <f t="shared" si="7"/>
        <v>1.567450357454564</v>
      </c>
      <c r="K45" s="348">
        <f t="shared" si="8"/>
        <v>1.0004380868902902</v>
      </c>
      <c r="L45" s="349">
        <f t="shared" si="9"/>
        <v>2.9594831191265436E-2</v>
      </c>
      <c r="M45" s="337">
        <f t="shared" si="10"/>
        <v>1.0000000022495648</v>
      </c>
      <c r="N45" s="340">
        <f t="shared" si="11"/>
        <v>6.7075550631479151E-5</v>
      </c>
      <c r="O45" s="341">
        <f t="shared" si="12"/>
        <v>1.0000000091546386</v>
      </c>
      <c r="P45" s="342">
        <f t="shared" si="13"/>
        <v>1.6241308684815763E-4</v>
      </c>
      <c r="Q45" s="343">
        <f t="shared" si="14"/>
        <v>47.094601512883813</v>
      </c>
      <c r="R45" s="344">
        <f t="shared" si="15"/>
        <v>-89.330936442053428</v>
      </c>
      <c r="S45" s="346">
        <f t="shared" si="16"/>
        <v>90.669063557946572</v>
      </c>
      <c r="U45" s="319">
        <f t="shared" si="23"/>
        <v>1000000000</v>
      </c>
      <c r="V45" s="319">
        <f t="shared" si="24"/>
        <v>363.09302500000001</v>
      </c>
      <c r="X45" s="345">
        <f t="shared" si="17"/>
        <v>48.201451657705299</v>
      </c>
      <c r="Y45" s="346">
        <f t="shared" si="18"/>
        <v>-88.116474402404577</v>
      </c>
      <c r="AA45" s="345">
        <f t="shared" si="19"/>
        <v>47.767099839832767</v>
      </c>
      <c r="AB45" s="346">
        <f t="shared" si="20"/>
        <v>-1.2144620396488426</v>
      </c>
      <c r="AD45">
        <f t="shared" si="25"/>
        <v>0</v>
      </c>
      <c r="AE45">
        <f t="shared" ref="AE45:AE76" si="26">IF(AD45&gt;0,S43,0)</f>
        <v>0</v>
      </c>
    </row>
    <row r="46" spans="1:31" x14ac:dyDescent="0.2">
      <c r="A46" s="347">
        <v>20.893000000000001</v>
      </c>
      <c r="B46" s="364">
        <f t="shared" si="22"/>
        <v>2.0893000000000002E-2</v>
      </c>
      <c r="C46" s="337">
        <f t="shared" si="0"/>
        <v>1.0002672030109963</v>
      </c>
      <c r="D46" s="338">
        <f t="shared" si="1"/>
        <v>2.31146501892306E-2</v>
      </c>
      <c r="E46" s="338">
        <f t="shared" si="2"/>
        <v>1.0000000013786414</v>
      </c>
      <c r="F46" s="339">
        <f t="shared" si="3"/>
        <v>5.2509836140898512E-5</v>
      </c>
      <c r="G46" s="338">
        <f t="shared" si="4"/>
        <v>1</v>
      </c>
      <c r="H46" s="339">
        <f t="shared" si="5"/>
        <v>0</v>
      </c>
      <c r="I46" s="337">
        <f t="shared" si="6"/>
        <v>327.69536258652306</v>
      </c>
      <c r="J46" s="340">
        <f t="shared" si="7"/>
        <v>1.5677447073146202</v>
      </c>
      <c r="K46" s="348">
        <f t="shared" si="8"/>
        <v>1.0005266532058472</v>
      </c>
      <c r="L46" s="349">
        <f t="shared" si="9"/>
        <v>3.2447563031515685E-2</v>
      </c>
      <c r="M46" s="337">
        <f t="shared" si="10"/>
        <v>1.0000000027044702</v>
      </c>
      <c r="N46" s="340">
        <f t="shared" si="11"/>
        <v>7.3545498762450179E-5</v>
      </c>
      <c r="O46" s="341">
        <f t="shared" si="12"/>
        <v>1.0000000110058833</v>
      </c>
      <c r="P46" s="342">
        <f t="shared" si="13"/>
        <v>1.7807906692487307E-4</v>
      </c>
      <c r="Q46" s="343">
        <f t="shared" si="14"/>
        <v>46.295151308993432</v>
      </c>
      <c r="R46" s="344">
        <f t="shared" si="15"/>
        <v>-89.301827102357976</v>
      </c>
      <c r="S46" s="346">
        <f t="shared" si="16"/>
        <v>90.698172897642024</v>
      </c>
      <c r="U46" s="319">
        <f t="shared" si="23"/>
        <v>1000000000</v>
      </c>
      <c r="V46" s="319">
        <f t="shared" si="24"/>
        <v>436.51744900000006</v>
      </c>
      <c r="X46" s="345">
        <f t="shared" si="17"/>
        <v>47.402391715323802</v>
      </c>
      <c r="Y46" s="346">
        <f t="shared" si="18"/>
        <v>-87.970260613111634</v>
      </c>
      <c r="AA46" s="345">
        <f t="shared" si="19"/>
        <v>47.766709578323884</v>
      </c>
      <c r="AB46" s="346">
        <f t="shared" si="20"/>
        <v>-1.3315664892463455</v>
      </c>
      <c r="AD46">
        <f t="shared" si="25"/>
        <v>0</v>
      </c>
      <c r="AE46">
        <f t="shared" si="26"/>
        <v>0</v>
      </c>
    </row>
    <row r="47" spans="1:31" x14ac:dyDescent="0.2">
      <c r="A47" s="347">
        <v>22.909000000000002</v>
      </c>
      <c r="B47" s="364">
        <f t="shared" si="22"/>
        <v>2.2909000000000002E-2</v>
      </c>
      <c r="C47" s="337">
        <f t="shared" si="0"/>
        <v>1.0003212478795165</v>
      </c>
      <c r="D47" s="338">
        <f t="shared" si="1"/>
        <v>2.5344107911640785E-2</v>
      </c>
      <c r="E47" s="338">
        <f t="shared" si="2"/>
        <v>1.0000000016575321</v>
      </c>
      <c r="F47" s="339">
        <f t="shared" si="3"/>
        <v>5.7576596751456632E-5</v>
      </c>
      <c r="G47" s="338">
        <f t="shared" si="4"/>
        <v>1</v>
      </c>
      <c r="H47" s="339">
        <f t="shared" si="5"/>
        <v>0</v>
      </c>
      <c r="I47" s="337">
        <f t="shared" si="6"/>
        <v>359.31494663899571</v>
      </c>
      <c r="J47" s="340">
        <f t="shared" si="7"/>
        <v>1.5680132494409624</v>
      </c>
      <c r="K47" s="348">
        <f t="shared" si="8"/>
        <v>1.0006331582462942</v>
      </c>
      <c r="L47" s="349">
        <f t="shared" si="9"/>
        <v>3.557595683106448E-2</v>
      </c>
      <c r="M47" s="337">
        <f t="shared" si="10"/>
        <v>1.0000000032515681</v>
      </c>
      <c r="N47" s="340">
        <f t="shared" si="11"/>
        <v>8.0642025105750789E-5</v>
      </c>
      <c r="O47" s="341">
        <f t="shared" si="12"/>
        <v>1.0000000132323066</v>
      </c>
      <c r="P47" s="342">
        <f t="shared" si="13"/>
        <v>1.9526220932661071E-4</v>
      </c>
      <c r="Q47" s="343">
        <f t="shared" si="14"/>
        <v>45.495506798038846</v>
      </c>
      <c r="R47" s="344">
        <f t="shared" si="15"/>
        <v>-89.266809008055048</v>
      </c>
      <c r="S47" s="346">
        <f t="shared" si="16"/>
        <v>90.733190991944952</v>
      </c>
      <c r="U47" s="319">
        <f t="shared" si="23"/>
        <v>1000000000</v>
      </c>
      <c r="V47" s="319">
        <f t="shared" si="24"/>
        <v>524.82228100000009</v>
      </c>
      <c r="X47" s="345">
        <f t="shared" si="17"/>
        <v>46.603216510971883</v>
      </c>
      <c r="Y47" s="346">
        <f t="shared" si="18"/>
        <v>-87.806809783025386</v>
      </c>
      <c r="AA47" s="345">
        <f t="shared" si="19"/>
        <v>47.766240271721223</v>
      </c>
      <c r="AB47" s="346">
        <f t="shared" si="20"/>
        <v>-1.4599992250296576</v>
      </c>
      <c r="AD47">
        <f t="shared" si="25"/>
        <v>0</v>
      </c>
      <c r="AE47">
        <f t="shared" si="26"/>
        <v>0</v>
      </c>
    </row>
    <row r="48" spans="1:31" x14ac:dyDescent="0.2">
      <c r="A48" s="347">
        <v>25.119</v>
      </c>
      <c r="B48" s="364">
        <f t="shared" si="22"/>
        <v>2.5118999999999999E-2</v>
      </c>
      <c r="C48" s="337">
        <f t="shared" si="0"/>
        <v>1.0003862056243549</v>
      </c>
      <c r="D48" s="338">
        <f t="shared" si="1"/>
        <v>2.7787816382384371E-2</v>
      </c>
      <c r="E48" s="338">
        <f t="shared" si="2"/>
        <v>1.0000000019927573</v>
      </c>
      <c r="F48" s="339">
        <f t="shared" si="3"/>
        <v>6.3130932536410261E-5</v>
      </c>
      <c r="G48" s="338">
        <f t="shared" si="4"/>
        <v>1</v>
      </c>
      <c r="H48" s="339">
        <f t="shared" si="5"/>
        <v>0</v>
      </c>
      <c r="I48" s="337">
        <f t="shared" si="6"/>
        <v>393.97731304720025</v>
      </c>
      <c r="J48" s="340">
        <f t="shared" si="7"/>
        <v>1.5682581068501327</v>
      </c>
      <c r="K48" s="348">
        <f t="shared" si="8"/>
        <v>1.0007611616677661</v>
      </c>
      <c r="L48" s="349">
        <f t="shared" si="9"/>
        <v>3.9004593966582894E-2</v>
      </c>
      <c r="M48" s="337">
        <f t="shared" si="10"/>
        <v>1.0000000039091765</v>
      </c>
      <c r="N48" s="340">
        <f t="shared" si="11"/>
        <v>8.8421451296141204E-5</v>
      </c>
      <c r="O48" s="341">
        <f t="shared" si="12"/>
        <v>1.0000000159084543</v>
      </c>
      <c r="P48" s="342">
        <f t="shared" si="13"/>
        <v>2.1409888817725196E-4</v>
      </c>
      <c r="Q48" s="343">
        <f t="shared" si="14"/>
        <v>44.696135189428993</v>
      </c>
      <c r="R48" s="344">
        <f t="shared" si="15"/>
        <v>-89.225612799010335</v>
      </c>
      <c r="S48" s="346">
        <f t="shared" si="16"/>
        <v>90.774387200989665</v>
      </c>
      <c r="U48" s="319">
        <f t="shared" si="23"/>
        <v>1000000000</v>
      </c>
      <c r="V48" s="319">
        <f t="shared" si="24"/>
        <v>630.96416099999999</v>
      </c>
      <c r="X48" s="345">
        <f t="shared" si="17"/>
        <v>45.80440893899037</v>
      </c>
      <c r="Y48" s="346">
        <f t="shared" si="18"/>
        <v>-87.624838369886135</v>
      </c>
      <c r="AA48" s="345">
        <f t="shared" si="19"/>
        <v>47.765676235092876</v>
      </c>
      <c r="AB48" s="346">
        <f t="shared" si="20"/>
        <v>-1.6007744291242016</v>
      </c>
      <c r="AD48">
        <f t="shared" si="25"/>
        <v>0</v>
      </c>
      <c r="AE48">
        <f t="shared" si="26"/>
        <v>0</v>
      </c>
    </row>
    <row r="49" spans="1:31" x14ac:dyDescent="0.2">
      <c r="A49" s="347">
        <v>27.542000000000002</v>
      </c>
      <c r="B49" s="364">
        <f t="shared" si="22"/>
        <v>2.7542000000000001E-2</v>
      </c>
      <c r="C49" s="337">
        <f t="shared" si="0"/>
        <v>1.0004642884696657</v>
      </c>
      <c r="D49" s="338">
        <f t="shared" si="1"/>
        <v>3.0466667173217905E-2</v>
      </c>
      <c r="E49" s="338">
        <f t="shared" si="2"/>
        <v>1.0000000023957454</v>
      </c>
      <c r="F49" s="339">
        <f t="shared" si="3"/>
        <v>6.9220595702483386E-5</v>
      </c>
      <c r="G49" s="338">
        <f t="shared" si="4"/>
        <v>1</v>
      </c>
      <c r="H49" s="339">
        <f t="shared" si="5"/>
        <v>0</v>
      </c>
      <c r="I49" s="337">
        <f t="shared" si="6"/>
        <v>431.98046404597238</v>
      </c>
      <c r="J49" s="340">
        <f t="shared" si="7"/>
        <v>1.5684814052269671</v>
      </c>
      <c r="K49" s="348">
        <f t="shared" si="8"/>
        <v>1.0009150182782109</v>
      </c>
      <c r="L49" s="349">
        <f t="shared" si="9"/>
        <v>4.2762626373736012E-2</v>
      </c>
      <c r="M49" s="337">
        <f t="shared" si="10"/>
        <v>1.0000000046997151</v>
      </c>
      <c r="N49" s="340">
        <f t="shared" si="11"/>
        <v>9.6950659274447763E-5</v>
      </c>
      <c r="O49" s="341">
        <f t="shared" si="12"/>
        <v>1.0000000191255636</v>
      </c>
      <c r="P49" s="342">
        <f t="shared" si="13"/>
        <v>2.3475104774543787E-4</v>
      </c>
      <c r="Q49" s="343">
        <f t="shared" si="14"/>
        <v>43.89693463583648</v>
      </c>
      <c r="R49" s="344">
        <f t="shared" si="15"/>
        <v>-89.177897358780086</v>
      </c>
      <c r="S49" s="346">
        <f t="shared" si="16"/>
        <v>90.822102641219914</v>
      </c>
      <c r="U49" s="319">
        <f t="shared" si="23"/>
        <v>1000000000</v>
      </c>
      <c r="V49" s="319">
        <f t="shared" si="24"/>
        <v>758.56176400000004</v>
      </c>
      <c r="X49" s="345">
        <f t="shared" si="17"/>
        <v>45.005886340530324</v>
      </c>
      <c r="Y49" s="346">
        <f t="shared" si="18"/>
        <v>-87.422801715636496</v>
      </c>
      <c r="AA49" s="345">
        <f t="shared" si="19"/>
        <v>47.764998279960409</v>
      </c>
      <c r="AB49" s="346">
        <f t="shared" si="20"/>
        <v>-1.7550956431435991</v>
      </c>
      <c r="AD49">
        <f t="shared" si="25"/>
        <v>0</v>
      </c>
      <c r="AE49">
        <f t="shared" si="26"/>
        <v>0</v>
      </c>
    </row>
    <row r="50" spans="1:31" x14ac:dyDescent="0.2">
      <c r="A50" s="347">
        <v>30.2</v>
      </c>
      <c r="B50" s="364">
        <f t="shared" si="22"/>
        <v>3.0199999999999998E-2</v>
      </c>
      <c r="C50" s="337">
        <f t="shared" si="0"/>
        <v>1.0005582007925351</v>
      </c>
      <c r="D50" s="338">
        <f t="shared" si="1"/>
        <v>3.3404827776443068E-2</v>
      </c>
      <c r="E50" s="338">
        <f t="shared" si="2"/>
        <v>1.0000000028804716</v>
      </c>
      <c r="F50" s="339">
        <f t="shared" si="3"/>
        <v>7.5900878278246451E-5</v>
      </c>
      <c r="G50" s="338">
        <f t="shared" si="4"/>
        <v>1</v>
      </c>
      <c r="H50" s="339">
        <f t="shared" si="5"/>
        <v>0</v>
      </c>
      <c r="I50" s="337">
        <f t="shared" si="6"/>
        <v>473.66945508337159</v>
      </c>
      <c r="J50" s="340">
        <f t="shared" si="7"/>
        <v>1.5686851483515449</v>
      </c>
      <c r="K50" s="348">
        <f t="shared" si="8"/>
        <v>1.0011000503120642</v>
      </c>
      <c r="L50" s="349">
        <f t="shared" si="9"/>
        <v>4.6883746271029543E-2</v>
      </c>
      <c r="M50" s="337">
        <f t="shared" si="10"/>
        <v>1.0000000056505989</v>
      </c>
      <c r="N50" s="340">
        <f t="shared" si="11"/>
        <v>1.0630709128720697E-4</v>
      </c>
      <c r="O50" s="341">
        <f t="shared" si="12"/>
        <v>1.0000000229951993</v>
      </c>
      <c r="P50" s="342">
        <f t="shared" si="13"/>
        <v>2.5740620244183479E-4</v>
      </c>
      <c r="Q50" s="343">
        <f t="shared" si="14"/>
        <v>43.097499389454825</v>
      </c>
      <c r="R50" s="344">
        <f t="shared" si="15"/>
        <v>-89.12324378179126</v>
      </c>
      <c r="S50" s="346">
        <f t="shared" si="16"/>
        <v>90.87675621820874</v>
      </c>
      <c r="U50" s="319">
        <f t="shared" si="23"/>
        <v>1000000000</v>
      </c>
      <c r="V50" s="319">
        <f t="shared" si="24"/>
        <v>912.04</v>
      </c>
      <c r="X50" s="345">
        <f t="shared" si="17"/>
        <v>44.207266418806988</v>
      </c>
      <c r="Y50" s="346">
        <f t="shared" si="18"/>
        <v>-87.198888643607063</v>
      </c>
      <c r="AA50" s="345">
        <f t="shared" si="19"/>
        <v>47.76418295530209</v>
      </c>
      <c r="AB50" s="346">
        <f t="shared" si="20"/>
        <v>-1.9243551381841939</v>
      </c>
      <c r="AD50">
        <f t="shared" si="25"/>
        <v>0</v>
      </c>
      <c r="AE50">
        <f t="shared" si="26"/>
        <v>0</v>
      </c>
    </row>
    <row r="51" spans="1:31" x14ac:dyDescent="0.2">
      <c r="A51" s="347">
        <v>33.113</v>
      </c>
      <c r="B51" s="364">
        <f t="shared" si="22"/>
        <v>3.3112999999999997E-2</v>
      </c>
      <c r="C51" s="337">
        <f t="shared" si="0"/>
        <v>1.0006710411076531</v>
      </c>
      <c r="D51" s="338">
        <f t="shared" si="1"/>
        <v>3.6624201714042653E-2</v>
      </c>
      <c r="E51" s="338">
        <f t="shared" si="2"/>
        <v>1.0000000034629544</v>
      </c>
      <c r="F51" s="339">
        <f t="shared" si="3"/>
        <v>8.3222045743430566E-5</v>
      </c>
      <c r="G51" s="338">
        <f t="shared" si="4"/>
        <v>1</v>
      </c>
      <c r="H51" s="339">
        <f t="shared" si="5"/>
        <v>0</v>
      </c>
      <c r="I51" s="337">
        <f t="shared" si="6"/>
        <v>519.35797307359087</v>
      </c>
      <c r="J51" s="340">
        <f t="shared" si="7"/>
        <v>1.5688708713869848</v>
      </c>
      <c r="K51" s="348">
        <f t="shared" si="8"/>
        <v>1.0013223532216862</v>
      </c>
      <c r="L51" s="349">
        <f t="shared" si="9"/>
        <v>5.1398398465104522E-2</v>
      </c>
      <c r="M51" s="337">
        <f t="shared" si="10"/>
        <v>1.0000000067932509</v>
      </c>
      <c r="N51" s="340">
        <f t="shared" si="11"/>
        <v>1.1656114937456125E-4</v>
      </c>
      <c r="O51" s="341">
        <f t="shared" si="12"/>
        <v>1.0000000276452392</v>
      </c>
      <c r="P51" s="342">
        <f t="shared" si="13"/>
        <v>2.8223481989588157E-4</v>
      </c>
      <c r="Q51" s="343">
        <f t="shared" si="14"/>
        <v>42.298619923033002</v>
      </c>
      <c r="R51" s="344">
        <f t="shared" si="15"/>
        <v>-89.061261567664076</v>
      </c>
      <c r="S51" s="346">
        <f t="shared" si="16"/>
        <v>90.938738432335924</v>
      </c>
      <c r="U51" s="319">
        <f t="shared" si="23"/>
        <v>1000000000</v>
      </c>
      <c r="V51" s="319">
        <f t="shared" si="24"/>
        <v>1096.470769</v>
      </c>
      <c r="X51" s="345">
        <f t="shared" si="17"/>
        <v>43.409366504209046</v>
      </c>
      <c r="Y51" s="346">
        <f t="shared" si="18"/>
        <v>-86.951446786974699</v>
      </c>
      <c r="AA51" s="345">
        <f t="shared" si="19"/>
        <v>47.763203403478215</v>
      </c>
      <c r="AB51" s="346">
        <f t="shared" si="20"/>
        <v>-2.1098147806893799</v>
      </c>
      <c r="AD51">
        <f t="shared" si="25"/>
        <v>0</v>
      </c>
      <c r="AE51">
        <f t="shared" si="26"/>
        <v>0</v>
      </c>
    </row>
    <row r="52" spans="1:31" x14ac:dyDescent="0.2">
      <c r="A52" s="347">
        <v>36.308</v>
      </c>
      <c r="B52" s="364">
        <f t="shared" si="22"/>
        <v>3.6308E-2</v>
      </c>
      <c r="C52" s="337">
        <f t="shared" si="0"/>
        <v>1.0008067282545068</v>
      </c>
      <c r="D52" s="338">
        <f t="shared" si="1"/>
        <v>4.0154359303405197E-2</v>
      </c>
      <c r="E52" s="338">
        <f t="shared" si="2"/>
        <v>1.0000000041634598</v>
      </c>
      <c r="F52" s="339">
        <f t="shared" si="3"/>
        <v>9.1251956495677432E-5</v>
      </c>
      <c r="G52" s="338">
        <f t="shared" si="4"/>
        <v>1</v>
      </c>
      <c r="H52" s="339">
        <f t="shared" si="5"/>
        <v>0</v>
      </c>
      <c r="I52" s="337">
        <f t="shared" si="6"/>
        <v>569.46949552140666</v>
      </c>
      <c r="J52" s="340">
        <f t="shared" si="7"/>
        <v>1.5690403055825231</v>
      </c>
      <c r="K52" s="348">
        <f t="shared" si="8"/>
        <v>1.0015896337540526</v>
      </c>
      <c r="L52" s="349">
        <f t="shared" si="9"/>
        <v>5.6347685436208828E-2</v>
      </c>
      <c r="M52" s="337">
        <f t="shared" si="10"/>
        <v>1.0000000081674267</v>
      </c>
      <c r="N52" s="340">
        <f t="shared" si="11"/>
        <v>1.2780787629071568E-4</v>
      </c>
      <c r="O52" s="341">
        <f t="shared" si="12"/>
        <v>1.000000033237469</v>
      </c>
      <c r="P52" s="342">
        <f t="shared" si="13"/>
        <v>3.0946703140742002E-4</v>
      </c>
      <c r="Q52" s="343">
        <f t="shared" si="14"/>
        <v>41.499687125050862</v>
      </c>
      <c r="R52" s="344">
        <f t="shared" si="15"/>
        <v>-88.991403908513064</v>
      </c>
      <c r="S52" s="346">
        <f t="shared" si="16"/>
        <v>91.008596091486936</v>
      </c>
      <c r="U52" s="319">
        <f t="shared" si="23"/>
        <v>1000000000</v>
      </c>
      <c r="V52" s="319">
        <f t="shared" si="24"/>
        <v>1318.2708640000001</v>
      </c>
      <c r="X52" s="345">
        <f t="shared" si="17"/>
        <v>42.611611442120946</v>
      </c>
      <c r="Y52" s="346">
        <f t="shared" si="18"/>
        <v>-86.678225785914307</v>
      </c>
      <c r="AA52" s="345">
        <f t="shared" si="19"/>
        <v>47.762025667584176</v>
      </c>
      <c r="AB52" s="346">
        <f t="shared" si="20"/>
        <v>-2.3131781225987553</v>
      </c>
      <c r="AD52">
        <f t="shared" si="25"/>
        <v>0</v>
      </c>
      <c r="AE52">
        <f t="shared" si="26"/>
        <v>0</v>
      </c>
    </row>
    <row r="53" spans="1:31" x14ac:dyDescent="0.2">
      <c r="A53" s="347">
        <v>39.811</v>
      </c>
      <c r="B53" s="364">
        <f t="shared" si="22"/>
        <v>3.9810999999999999E-2</v>
      </c>
      <c r="C53" s="337">
        <f t="shared" si="0"/>
        <v>1.0009698250269561</v>
      </c>
      <c r="D53" s="338">
        <f t="shared" si="1"/>
        <v>4.4023672599726241E-2</v>
      </c>
      <c r="E53" s="338">
        <f t="shared" si="2"/>
        <v>1.000000005005597</v>
      </c>
      <c r="F53" s="339">
        <f t="shared" si="3"/>
        <v>1.000559556574268E-4</v>
      </c>
      <c r="G53" s="338">
        <f t="shared" si="4"/>
        <v>1</v>
      </c>
      <c r="H53" s="339">
        <f t="shared" si="5"/>
        <v>0</v>
      </c>
      <c r="I53" s="337">
        <f t="shared" si="6"/>
        <v>624.41181572913138</v>
      </c>
      <c r="J53" s="340">
        <f t="shared" si="7"/>
        <v>1.5691948189401748</v>
      </c>
      <c r="K53" s="348">
        <f t="shared" si="8"/>
        <v>1.0019108601486053</v>
      </c>
      <c r="L53" s="349">
        <f t="shared" si="9"/>
        <v>6.177090382864503E-2</v>
      </c>
      <c r="M53" s="337">
        <f t="shared" si="10"/>
        <v>1.000000009819441</v>
      </c>
      <c r="N53" s="340">
        <f t="shared" si="11"/>
        <v>1.4013879468452884E-4</v>
      </c>
      <c r="O53" s="341">
        <f t="shared" si="12"/>
        <v>1.0000000399603666</v>
      </c>
      <c r="P53" s="342">
        <f t="shared" si="13"/>
        <v>3.3932444486916484E-4</v>
      </c>
      <c r="Q53" s="343">
        <f t="shared" si="14"/>
        <v>40.701043994405239</v>
      </c>
      <c r="R53" s="344">
        <f t="shared" si="15"/>
        <v>-88.913137449289408</v>
      </c>
      <c r="S53" s="346">
        <f t="shared" si="16"/>
        <v>91.086862550710592</v>
      </c>
      <c r="U53" s="319">
        <f t="shared" si="23"/>
        <v>1000000000</v>
      </c>
      <c r="V53" s="319">
        <f t="shared" si="24"/>
        <v>1584.9157210000001</v>
      </c>
      <c r="X53" s="345">
        <f t="shared" si="17"/>
        <v>41.814383745871964</v>
      </c>
      <c r="Y53" s="346">
        <f t="shared" si="18"/>
        <v>-86.377057733159162</v>
      </c>
      <c r="AA53" s="345">
        <f t="shared" si="19"/>
        <v>47.760610233187528</v>
      </c>
      <c r="AB53" s="346">
        <f t="shared" si="20"/>
        <v>-2.5360797161302355</v>
      </c>
      <c r="AD53">
        <f t="shared" si="25"/>
        <v>0</v>
      </c>
      <c r="AE53">
        <f t="shared" si="26"/>
        <v>0</v>
      </c>
    </row>
    <row r="54" spans="1:31" x14ac:dyDescent="0.2">
      <c r="A54" s="347">
        <v>43.652000000000001</v>
      </c>
      <c r="B54" s="364">
        <f t="shared" si="22"/>
        <v>4.3652000000000003E-2</v>
      </c>
      <c r="C54" s="337">
        <f t="shared" si="0"/>
        <v>1.0011658775976864</v>
      </c>
      <c r="D54" s="338">
        <f t="shared" si="1"/>
        <v>4.826481115668127E-2</v>
      </c>
      <c r="E54" s="338">
        <f t="shared" si="2"/>
        <v>1.0000000060180807</v>
      </c>
      <c r="F54" s="339">
        <f t="shared" si="3"/>
        <v>1.0970944144607983E-4</v>
      </c>
      <c r="G54" s="338">
        <f t="shared" si="4"/>
        <v>1</v>
      </c>
      <c r="H54" s="339">
        <f t="shared" si="5"/>
        <v>0</v>
      </c>
      <c r="I54" s="337">
        <f t="shared" si="6"/>
        <v>684.65546455635376</v>
      </c>
      <c r="J54" s="340">
        <f t="shared" si="7"/>
        <v>1.5693357376265891</v>
      </c>
      <c r="K54" s="348">
        <f t="shared" si="8"/>
        <v>1.0022969274486433</v>
      </c>
      <c r="L54" s="349">
        <f t="shared" si="9"/>
        <v>6.7713211204620677E-2</v>
      </c>
      <c r="M54" s="337">
        <f t="shared" si="10"/>
        <v>1.0000000118056223</v>
      </c>
      <c r="N54" s="340">
        <f t="shared" si="11"/>
        <v>1.5365950761018205E-4</v>
      </c>
      <c r="O54" s="341">
        <f t="shared" si="12"/>
        <v>1.0000000480431619</v>
      </c>
      <c r="P54" s="342">
        <f t="shared" si="13"/>
        <v>3.7206276167893123E-4</v>
      </c>
      <c r="Q54" s="343">
        <f t="shared" si="14"/>
        <v>39.902669814930313</v>
      </c>
      <c r="R54" s="344">
        <f t="shared" si="15"/>
        <v>-88.825839044781517</v>
      </c>
      <c r="S54" s="346">
        <f t="shared" si="16"/>
        <v>91.174160955218483</v>
      </c>
      <c r="U54" s="319">
        <f t="shared" si="23"/>
        <v>1000000000</v>
      </c>
      <c r="V54" s="319">
        <f t="shared" si="24"/>
        <v>1905.497104</v>
      </c>
      <c r="X54" s="345">
        <f t="shared" si="17"/>
        <v>41.017710702312407</v>
      </c>
      <c r="Y54" s="346">
        <f t="shared" si="18"/>
        <v>-86.045437325340103</v>
      </c>
      <c r="AA54" s="345">
        <f t="shared" si="19"/>
        <v>47.758909097272159</v>
      </c>
      <c r="AB54" s="346">
        <f t="shared" si="20"/>
        <v>-2.7804017194414246</v>
      </c>
      <c r="AD54">
        <f t="shared" si="25"/>
        <v>0</v>
      </c>
      <c r="AE54">
        <f t="shared" si="26"/>
        <v>0</v>
      </c>
    </row>
    <row r="55" spans="1:31" x14ac:dyDescent="0.2">
      <c r="A55" s="347">
        <v>47.863</v>
      </c>
      <c r="B55" s="364">
        <f t="shared" si="22"/>
        <v>4.7863000000000003E-2</v>
      </c>
      <c r="C55" s="337">
        <f t="shared" si="0"/>
        <v>1.0014015008474353</v>
      </c>
      <c r="D55" s="338">
        <f t="shared" si="1"/>
        <v>5.2912493145443863E-2</v>
      </c>
      <c r="E55" s="338">
        <f t="shared" si="2"/>
        <v>1.0000000072351836</v>
      </c>
      <c r="F55" s="339">
        <f t="shared" si="3"/>
        <v>1.2029283862533283E-4</v>
      </c>
      <c r="G55" s="338">
        <f t="shared" si="4"/>
        <v>1</v>
      </c>
      <c r="H55" s="339">
        <f t="shared" si="5"/>
        <v>0</v>
      </c>
      <c r="I55" s="337">
        <f t="shared" si="6"/>
        <v>750.70234170449191</v>
      </c>
      <c r="J55" s="340">
        <f t="shared" si="7"/>
        <v>1.5694642405069121</v>
      </c>
      <c r="K55" s="348">
        <f t="shared" si="8"/>
        <v>1.0027608207546057</v>
      </c>
      <c r="L55" s="349">
        <f t="shared" si="9"/>
        <v>7.4222421233043054E-2</v>
      </c>
      <c r="M55" s="337">
        <f t="shared" si="10"/>
        <v>1.0000000141932033</v>
      </c>
      <c r="N55" s="340">
        <f t="shared" si="11"/>
        <v>1.6848265832126059E-4</v>
      </c>
      <c r="O55" s="341">
        <f t="shared" si="12"/>
        <v>1.0000000577594592</v>
      </c>
      <c r="P55" s="342">
        <f t="shared" si="13"/>
        <v>4.0795472996206072E-4</v>
      </c>
      <c r="Q55" s="343">
        <f t="shared" si="14"/>
        <v>39.10473107339601</v>
      </c>
      <c r="R55" s="344">
        <f t="shared" si="15"/>
        <v>-88.728843395535293</v>
      </c>
      <c r="S55" s="346">
        <f t="shared" si="16"/>
        <v>91.271156604464707</v>
      </c>
      <c r="U55" s="319">
        <f t="shared" si="23"/>
        <v>1000000000</v>
      </c>
      <c r="V55" s="319">
        <f t="shared" si="24"/>
        <v>2290.8667689999997</v>
      </c>
      <c r="X55" s="345">
        <f t="shared" si="17"/>
        <v>40.221816008327053</v>
      </c>
      <c r="Y55" s="346">
        <f t="shared" si="18"/>
        <v>-85.680699039003102</v>
      </c>
      <c r="AA55" s="345">
        <f t="shared" si="19"/>
        <v>47.75686504972321</v>
      </c>
      <c r="AB55" s="346">
        <f t="shared" si="20"/>
        <v>-3.0481443565321893</v>
      </c>
      <c r="AD55">
        <f t="shared" si="25"/>
        <v>0</v>
      </c>
      <c r="AE55">
        <f t="shared" si="26"/>
        <v>0</v>
      </c>
    </row>
    <row r="56" spans="1:31" x14ac:dyDescent="0.2">
      <c r="A56" s="347">
        <v>52.481000000000002</v>
      </c>
      <c r="B56" s="364">
        <f t="shared" si="22"/>
        <v>5.2481E-2</v>
      </c>
      <c r="C56" s="337">
        <f t="shared" si="0"/>
        <v>1.0016847531445305</v>
      </c>
      <c r="D56" s="338">
        <f t="shared" si="1"/>
        <v>5.8006744650021119E-2</v>
      </c>
      <c r="E56" s="338">
        <f t="shared" si="2"/>
        <v>1.0000000086986913</v>
      </c>
      <c r="F56" s="339">
        <f t="shared" si="3"/>
        <v>1.3189913832682007E-4</v>
      </c>
      <c r="G56" s="338">
        <f t="shared" si="4"/>
        <v>1</v>
      </c>
      <c r="H56" s="339">
        <f t="shared" si="5"/>
        <v>0</v>
      </c>
      <c r="I56" s="337">
        <f t="shared" si="6"/>
        <v>823.13276882080766</v>
      </c>
      <c r="J56" s="340">
        <f t="shared" si="7"/>
        <v>1.5695814556539773</v>
      </c>
      <c r="K56" s="348">
        <f t="shared" si="8"/>
        <v>1.0033183462542226</v>
      </c>
      <c r="L56" s="349">
        <f t="shared" si="9"/>
        <v>8.135349996515559E-2</v>
      </c>
      <c r="M56" s="337">
        <f t="shared" si="10"/>
        <v>1.0000000170641552</v>
      </c>
      <c r="N56" s="340">
        <f t="shared" si="11"/>
        <v>1.847384905759043E-4</v>
      </c>
      <c r="O56" s="341">
        <f t="shared" si="12"/>
        <v>1.0000000694428421</v>
      </c>
      <c r="P56" s="342">
        <f t="shared" si="13"/>
        <v>4.4731571470914635E-4</v>
      </c>
      <c r="Q56" s="343">
        <f t="shared" si="14"/>
        <v>38.307059969166147</v>
      </c>
      <c r="R56" s="344">
        <f t="shared" si="15"/>
        <v>-88.621379341794736</v>
      </c>
      <c r="S56" s="346">
        <f t="shared" si="16"/>
        <v>91.378620658205264</v>
      </c>
      <c r="U56" s="319">
        <f t="shared" si="23"/>
        <v>1000000000</v>
      </c>
      <c r="V56" s="319">
        <f t="shared" si="24"/>
        <v>2754.255361</v>
      </c>
      <c r="X56" s="345">
        <f t="shared" si="17"/>
        <v>39.42660150037154</v>
      </c>
      <c r="Y56" s="346">
        <f t="shared" si="18"/>
        <v>-85.279765647621943</v>
      </c>
      <c r="AA56" s="345">
        <f t="shared" si="19"/>
        <v>47.754408453448875</v>
      </c>
      <c r="AB56" s="346">
        <f t="shared" si="20"/>
        <v>-3.3416136941728012</v>
      </c>
      <c r="AD56">
        <f t="shared" si="25"/>
        <v>0</v>
      </c>
      <c r="AE56">
        <f t="shared" si="26"/>
        <v>0</v>
      </c>
    </row>
    <row r="57" spans="1:31" x14ac:dyDescent="0.2">
      <c r="A57" s="347">
        <v>57.544000000000004</v>
      </c>
      <c r="B57" s="364">
        <f t="shared" si="22"/>
        <v>5.7544000000000005E-2</v>
      </c>
      <c r="C57" s="337">
        <f t="shared" si="0"/>
        <v>1.0020251552300656</v>
      </c>
      <c r="D57" s="338">
        <f t="shared" si="1"/>
        <v>6.3588417412423714E-2</v>
      </c>
      <c r="E57" s="338">
        <f t="shared" si="2"/>
        <v>1.0000000104580284</v>
      </c>
      <c r="F57" s="339">
        <f t="shared" si="3"/>
        <v>1.4462384495295984E-4</v>
      </c>
      <c r="G57" s="338">
        <f t="shared" si="4"/>
        <v>1</v>
      </c>
      <c r="H57" s="339">
        <f t="shared" si="5"/>
        <v>0</v>
      </c>
      <c r="I57" s="337">
        <f t="shared" si="6"/>
        <v>902.54275201931603</v>
      </c>
      <c r="J57" s="340">
        <f t="shared" si="7"/>
        <v>1.5696883458129804</v>
      </c>
      <c r="K57" s="348">
        <f t="shared" si="8"/>
        <v>1.0039881584922747</v>
      </c>
      <c r="L57" s="349">
        <f t="shared" si="9"/>
        <v>8.9162199810619513E-2</v>
      </c>
      <c r="M57" s="337">
        <f t="shared" si="10"/>
        <v>1.0000000205154329</v>
      </c>
      <c r="N57" s="340">
        <f t="shared" si="11"/>
        <v>2.0256076822546109E-4</v>
      </c>
      <c r="O57" s="341">
        <f t="shared" si="12"/>
        <v>1.0000000834878691</v>
      </c>
      <c r="P57" s="342">
        <f t="shared" si="13"/>
        <v>4.9046960422465414E-4</v>
      </c>
      <c r="Q57" s="343">
        <f t="shared" si="14"/>
        <v>37.509947517123848</v>
      </c>
      <c r="R57" s="344">
        <f t="shared" si="15"/>
        <v>-88.502669048964918</v>
      </c>
      <c r="S57" s="346">
        <f t="shared" si="16"/>
        <v>91.497330951035082</v>
      </c>
      <c r="U57" s="319">
        <f t="shared" si="23"/>
        <v>1000000000</v>
      </c>
      <c r="V57" s="319">
        <f t="shared" si="24"/>
        <v>3311.3119360000005</v>
      </c>
      <c r="X57" s="345">
        <f t="shared" si="17"/>
        <v>38.632440375638346</v>
      </c>
      <c r="Y57" s="346">
        <f t="shared" si="18"/>
        <v>-84.839505598762301</v>
      </c>
      <c r="AA57" s="345">
        <f t="shared" si="19"/>
        <v>47.751457126139762</v>
      </c>
      <c r="AB57" s="346">
        <f t="shared" si="20"/>
        <v>-3.6631634502026129</v>
      </c>
      <c r="AD57">
        <f t="shared" si="25"/>
        <v>0</v>
      </c>
      <c r="AE57">
        <f t="shared" si="26"/>
        <v>0</v>
      </c>
    </row>
    <row r="58" spans="1:31" x14ac:dyDescent="0.2">
      <c r="A58" s="347">
        <v>63.095999999999997</v>
      </c>
      <c r="B58" s="364">
        <f t="shared" si="22"/>
        <v>6.3095999999999999E-2</v>
      </c>
      <c r="C58" s="337">
        <f t="shared" si="0"/>
        <v>1.0024342945928466</v>
      </c>
      <c r="D58" s="338">
        <f t="shared" si="1"/>
        <v>6.9704614919634006E-2</v>
      </c>
      <c r="E58" s="338">
        <f t="shared" si="2"/>
        <v>1.0000000125734188</v>
      </c>
      <c r="F58" s="339">
        <f t="shared" si="3"/>
        <v>1.5857754254627879E-4</v>
      </c>
      <c r="G58" s="338">
        <f t="shared" si="4"/>
        <v>1</v>
      </c>
      <c r="H58" s="339">
        <f t="shared" si="5"/>
        <v>0</v>
      </c>
      <c r="I58" s="337">
        <f t="shared" si="6"/>
        <v>989.62240373533064</v>
      </c>
      <c r="J58" s="340">
        <f t="shared" si="7"/>
        <v>1.5697858402028328</v>
      </c>
      <c r="K58" s="348">
        <f t="shared" si="8"/>
        <v>1.0047929356463778</v>
      </c>
      <c r="L58" s="349">
        <f t="shared" si="9"/>
        <v>9.7712538507573277E-2</v>
      </c>
      <c r="M58" s="337">
        <f t="shared" si="10"/>
        <v>1.0000000246651775</v>
      </c>
      <c r="N58" s="340">
        <f t="shared" si="11"/>
        <v>2.2210437572285077E-4</v>
      </c>
      <c r="O58" s="341">
        <f t="shared" si="12"/>
        <v>1.0000001003753181</v>
      </c>
      <c r="P58" s="342">
        <f t="shared" si="13"/>
        <v>5.3779142702144135E-4</v>
      </c>
      <c r="Q58" s="343">
        <f t="shared" si="14"/>
        <v>36.713326455334553</v>
      </c>
      <c r="R58" s="344">
        <f t="shared" si="15"/>
        <v>-88.371820667939389</v>
      </c>
      <c r="S58" s="346">
        <f t="shared" si="16"/>
        <v>91.628179332060611</v>
      </c>
      <c r="U58" s="319">
        <f t="shared" si="23"/>
        <v>1000000000</v>
      </c>
      <c r="V58" s="319">
        <f t="shared" si="24"/>
        <v>3981.1052159999995</v>
      </c>
      <c r="X58" s="345">
        <f t="shared" si="17"/>
        <v>37.839365275326017</v>
      </c>
      <c r="Y58" s="346">
        <f t="shared" si="18"/>
        <v>-84.356313060758154</v>
      </c>
      <c r="AA58" s="345">
        <f t="shared" si="19"/>
        <v>47.747911164662796</v>
      </c>
      <c r="AB58" s="346">
        <f t="shared" si="20"/>
        <v>-4.0155076071812328</v>
      </c>
      <c r="AD58">
        <f t="shared" si="25"/>
        <v>0</v>
      </c>
      <c r="AE58">
        <f t="shared" si="26"/>
        <v>0</v>
      </c>
    </row>
    <row r="59" spans="1:31" x14ac:dyDescent="0.2">
      <c r="A59" s="347">
        <v>69.183000000000007</v>
      </c>
      <c r="B59" s="364">
        <f t="shared" si="22"/>
        <v>6.9183000000000008E-2</v>
      </c>
      <c r="C59" s="337">
        <f t="shared" si="0"/>
        <v>1.0029259146182132</v>
      </c>
      <c r="D59" s="338">
        <f t="shared" si="1"/>
        <v>7.6404165310514305E-2</v>
      </c>
      <c r="E59" s="338">
        <f t="shared" si="2"/>
        <v>1.0000000151164044</v>
      </c>
      <c r="F59" s="339">
        <f t="shared" si="3"/>
        <v>1.7387584169170834E-4</v>
      </c>
      <c r="G59" s="338">
        <f t="shared" si="4"/>
        <v>1</v>
      </c>
      <c r="H59" s="339">
        <f t="shared" si="5"/>
        <v>0</v>
      </c>
      <c r="I59" s="337">
        <f t="shared" si="6"/>
        <v>1085.0932052329431</v>
      </c>
      <c r="J59" s="340">
        <f t="shared" si="7"/>
        <v>1.5698747468451475</v>
      </c>
      <c r="K59" s="348">
        <f t="shared" si="8"/>
        <v>1.0057595344624253</v>
      </c>
      <c r="L59" s="349">
        <f t="shared" si="9"/>
        <v>0.10707031443088262</v>
      </c>
      <c r="M59" s="337">
        <f t="shared" si="10"/>
        <v>1.0000000296537326</v>
      </c>
      <c r="N59" s="340">
        <f t="shared" si="11"/>
        <v>2.4353123770970805E-4</v>
      </c>
      <c r="O59" s="341">
        <f t="shared" si="12"/>
        <v>1.0000001206763196</v>
      </c>
      <c r="P59" s="342">
        <f t="shared" si="13"/>
        <v>5.8967325825776964E-4</v>
      </c>
      <c r="Q59" s="343">
        <f t="shared" si="14"/>
        <v>35.917468712184288</v>
      </c>
      <c r="R59" s="344">
        <f t="shared" si="15"/>
        <v>-88.227933289896725</v>
      </c>
      <c r="S59" s="346">
        <f t="shared" si="16"/>
        <v>91.772066710103275</v>
      </c>
      <c r="U59" s="319">
        <f t="shared" si="23"/>
        <v>1000000000</v>
      </c>
      <c r="V59" s="319">
        <f t="shared" si="24"/>
        <v>4786.2874890000012</v>
      </c>
      <c r="X59" s="345">
        <f t="shared" si="17"/>
        <v>37.04776642991159</v>
      </c>
      <c r="Y59" s="346">
        <f t="shared" si="18"/>
        <v>-83.826473638253319</v>
      </c>
      <c r="AA59" s="345">
        <f t="shared" si="19"/>
        <v>47.743652266926951</v>
      </c>
      <c r="AB59" s="346">
        <f t="shared" si="20"/>
        <v>-4.4014596516433997</v>
      </c>
      <c r="AD59">
        <f t="shared" si="25"/>
        <v>0</v>
      </c>
      <c r="AE59">
        <f t="shared" si="26"/>
        <v>0</v>
      </c>
    </row>
    <row r="60" spans="1:31" x14ac:dyDescent="0.2">
      <c r="A60" s="347">
        <v>75.858000000000004</v>
      </c>
      <c r="B60" s="364">
        <f t="shared" si="22"/>
        <v>7.5858000000000009E-2</v>
      </c>
      <c r="C60" s="337">
        <f t="shared" si="0"/>
        <v>1.0035167181212277</v>
      </c>
      <c r="D60" s="338">
        <f t="shared" si="1"/>
        <v>8.3742974225867364E-2</v>
      </c>
      <c r="E60" s="338">
        <f t="shared" si="2"/>
        <v>1.0000000181740825</v>
      </c>
      <c r="F60" s="339">
        <f t="shared" si="3"/>
        <v>1.9065194588501058E-4</v>
      </c>
      <c r="G60" s="338">
        <f t="shared" si="4"/>
        <v>1</v>
      </c>
      <c r="H60" s="339">
        <f t="shared" si="5"/>
        <v>0</v>
      </c>
      <c r="I60" s="337">
        <f t="shared" si="6"/>
        <v>1189.7864284818907</v>
      </c>
      <c r="J60" s="340">
        <f t="shared" si="7"/>
        <v>1.5699558397177222</v>
      </c>
      <c r="K60" s="348">
        <f t="shared" si="8"/>
        <v>1.0069205412896427</v>
      </c>
      <c r="L60" s="349">
        <f t="shared" si="9"/>
        <v>0.11731039170341126</v>
      </c>
      <c r="M60" s="337">
        <f t="shared" si="10"/>
        <v>1.0000000356519561</v>
      </c>
      <c r="N60" s="340">
        <f t="shared" si="11"/>
        <v>2.670279195222778E-4</v>
      </c>
      <c r="O60" s="341">
        <f t="shared" si="12"/>
        <v>1.0000001450861806</v>
      </c>
      <c r="P60" s="342">
        <f t="shared" si="13"/>
        <v>6.4656683661286232E-4</v>
      </c>
      <c r="Q60" s="343">
        <f t="shared" si="14"/>
        <v>35.122334808102337</v>
      </c>
      <c r="R60" s="344">
        <f t="shared" si="15"/>
        <v>-88.06999395961698</v>
      </c>
      <c r="S60" s="346">
        <f t="shared" si="16"/>
        <v>91.93000604038302</v>
      </c>
      <c r="U60" s="319">
        <f t="shared" si="23"/>
        <v>1000000000</v>
      </c>
      <c r="V60" s="319">
        <f t="shared" si="24"/>
        <v>5754.4361640000006</v>
      </c>
      <c r="X60" s="345">
        <f t="shared" si="17"/>
        <v>36.257747887863573</v>
      </c>
      <c r="Y60" s="346">
        <f t="shared" si="18"/>
        <v>-83.245752968033571</v>
      </c>
      <c r="AA60" s="345">
        <f t="shared" si="19"/>
        <v>47.738536904893024</v>
      </c>
      <c r="AB60" s="346">
        <f t="shared" si="20"/>
        <v>-4.8242409915834052</v>
      </c>
      <c r="AD60">
        <f t="shared" si="25"/>
        <v>0</v>
      </c>
      <c r="AE60">
        <f t="shared" si="26"/>
        <v>0</v>
      </c>
    </row>
    <row r="61" spans="1:31" x14ac:dyDescent="0.2">
      <c r="A61" s="347">
        <v>83.176000000000002</v>
      </c>
      <c r="B61" s="364">
        <f t="shared" si="22"/>
        <v>8.3176E-2</v>
      </c>
      <c r="C61" s="337">
        <f t="shared" si="0"/>
        <v>1.0042264625324457</v>
      </c>
      <c r="D61" s="338">
        <f t="shared" si="1"/>
        <v>9.1778322073310117E-2</v>
      </c>
      <c r="E61" s="338">
        <f t="shared" si="2"/>
        <v>1.0000000218497151</v>
      </c>
      <c r="F61" s="339">
        <f t="shared" si="3"/>
        <v>2.090440851600842E-4</v>
      </c>
      <c r="G61" s="338">
        <f t="shared" si="4"/>
        <v>1</v>
      </c>
      <c r="H61" s="339">
        <f t="shared" si="5"/>
        <v>0</v>
      </c>
      <c r="I61" s="337">
        <f t="shared" si="6"/>
        <v>1304.5647142727323</v>
      </c>
      <c r="J61" s="340">
        <f t="shared" si="7"/>
        <v>1.5700297875140239</v>
      </c>
      <c r="K61" s="348">
        <f t="shared" si="8"/>
        <v>1.0083144173677816</v>
      </c>
      <c r="L61" s="349">
        <f t="shared" si="9"/>
        <v>0.12850848385106622</v>
      </c>
      <c r="M61" s="337">
        <f t="shared" si="10"/>
        <v>1.0000000428624158</v>
      </c>
      <c r="N61" s="340">
        <f t="shared" si="11"/>
        <v>2.9278802667379305E-4</v>
      </c>
      <c r="O61" s="341">
        <f t="shared" si="12"/>
        <v>1.0000001744292557</v>
      </c>
      <c r="P61" s="342">
        <f t="shared" si="13"/>
        <v>7.0894094732125803E-4</v>
      </c>
      <c r="Q61" s="343">
        <f t="shared" si="14"/>
        <v>34.328276726962997</v>
      </c>
      <c r="R61" s="344">
        <f t="shared" si="15"/>
        <v>-87.897014882727873</v>
      </c>
      <c r="S61" s="346">
        <f t="shared" si="16"/>
        <v>92.102985117272127</v>
      </c>
      <c r="U61" s="319">
        <f t="shared" si="23"/>
        <v>1000000000</v>
      </c>
      <c r="V61" s="319">
        <f t="shared" si="24"/>
        <v>6918.2469760000004</v>
      </c>
      <c r="X61" s="345">
        <f t="shared" si="17"/>
        <v>35.469831016168698</v>
      </c>
      <c r="Y61" s="346">
        <f t="shared" si="18"/>
        <v>-82.609862390699718</v>
      </c>
      <c r="AA61" s="345">
        <f t="shared" si="19"/>
        <v>47.732395695448552</v>
      </c>
      <c r="AB61" s="346">
        <f t="shared" si="20"/>
        <v>-5.2871524920281532</v>
      </c>
      <c r="AD61">
        <f t="shared" si="25"/>
        <v>0</v>
      </c>
      <c r="AE61">
        <f t="shared" si="26"/>
        <v>0</v>
      </c>
    </row>
    <row r="62" spans="1:31" x14ac:dyDescent="0.2">
      <c r="A62" s="347">
        <v>91.201000000000008</v>
      </c>
      <c r="B62" s="364">
        <f t="shared" si="22"/>
        <v>9.1201000000000004E-2</v>
      </c>
      <c r="C62" s="337">
        <f t="shared" si="0"/>
        <v>1.0050792012612346</v>
      </c>
      <c r="D62" s="338">
        <f t="shared" si="1"/>
        <v>0.10057629402677294</v>
      </c>
      <c r="E62" s="338">
        <f t="shared" si="2"/>
        <v>1.0000000262693252</v>
      </c>
      <c r="F62" s="339">
        <f t="shared" si="3"/>
        <v>2.2921310900393758E-4</v>
      </c>
      <c r="G62" s="338">
        <f t="shared" si="4"/>
        <v>1</v>
      </c>
      <c r="H62" s="339">
        <f t="shared" si="5"/>
        <v>0</v>
      </c>
      <c r="I62" s="337">
        <f t="shared" si="6"/>
        <v>1430.4318628637104</v>
      </c>
      <c r="J62" s="340">
        <f t="shared" si="7"/>
        <v>1.570097237165103</v>
      </c>
      <c r="K62" s="348">
        <f t="shared" si="8"/>
        <v>1.0099878779773108</v>
      </c>
      <c r="L62" s="349">
        <f t="shared" si="9"/>
        <v>0.14075119166041616</v>
      </c>
      <c r="M62" s="337">
        <f t="shared" si="10"/>
        <v>1.0000000515323304</v>
      </c>
      <c r="N62" s="340">
        <f t="shared" si="11"/>
        <v>3.2103684556046607E-4</v>
      </c>
      <c r="O62" s="341">
        <f t="shared" si="12"/>
        <v>1.0000002097116032</v>
      </c>
      <c r="P62" s="342">
        <f t="shared" si="13"/>
        <v>7.7734108578120394E-4</v>
      </c>
      <c r="Q62" s="343">
        <f t="shared" si="14"/>
        <v>33.535276621392789</v>
      </c>
      <c r="R62" s="344">
        <f t="shared" si="15"/>
        <v>-87.707892614175648</v>
      </c>
      <c r="S62" s="346">
        <f t="shared" si="16"/>
        <v>92.292107385824352</v>
      </c>
      <c r="U62" s="319">
        <f t="shared" si="23"/>
        <v>1000000000</v>
      </c>
      <c r="V62" s="319">
        <f t="shared" si="24"/>
        <v>8317.6224010000005</v>
      </c>
      <c r="X62" s="345">
        <f t="shared" si="17"/>
        <v>34.684203670636023</v>
      </c>
      <c r="Y62" s="346">
        <f t="shared" si="18"/>
        <v>-81.913890021051742</v>
      </c>
      <c r="AA62" s="345">
        <f t="shared" si="19"/>
        <v>47.725022935411019</v>
      </c>
      <c r="AB62" s="346">
        <f t="shared" si="20"/>
        <v>-5.7940025931239161</v>
      </c>
      <c r="AD62">
        <f t="shared" si="25"/>
        <v>0</v>
      </c>
      <c r="AE62">
        <f t="shared" si="26"/>
        <v>0</v>
      </c>
    </row>
    <row r="63" spans="1:31" x14ac:dyDescent="0.2">
      <c r="A63" s="347">
        <v>100</v>
      </c>
      <c r="B63" s="364">
        <f t="shared" si="22"/>
        <v>0.1</v>
      </c>
      <c r="C63" s="337">
        <f t="shared" si="0"/>
        <v>1.0061034365132442</v>
      </c>
      <c r="D63" s="338">
        <f t="shared" si="1"/>
        <v>0.11020484616752378</v>
      </c>
      <c r="E63" s="338">
        <f t="shared" si="2"/>
        <v>1.0000000315827335</v>
      </c>
      <c r="F63" s="339">
        <f t="shared" si="3"/>
        <v>2.5132740670826237E-4</v>
      </c>
      <c r="G63" s="338">
        <f t="shared" si="4"/>
        <v>1</v>
      </c>
      <c r="H63" s="339">
        <f t="shared" si="5"/>
        <v>0</v>
      </c>
      <c r="I63" s="337">
        <f t="shared" si="6"/>
        <v>1568.4387277081144</v>
      </c>
      <c r="J63" s="340">
        <f t="shared" si="7"/>
        <v>1.5701587500441543</v>
      </c>
      <c r="K63" s="348">
        <f t="shared" si="8"/>
        <v>1.0119961069628998</v>
      </c>
      <c r="L63" s="349">
        <f t="shared" si="9"/>
        <v>0.15412592079342488</v>
      </c>
      <c r="M63" s="337">
        <f t="shared" si="10"/>
        <v>1.0000000619556018</v>
      </c>
      <c r="N63" s="340">
        <f t="shared" si="11"/>
        <v>3.5201022283706324E-4</v>
      </c>
      <c r="O63" s="341">
        <f t="shared" si="12"/>
        <v>1.0000002521292619</v>
      </c>
      <c r="P63" s="342">
        <f t="shared" si="13"/>
        <v>8.5233831717069824E-4</v>
      </c>
      <c r="Q63" s="343">
        <f t="shared" si="14"/>
        <v>32.743675252121555</v>
      </c>
      <c r="R63" s="344">
        <f t="shared" si="15"/>
        <v>-87.501581524033512</v>
      </c>
      <c r="S63" s="346">
        <f t="shared" si="16"/>
        <v>92.498418475966488</v>
      </c>
      <c r="U63" s="319">
        <f t="shared" si="23"/>
        <v>1000000000</v>
      </c>
      <c r="V63" s="319">
        <f t="shared" si="24"/>
        <v>10000</v>
      </c>
      <c r="X63" s="345">
        <f t="shared" si="17"/>
        <v>33.901449552777677</v>
      </c>
      <c r="Y63" s="346">
        <f t="shared" si="18"/>
        <v>-81.152873560880636</v>
      </c>
      <c r="AA63" s="345">
        <f t="shared" si="19"/>
        <v>47.716175683998131</v>
      </c>
      <c r="AB63" s="346">
        <f t="shared" si="20"/>
        <v>-6.3487079631528669</v>
      </c>
      <c r="AD63">
        <f t="shared" si="25"/>
        <v>0</v>
      </c>
      <c r="AE63">
        <f t="shared" si="26"/>
        <v>0</v>
      </c>
    </row>
    <row r="64" spans="1:31" x14ac:dyDescent="0.2">
      <c r="A64" s="347">
        <v>109.65</v>
      </c>
      <c r="B64" s="364">
        <f t="shared" si="22"/>
        <v>0.10965000000000001</v>
      </c>
      <c r="C64" s="337">
        <f t="shared" si="0"/>
        <v>1.007333738854437</v>
      </c>
      <c r="D64" s="338">
        <f t="shared" si="1"/>
        <v>0.12074102692648019</v>
      </c>
      <c r="E64" s="338">
        <f t="shared" si="2"/>
        <v>1.0000000379723073</v>
      </c>
      <c r="F64" s="339">
        <f t="shared" si="3"/>
        <v>2.7558050028171508E-4</v>
      </c>
      <c r="G64" s="338">
        <f t="shared" si="4"/>
        <v>1</v>
      </c>
      <c r="H64" s="339">
        <f t="shared" si="5"/>
        <v>0</v>
      </c>
      <c r="I64" s="337">
        <f t="shared" si="6"/>
        <v>1719.7930061131692</v>
      </c>
      <c r="J64" s="340">
        <f t="shared" si="7"/>
        <v>1.5702148614366844</v>
      </c>
      <c r="K64" s="348">
        <f t="shared" si="8"/>
        <v>1.0144058129537323</v>
      </c>
      <c r="L64" s="349">
        <f t="shared" si="9"/>
        <v>0.16873039458426639</v>
      </c>
      <c r="M64" s="337">
        <f t="shared" si="10"/>
        <v>1.0000000744899784</v>
      </c>
      <c r="N64" s="340">
        <f t="shared" si="11"/>
        <v>3.8597920611550086E-4</v>
      </c>
      <c r="O64" s="341">
        <f t="shared" si="12"/>
        <v>1.000000303138094</v>
      </c>
      <c r="P64" s="342">
        <f t="shared" si="13"/>
        <v>9.3458893999906652E-4</v>
      </c>
      <c r="Q64" s="343">
        <f t="shared" si="14"/>
        <v>31.95354512635836</v>
      </c>
      <c r="R64" s="344">
        <f t="shared" si="15"/>
        <v>-87.276969742226626</v>
      </c>
      <c r="S64" s="346">
        <f t="shared" si="16"/>
        <v>92.723030257773374</v>
      </c>
      <c r="U64" s="319">
        <f t="shared" si="23"/>
        <v>1000000000</v>
      </c>
      <c r="V64" s="319">
        <f t="shared" si="24"/>
        <v>12023.122500000001</v>
      </c>
      <c r="X64" s="345">
        <f t="shared" si="17"/>
        <v>33.121934768758905</v>
      </c>
      <c r="Y64" s="346">
        <f t="shared" si="18"/>
        <v>-80.321260075056529</v>
      </c>
      <c r="AA64" s="345">
        <f t="shared" si="19"/>
        <v>47.705560342253712</v>
      </c>
      <c r="AB64" s="346">
        <f t="shared" si="20"/>
        <v>-6.9557096671701064</v>
      </c>
      <c r="AD64">
        <f t="shared" si="25"/>
        <v>0</v>
      </c>
      <c r="AE64">
        <f t="shared" si="26"/>
        <v>0</v>
      </c>
    </row>
    <row r="65" spans="1:31" x14ac:dyDescent="0.2">
      <c r="A65" s="347">
        <v>120.23</v>
      </c>
      <c r="B65" s="364">
        <f t="shared" si="22"/>
        <v>0.12023</v>
      </c>
      <c r="C65" s="337">
        <f t="shared" si="0"/>
        <v>1.0088107812117371</v>
      </c>
      <c r="D65" s="338">
        <f t="shared" si="1"/>
        <v>0.13226165234829135</v>
      </c>
      <c r="E65" s="338">
        <f t="shared" si="2"/>
        <v>1.0000000456536398</v>
      </c>
      <c r="F65" s="339">
        <f t="shared" si="3"/>
        <v>3.0217093825079795E-4</v>
      </c>
      <c r="G65" s="338">
        <f t="shared" si="4"/>
        <v>1</v>
      </c>
      <c r="H65" s="339">
        <f t="shared" si="5"/>
        <v>0</v>
      </c>
      <c r="I65" s="337">
        <f t="shared" si="6"/>
        <v>1885.7337641929839</v>
      </c>
      <c r="J65" s="340">
        <f t="shared" si="7"/>
        <v>1.5702660292174455</v>
      </c>
      <c r="K65" s="348">
        <f t="shared" si="8"/>
        <v>1.017295125613455</v>
      </c>
      <c r="L65" s="349">
        <f t="shared" si="9"/>
        <v>0.18465904836975275</v>
      </c>
      <c r="M65" s="337">
        <f t="shared" si="10"/>
        <v>1.0000000895583878</v>
      </c>
      <c r="N65" s="340">
        <f t="shared" si="11"/>
        <v>4.2322188312893277E-4</v>
      </c>
      <c r="O65" s="341">
        <f t="shared" si="12"/>
        <v>1.0000003644592079</v>
      </c>
      <c r="P65" s="342">
        <f t="shared" si="13"/>
        <v>1.0247662989026501E-3</v>
      </c>
      <c r="Q65" s="343">
        <f t="shared" si="14"/>
        <v>31.165438545660976</v>
      </c>
      <c r="R65" s="344">
        <f t="shared" si="15"/>
        <v>-87.033117129032533</v>
      </c>
      <c r="S65" s="346">
        <f t="shared" si="16"/>
        <v>92.966882870967467</v>
      </c>
      <c r="U65" s="319">
        <f t="shared" si="23"/>
        <v>1000000000</v>
      </c>
      <c r="V65" s="319">
        <f t="shared" si="24"/>
        <v>14455.252900000001</v>
      </c>
      <c r="X65" s="345">
        <f t="shared" si="17"/>
        <v>32.346555349972576</v>
      </c>
      <c r="Y65" s="346">
        <f t="shared" si="18"/>
        <v>-79.41368098488131</v>
      </c>
      <c r="AA65" s="345">
        <f t="shared" si="19"/>
        <v>47.692833180342653</v>
      </c>
      <c r="AB65" s="346">
        <f t="shared" si="20"/>
        <v>-7.6194361441512077</v>
      </c>
      <c r="AD65">
        <f t="shared" si="25"/>
        <v>0</v>
      </c>
      <c r="AE65">
        <f t="shared" si="26"/>
        <v>0</v>
      </c>
    </row>
    <row r="66" spans="1:31" x14ac:dyDescent="0.2">
      <c r="A66" s="347">
        <v>131.83000000000001</v>
      </c>
      <c r="B66" s="364">
        <f t="shared" si="22"/>
        <v>0.13183</v>
      </c>
      <c r="C66" s="337">
        <f t="shared" si="0"/>
        <v>1.0105836170696312</v>
      </c>
      <c r="D66" s="338">
        <f t="shared" si="1"/>
        <v>0.14485239572140632</v>
      </c>
      <c r="E66" s="338">
        <f t="shared" si="2"/>
        <v>1.0000000548881023</v>
      </c>
      <c r="F66" s="339">
        <f t="shared" si="3"/>
        <v>3.313249151157362E-4</v>
      </c>
      <c r="G66" s="338">
        <f t="shared" si="4"/>
        <v>1</v>
      </c>
      <c r="H66" s="339">
        <f t="shared" si="5"/>
        <v>0</v>
      </c>
      <c r="I66" s="337">
        <f t="shared" si="6"/>
        <v>2067.6725962966734</v>
      </c>
      <c r="J66" s="340">
        <f t="shared" si="7"/>
        <v>1.570312691213144</v>
      </c>
      <c r="K66" s="348">
        <f t="shared" si="8"/>
        <v>1.0207578181027075</v>
      </c>
      <c r="L66" s="349">
        <f t="shared" si="9"/>
        <v>0.20201481680149144</v>
      </c>
      <c r="M66" s="337">
        <f t="shared" si="10"/>
        <v>1.0000001076735603</v>
      </c>
      <c r="N66" s="340">
        <f t="shared" si="11"/>
        <v>4.6405506262233446E-4</v>
      </c>
      <c r="O66" s="341">
        <f t="shared" si="12"/>
        <v>1.0000004381791656</v>
      </c>
      <c r="P66" s="342">
        <f t="shared" si="13"/>
        <v>1.1236374948669367E-3</v>
      </c>
      <c r="Q66" s="343">
        <f t="shared" si="14"/>
        <v>30.379674190393132</v>
      </c>
      <c r="R66" s="344">
        <f t="shared" si="15"/>
        <v>-86.769108910277637</v>
      </c>
      <c r="S66" s="346">
        <f t="shared" si="16"/>
        <v>93.230891089722363</v>
      </c>
      <c r="U66" s="319">
        <f t="shared" si="23"/>
        <v>1000000000</v>
      </c>
      <c r="V66" s="319">
        <f t="shared" si="24"/>
        <v>17379.148900000004</v>
      </c>
      <c r="X66" s="345">
        <f t="shared" si="17"/>
        <v>31.576042325620929</v>
      </c>
      <c r="Y66" s="346">
        <f t="shared" si="18"/>
        <v>-78.424281806671985</v>
      </c>
      <c r="AA66" s="345">
        <f t="shared" si="19"/>
        <v>47.67758184942646</v>
      </c>
      <c r="AB66" s="346">
        <f t="shared" si="20"/>
        <v>-8.3448271036056667</v>
      </c>
      <c r="AD66">
        <f t="shared" si="25"/>
        <v>0</v>
      </c>
      <c r="AE66">
        <f t="shared" si="26"/>
        <v>0</v>
      </c>
    </row>
    <row r="67" spans="1:31" x14ac:dyDescent="0.2">
      <c r="A67" s="347">
        <v>144.54</v>
      </c>
      <c r="B67" s="364">
        <f t="shared" si="22"/>
        <v>0.14454</v>
      </c>
      <c r="C67" s="337">
        <f t="shared" si="0"/>
        <v>1.0127093340119724</v>
      </c>
      <c r="D67" s="338">
        <f t="shared" si="1"/>
        <v>0.15859490474881763</v>
      </c>
      <c r="E67" s="338">
        <f t="shared" si="2"/>
        <v>1.0000000659820507</v>
      </c>
      <c r="F67" s="339">
        <f t="shared" si="3"/>
        <v>3.6326862532532747E-4</v>
      </c>
      <c r="G67" s="338">
        <f t="shared" si="4"/>
        <v>1</v>
      </c>
      <c r="H67" s="339">
        <f t="shared" si="5"/>
        <v>0</v>
      </c>
      <c r="I67" s="337">
        <f t="shared" si="6"/>
        <v>2267.0210968063338</v>
      </c>
      <c r="J67" s="340">
        <f t="shared" si="7"/>
        <v>1.5703552192843233</v>
      </c>
      <c r="K67" s="348">
        <f t="shared" si="8"/>
        <v>1.0249023018029273</v>
      </c>
      <c r="L67" s="349">
        <f t="shared" si="9"/>
        <v>0.2208903787125277</v>
      </c>
      <c r="M67" s="337">
        <f t="shared" si="10"/>
        <v>1.0000001294364715</v>
      </c>
      <c r="N67" s="340">
        <f t="shared" si="11"/>
        <v>5.0879555319938131E-4</v>
      </c>
      <c r="O67" s="341">
        <f t="shared" si="12"/>
        <v>1.0000005267436456</v>
      </c>
      <c r="P67" s="342">
        <f t="shared" si="13"/>
        <v>1.2319696277918834E-3</v>
      </c>
      <c r="Q67" s="343">
        <f t="shared" si="14"/>
        <v>29.597141417318618</v>
      </c>
      <c r="R67" s="344">
        <f t="shared" si="15"/>
        <v>-86.484383498201197</v>
      </c>
      <c r="S67" s="346">
        <f t="shared" si="16"/>
        <v>93.515616501798803</v>
      </c>
      <c r="U67" s="319">
        <f t="shared" si="23"/>
        <v>1000000000</v>
      </c>
      <c r="V67" s="319">
        <f t="shared" si="24"/>
        <v>20891.811599999997</v>
      </c>
      <c r="X67" s="345">
        <f t="shared" si="17"/>
        <v>30.811761412993597</v>
      </c>
      <c r="Y67" s="346">
        <f t="shared" si="18"/>
        <v>-77.347791892274458</v>
      </c>
      <c r="AA67" s="345">
        <f t="shared" si="19"/>
        <v>47.659329988979273</v>
      </c>
      <c r="AB67" s="346">
        <f t="shared" si="20"/>
        <v>-9.1365916059267427</v>
      </c>
      <c r="AD67">
        <f t="shared" si="25"/>
        <v>0</v>
      </c>
      <c r="AE67">
        <f t="shared" si="26"/>
        <v>0</v>
      </c>
    </row>
    <row r="68" spans="1:31" x14ac:dyDescent="0.2">
      <c r="A68" s="347">
        <v>158.49</v>
      </c>
      <c r="B68" s="364">
        <f t="shared" si="22"/>
        <v>0.15849000000000002</v>
      </c>
      <c r="C68" s="337">
        <f t="shared" si="0"/>
        <v>1.0152615995751584</v>
      </c>
      <c r="D68" s="338">
        <f t="shared" si="1"/>
        <v>0.17360873936384391</v>
      </c>
      <c r="E68" s="338">
        <f t="shared" si="2"/>
        <v>1.0000000793329193</v>
      </c>
      <c r="F68" s="339">
        <f t="shared" si="3"/>
        <v>3.9832879421174269E-4</v>
      </c>
      <c r="G68" s="338">
        <f t="shared" si="4"/>
        <v>1</v>
      </c>
      <c r="H68" s="339">
        <f t="shared" si="5"/>
        <v>0</v>
      </c>
      <c r="I68" s="337">
        <f t="shared" si="6"/>
        <v>2485.8182354378991</v>
      </c>
      <c r="J68" s="340">
        <f t="shared" si="7"/>
        <v>1.5703940447564451</v>
      </c>
      <c r="K68" s="348">
        <f t="shared" si="8"/>
        <v>1.029867814058937</v>
      </c>
      <c r="L68" s="349">
        <f t="shared" si="9"/>
        <v>0.24142442357664301</v>
      </c>
      <c r="M68" s="337">
        <f t="shared" si="10"/>
        <v>1.0000001556267648</v>
      </c>
      <c r="N68" s="340">
        <f t="shared" si="11"/>
        <v>5.5790096733497499E-4</v>
      </c>
      <c r="O68" s="341">
        <f t="shared" si="12"/>
        <v>1.0000006333254154</v>
      </c>
      <c r="P68" s="342">
        <f t="shared" si="13"/>
        <v>1.3508707312302366E-3</v>
      </c>
      <c r="Q68" s="343">
        <f t="shared" si="14"/>
        <v>28.816981617868947</v>
      </c>
      <c r="R68" s="344">
        <f t="shared" si="15"/>
        <v>-86.177940548925037</v>
      </c>
      <c r="S68" s="346">
        <f t="shared" si="16"/>
        <v>93.822059451074963</v>
      </c>
      <c r="U68" s="319">
        <f t="shared" si="23"/>
        <v>1000000000</v>
      </c>
      <c r="V68" s="319">
        <f t="shared" si="24"/>
        <v>25119.080100000003</v>
      </c>
      <c r="X68" s="345">
        <f t="shared" si="17"/>
        <v>30.053465368555571</v>
      </c>
      <c r="Y68" s="346">
        <f t="shared" si="18"/>
        <v>-76.17631585256116</v>
      </c>
      <c r="AA68" s="345">
        <f t="shared" si="19"/>
        <v>47.637466233967629</v>
      </c>
      <c r="AB68" s="346">
        <f t="shared" si="20"/>
        <v>-10.001624696363875</v>
      </c>
      <c r="AD68">
        <f t="shared" si="25"/>
        <v>0</v>
      </c>
      <c r="AE68">
        <f t="shared" si="26"/>
        <v>0</v>
      </c>
    </row>
    <row r="69" spans="1:31" x14ac:dyDescent="0.2">
      <c r="A69" s="347">
        <v>173.78</v>
      </c>
      <c r="B69" s="364">
        <f t="shared" si="22"/>
        <v>0.17377999999999999</v>
      </c>
      <c r="C69" s="337">
        <f t="shared" si="0"/>
        <v>1.0183204952180436</v>
      </c>
      <c r="D69" s="338">
        <f t="shared" si="1"/>
        <v>0.18997420262728684</v>
      </c>
      <c r="E69" s="338">
        <f t="shared" si="2"/>
        <v>1.0000000953782364</v>
      </c>
      <c r="F69" s="339">
        <f t="shared" si="3"/>
        <v>4.3675674880220785E-4</v>
      </c>
      <c r="G69" s="338">
        <f t="shared" si="4"/>
        <v>1</v>
      </c>
      <c r="H69" s="339">
        <f t="shared" si="5"/>
        <v>0</v>
      </c>
      <c r="I69" s="337">
        <f t="shared" si="6"/>
        <v>2725.6324504643726</v>
      </c>
      <c r="J69" s="340">
        <f t="shared" si="7"/>
        <v>1.5704294394611829</v>
      </c>
      <c r="K69" s="348">
        <f t="shared" si="8"/>
        <v>1.0358039626929558</v>
      </c>
      <c r="L69" s="349">
        <f t="shared" si="9"/>
        <v>0.26369431311828373</v>
      </c>
      <c r="M69" s="337">
        <f t="shared" si="10"/>
        <v>1.0000001871027357</v>
      </c>
      <c r="N69" s="340">
        <f t="shared" si="11"/>
        <v>6.1172331420930462E-4</v>
      </c>
      <c r="O69" s="341">
        <f t="shared" si="12"/>
        <v>1.0000007614173159</v>
      </c>
      <c r="P69" s="342">
        <f t="shared" si="13"/>
        <v>1.4811931354890631E-3</v>
      </c>
      <c r="Q69" s="343">
        <f t="shared" si="14"/>
        <v>28.040813100245444</v>
      </c>
      <c r="R69" s="344">
        <f t="shared" si="15"/>
        <v>-85.850018767008109</v>
      </c>
      <c r="S69" s="346">
        <f t="shared" si="16"/>
        <v>94.149981232991891</v>
      </c>
      <c r="U69" s="319">
        <f t="shared" si="23"/>
        <v>1000000000</v>
      </c>
      <c r="V69" s="319">
        <f t="shared" si="24"/>
        <v>30199.488400000002</v>
      </c>
      <c r="X69" s="345">
        <f t="shared" si="17"/>
        <v>29.303428315838143</v>
      </c>
      <c r="Y69" s="346">
        <f t="shared" si="18"/>
        <v>-74.905456930668436</v>
      </c>
      <c r="AA69" s="345">
        <f t="shared" si="19"/>
        <v>47.611334769061557</v>
      </c>
      <c r="AB69" s="346">
        <f t="shared" si="20"/>
        <v>-10.944561836339686</v>
      </c>
      <c r="AD69">
        <f t="shared" si="25"/>
        <v>0</v>
      </c>
      <c r="AE69">
        <f t="shared" si="26"/>
        <v>0</v>
      </c>
    </row>
    <row r="70" spans="1:31" x14ac:dyDescent="0.2">
      <c r="A70" s="347">
        <v>190.55</v>
      </c>
      <c r="B70" s="364">
        <f t="shared" si="22"/>
        <v>0.19055000000000002</v>
      </c>
      <c r="C70" s="337">
        <f t="shared" si="0"/>
        <v>1.0219870663152717</v>
      </c>
      <c r="D70" s="338">
        <f t="shared" si="1"/>
        <v>0.20780579264469251</v>
      </c>
      <c r="E70" s="338">
        <f t="shared" si="2"/>
        <v>1.0000001146746977</v>
      </c>
      <c r="F70" s="339">
        <f t="shared" si="3"/>
        <v>4.7890434695385941E-4</v>
      </c>
      <c r="G70" s="338">
        <f t="shared" si="4"/>
        <v>1</v>
      </c>
      <c r="H70" s="339">
        <f t="shared" si="5"/>
        <v>0</v>
      </c>
      <c r="I70" s="337">
        <f t="shared" si="6"/>
        <v>2988.6595554956284</v>
      </c>
      <c r="J70" s="340">
        <f t="shared" si="7"/>
        <v>1.5704617286246834</v>
      </c>
      <c r="K70" s="348">
        <f t="shared" si="8"/>
        <v>1.0428981590118842</v>
      </c>
      <c r="L70" s="349">
        <f t="shared" si="9"/>
        <v>0.28781498715923004</v>
      </c>
      <c r="M70" s="337">
        <f t="shared" si="10"/>
        <v>1.0000002249564501</v>
      </c>
      <c r="N70" s="340">
        <f t="shared" si="11"/>
        <v>6.7075540672689423E-4</v>
      </c>
      <c r="O70" s="341">
        <f t="shared" si="12"/>
        <v>1.0000009154635194</v>
      </c>
      <c r="P70" s="342">
        <f t="shared" si="13"/>
        <v>1.6241301033997329E-3</v>
      </c>
      <c r="Q70" s="343">
        <f t="shared" si="14"/>
        <v>27.268696848399735</v>
      </c>
      <c r="R70" s="344">
        <f t="shared" si="15"/>
        <v>-85.50068792311356</v>
      </c>
      <c r="S70" s="346">
        <f t="shared" si="16"/>
        <v>94.49931207688644</v>
      </c>
      <c r="U70" s="319">
        <f t="shared" si="23"/>
        <v>1000000000</v>
      </c>
      <c r="V70" s="319">
        <f t="shared" si="24"/>
        <v>36309.302500000005</v>
      </c>
      <c r="X70" s="345">
        <f t="shared" si="17"/>
        <v>28.562531533834235</v>
      </c>
      <c r="Y70" s="346">
        <f t="shared" si="18"/>
        <v>-73.528676430087899</v>
      </c>
      <c r="AA70" s="345">
        <f t="shared" si="19"/>
        <v>47.580115299219756</v>
      </c>
      <c r="AB70" s="346">
        <f t="shared" si="20"/>
        <v>-11.972011493025649</v>
      </c>
      <c r="AD70">
        <f t="shared" si="25"/>
        <v>0</v>
      </c>
      <c r="AE70">
        <f t="shared" si="26"/>
        <v>0</v>
      </c>
    </row>
    <row r="71" spans="1:31" x14ac:dyDescent="0.2">
      <c r="A71" s="347">
        <v>208.93</v>
      </c>
      <c r="B71" s="364">
        <f t="shared" si="22"/>
        <v>0.20893</v>
      </c>
      <c r="C71" s="337">
        <f t="shared" si="0"/>
        <v>1.026376023660031</v>
      </c>
      <c r="D71" s="338">
        <f t="shared" si="1"/>
        <v>0.22719610034141396</v>
      </c>
      <c r="E71" s="338">
        <f t="shared" si="2"/>
        <v>1.0000001378641354</v>
      </c>
      <c r="F71" s="339">
        <f t="shared" si="3"/>
        <v>5.2509831363011688E-4</v>
      </c>
      <c r="G71" s="338">
        <f t="shared" si="4"/>
        <v>1</v>
      </c>
      <c r="H71" s="339">
        <f t="shared" si="5"/>
        <v>0</v>
      </c>
      <c r="I71" s="337">
        <f t="shared" si="6"/>
        <v>3276.9385203374322</v>
      </c>
      <c r="J71" s="340">
        <f t="shared" si="7"/>
        <v>1.5704911639090766</v>
      </c>
      <c r="K71" s="348">
        <f t="shared" si="8"/>
        <v>1.0513602510697129</v>
      </c>
      <c r="L71" s="349">
        <f t="shared" si="9"/>
        <v>0.31386061849191671</v>
      </c>
      <c r="M71" s="337">
        <f t="shared" si="10"/>
        <v>1.0000002704469837</v>
      </c>
      <c r="N71" s="340">
        <f t="shared" si="11"/>
        <v>7.3545485634948196E-4</v>
      </c>
      <c r="O71" s="341">
        <f t="shared" si="12"/>
        <v>1.0000011005878462</v>
      </c>
      <c r="P71" s="342">
        <f t="shared" si="13"/>
        <v>1.7807896607314186E-3</v>
      </c>
      <c r="Q71" s="343">
        <f t="shared" si="14"/>
        <v>26.501829187580384</v>
      </c>
      <c r="R71" s="344">
        <f t="shared" si="15"/>
        <v>-85.131088702147423</v>
      </c>
      <c r="S71" s="346">
        <f t="shared" si="16"/>
        <v>94.868911297852577</v>
      </c>
      <c r="U71" s="319">
        <f t="shared" si="23"/>
        <v>1000000000</v>
      </c>
      <c r="V71" s="319">
        <f t="shared" si="24"/>
        <v>43651.744900000005</v>
      </c>
      <c r="X71" s="345">
        <f t="shared" si="17"/>
        <v>27.832887252218043</v>
      </c>
      <c r="Y71" s="346">
        <f t="shared" si="18"/>
        <v>-72.041765201236913</v>
      </c>
      <c r="AA71" s="345">
        <f t="shared" si="19"/>
        <v>47.542891920016601</v>
      </c>
      <c r="AB71" s="346">
        <f t="shared" si="20"/>
        <v>-13.089323500910515</v>
      </c>
      <c r="AD71">
        <f t="shared" si="25"/>
        <v>0</v>
      </c>
      <c r="AE71">
        <f t="shared" si="26"/>
        <v>0</v>
      </c>
    </row>
    <row r="72" spans="1:31" x14ac:dyDescent="0.2">
      <c r="A72" s="347">
        <v>229.09</v>
      </c>
      <c r="B72" s="364">
        <f t="shared" si="22"/>
        <v>0.22909000000000002</v>
      </c>
      <c r="C72" s="337">
        <f t="shared" si="0"/>
        <v>1.0316297281114453</v>
      </c>
      <c r="D72" s="338">
        <f t="shared" si="1"/>
        <v>0.24826569548619648</v>
      </c>
      <c r="E72" s="338">
        <f t="shared" si="2"/>
        <v>1.0000001657532114</v>
      </c>
      <c r="F72" s="339">
        <f t="shared" si="3"/>
        <v>5.7576590452743538E-4</v>
      </c>
      <c r="G72" s="338">
        <f t="shared" si="4"/>
        <v>1</v>
      </c>
      <c r="H72" s="339">
        <f t="shared" si="5"/>
        <v>0</v>
      </c>
      <c r="I72" s="337">
        <f t="shared" si="6"/>
        <v>3593.1356901484291</v>
      </c>
      <c r="J72" s="340">
        <f t="shared" si="7"/>
        <v>1.5705180183481404</v>
      </c>
      <c r="K72" s="348">
        <f t="shared" si="8"/>
        <v>1.0614479441759421</v>
      </c>
      <c r="L72" s="349">
        <f t="shared" si="9"/>
        <v>0.34192988326460216</v>
      </c>
      <c r="M72" s="337">
        <f t="shared" si="10"/>
        <v>1.0000003251567591</v>
      </c>
      <c r="N72" s="340">
        <f t="shared" si="11"/>
        <v>8.0642007799697061E-4</v>
      </c>
      <c r="O72" s="341">
        <f t="shared" si="12"/>
        <v>1.0000013232299725</v>
      </c>
      <c r="P72" s="342">
        <f t="shared" si="13"/>
        <v>1.9526207637327693E-3</v>
      </c>
      <c r="Q72" s="343">
        <f t="shared" si="14"/>
        <v>25.74031645756946</v>
      </c>
      <c r="R72" s="344">
        <f t="shared" si="15"/>
        <v>-84.742583985625444</v>
      </c>
      <c r="S72" s="346">
        <f t="shared" si="16"/>
        <v>95.257416014374556</v>
      </c>
      <c r="U72" s="319">
        <f t="shared" si="23"/>
        <v>1000000000</v>
      </c>
      <c r="V72" s="319">
        <f t="shared" si="24"/>
        <v>52482.2281</v>
      </c>
      <c r="X72" s="345">
        <f t="shared" si="17"/>
        <v>27.115723219296708</v>
      </c>
      <c r="Y72" s="346">
        <f t="shared" si="18"/>
        <v>-70.439119447607666</v>
      </c>
      <c r="AA72" s="345">
        <f t="shared" si="19"/>
        <v>47.498543222926997</v>
      </c>
      <c r="AB72" s="346">
        <f t="shared" si="20"/>
        <v>-14.303464538017785</v>
      </c>
      <c r="AD72">
        <f t="shared" si="25"/>
        <v>0</v>
      </c>
      <c r="AE72">
        <f t="shared" si="26"/>
        <v>0</v>
      </c>
    </row>
    <row r="73" spans="1:31" x14ac:dyDescent="0.2">
      <c r="A73" s="347">
        <v>251.19</v>
      </c>
      <c r="B73" s="364">
        <f t="shared" si="22"/>
        <v>0.25119000000000002</v>
      </c>
      <c r="C73" s="337">
        <f t="shared" si="0"/>
        <v>1.037909456720276</v>
      </c>
      <c r="D73" s="338">
        <f t="shared" si="1"/>
        <v>0.27110645785161031</v>
      </c>
      <c r="E73" s="338">
        <f t="shared" si="2"/>
        <v>1.0000001992757128</v>
      </c>
      <c r="F73" s="339">
        <f t="shared" si="3"/>
        <v>6.3130924233306771E-4</v>
      </c>
      <c r="G73" s="338">
        <f t="shared" si="4"/>
        <v>1</v>
      </c>
      <c r="H73" s="339">
        <f t="shared" si="5"/>
        <v>0</v>
      </c>
      <c r="I73" s="337">
        <f t="shared" si="6"/>
        <v>3939.7605662767328</v>
      </c>
      <c r="J73" s="340">
        <f t="shared" si="7"/>
        <v>1.5705425042607819</v>
      </c>
      <c r="K73" s="348">
        <f t="shared" si="8"/>
        <v>1.0734478423573544</v>
      </c>
      <c r="L73" s="349">
        <f t="shared" si="9"/>
        <v>0.37206772202125393</v>
      </c>
      <c r="M73" s="337">
        <f t="shared" si="10"/>
        <v>1.0000003909175781</v>
      </c>
      <c r="N73" s="340">
        <f t="shared" si="11"/>
        <v>8.8421428482917774E-4</v>
      </c>
      <c r="O73" s="341">
        <f t="shared" si="12"/>
        <v>1.0000015908444242</v>
      </c>
      <c r="P73" s="342">
        <f t="shared" si="13"/>
        <v>2.1409871291526114E-3</v>
      </c>
      <c r="Q73" s="343">
        <f t="shared" si="14"/>
        <v>24.985322170834724</v>
      </c>
      <c r="R73" s="344">
        <f t="shared" si="15"/>
        <v>-84.337962723239002</v>
      </c>
      <c r="S73" s="346">
        <f t="shared" si="16"/>
        <v>95.662037276760998</v>
      </c>
      <c r="U73" s="319">
        <f t="shared" si="23"/>
        <v>1000000000</v>
      </c>
      <c r="V73" s="319">
        <f t="shared" si="24"/>
        <v>63096.416100000002</v>
      </c>
      <c r="X73" s="345">
        <f t="shared" si="17"/>
        <v>26.413443373969322</v>
      </c>
      <c r="Y73" s="346">
        <f t="shared" si="18"/>
        <v>-68.718208700413214</v>
      </c>
      <c r="AA73" s="345">
        <f t="shared" si="19"/>
        <v>47.445828781519658</v>
      </c>
      <c r="AB73" s="346">
        <f t="shared" si="20"/>
        <v>-15.619754022825768</v>
      </c>
      <c r="AD73">
        <f t="shared" si="25"/>
        <v>0</v>
      </c>
      <c r="AE73">
        <f t="shared" si="26"/>
        <v>0</v>
      </c>
    </row>
    <row r="74" spans="1:31" x14ac:dyDescent="0.2">
      <c r="A74" s="347">
        <v>275.42</v>
      </c>
      <c r="B74" s="364">
        <f t="shared" si="22"/>
        <v>0.27542</v>
      </c>
      <c r="C74" s="337">
        <f t="shared" si="0"/>
        <v>1.0454086523037107</v>
      </c>
      <c r="D74" s="338">
        <f t="shared" si="1"/>
        <v>0.29581891543478128</v>
      </c>
      <c r="E74" s="338">
        <f t="shared" si="2"/>
        <v>1.0000002395745156</v>
      </c>
      <c r="F74" s="339">
        <f t="shared" si="3"/>
        <v>6.9220584757381397E-4</v>
      </c>
      <c r="G74" s="338">
        <f t="shared" si="4"/>
        <v>1</v>
      </c>
      <c r="H74" s="339">
        <f t="shared" si="5"/>
        <v>0</v>
      </c>
      <c r="I74" s="337">
        <f t="shared" si="6"/>
        <v>4319.7931815929987</v>
      </c>
      <c r="J74" s="340">
        <f t="shared" si="7"/>
        <v>1.5705648342287264</v>
      </c>
      <c r="K74" s="348">
        <f t="shared" si="8"/>
        <v>1.087698203311535</v>
      </c>
      <c r="L74" s="349">
        <f t="shared" si="9"/>
        <v>0.40431351441448904</v>
      </c>
      <c r="M74" s="337">
        <f t="shared" si="10"/>
        <v>1.0000004699714091</v>
      </c>
      <c r="N74" s="340">
        <f t="shared" si="11"/>
        <v>9.6950629202192679E-4</v>
      </c>
      <c r="O74" s="341">
        <f t="shared" si="12"/>
        <v>1.0000019125548976</v>
      </c>
      <c r="P74" s="342">
        <f t="shared" si="13"/>
        <v>2.347508167161891E-3</v>
      </c>
      <c r="Q74" s="343">
        <f t="shared" si="14"/>
        <v>24.23747337672145</v>
      </c>
      <c r="R74" s="344">
        <f t="shared" si="15"/>
        <v>-83.920844382836535</v>
      </c>
      <c r="S74" s="346">
        <f t="shared" si="16"/>
        <v>96.079155617163465</v>
      </c>
      <c r="U74" s="319">
        <f t="shared" si="23"/>
        <v>1000000000</v>
      </c>
      <c r="V74" s="319">
        <f t="shared" si="24"/>
        <v>75856.176400000011</v>
      </c>
      <c r="X74" s="345">
        <f t="shared" si="17"/>
        <v>25.728129449016706</v>
      </c>
      <c r="Y74" s="346">
        <f t="shared" si="18"/>
        <v>-66.876827172079942</v>
      </c>
      <c r="AA74" s="345">
        <f t="shared" si="19"/>
        <v>47.383293912359001</v>
      </c>
      <c r="AB74" s="346">
        <f t="shared" si="20"/>
        <v>-17.044017210756614</v>
      </c>
      <c r="AD74">
        <f t="shared" si="25"/>
        <v>0</v>
      </c>
      <c r="AE74">
        <f t="shared" si="26"/>
        <v>0</v>
      </c>
    </row>
    <row r="75" spans="1:31" x14ac:dyDescent="0.2">
      <c r="A75" s="347">
        <v>302</v>
      </c>
      <c r="B75" s="364">
        <f t="shared" si="22"/>
        <v>0.30199999999999999</v>
      </c>
      <c r="C75" s="337">
        <f t="shared" si="0"/>
        <v>1.05435824904037</v>
      </c>
      <c r="D75" s="338">
        <f t="shared" si="1"/>
        <v>0.322505691642957</v>
      </c>
      <c r="E75" s="338">
        <f t="shared" si="2"/>
        <v>1.0000002880471257</v>
      </c>
      <c r="F75" s="339">
        <f t="shared" si="3"/>
        <v>7.5900863848649689E-4</v>
      </c>
      <c r="G75" s="338">
        <f t="shared" si="4"/>
        <v>1</v>
      </c>
      <c r="H75" s="339">
        <f t="shared" si="5"/>
        <v>0</v>
      </c>
      <c r="I75" s="337">
        <f t="shared" si="6"/>
        <v>4736.6841004966564</v>
      </c>
      <c r="J75" s="340">
        <f t="shared" si="7"/>
        <v>1.5705852086400416</v>
      </c>
      <c r="K75" s="348">
        <f t="shared" si="8"/>
        <v>1.1045954343024207</v>
      </c>
      <c r="L75" s="349">
        <f t="shared" si="9"/>
        <v>0.4386900886757929</v>
      </c>
      <c r="M75" s="337">
        <f t="shared" si="10"/>
        <v>1.0000005650597275</v>
      </c>
      <c r="N75" s="340">
        <f t="shared" si="11"/>
        <v>1.0630705164111779E-3</v>
      </c>
      <c r="O75" s="341">
        <f t="shared" si="12"/>
        <v>1.0000022995178237</v>
      </c>
      <c r="P75" s="342">
        <f t="shared" si="13"/>
        <v>2.5740589786197522E-3</v>
      </c>
      <c r="Q75" s="343">
        <f t="shared" si="14"/>
        <v>23.497094722728868</v>
      </c>
      <c r="R75" s="344">
        <f t="shared" si="15"/>
        <v>-83.495932498911031</v>
      </c>
      <c r="S75" s="346">
        <f t="shared" si="16"/>
        <v>96.504067501088969</v>
      </c>
      <c r="U75" s="319">
        <f t="shared" si="23"/>
        <v>1000000000</v>
      </c>
      <c r="V75" s="319">
        <f t="shared" si="24"/>
        <v>91204</v>
      </c>
      <c r="X75" s="345">
        <f t="shared" si="17"/>
        <v>25.061795934965822</v>
      </c>
      <c r="Y75" s="346">
        <f t="shared" si="18"/>
        <v>-64.91372275349535</v>
      </c>
      <c r="AA75" s="345">
        <f t="shared" si="19"/>
        <v>47.309248772417305</v>
      </c>
      <c r="AB75" s="346">
        <f t="shared" si="20"/>
        <v>-18.582209745415668</v>
      </c>
      <c r="AD75">
        <f t="shared" si="25"/>
        <v>0</v>
      </c>
      <c r="AE75">
        <f t="shared" si="26"/>
        <v>0</v>
      </c>
    </row>
    <row r="76" spans="1:31" x14ac:dyDescent="0.2">
      <c r="A76" s="347">
        <v>331.13</v>
      </c>
      <c r="B76" s="364">
        <f t="shared" si="22"/>
        <v>0.33112999999999998</v>
      </c>
      <c r="C76" s="337">
        <f t="shared" si="0"/>
        <v>1.0650132633669207</v>
      </c>
      <c r="D76" s="338">
        <f t="shared" si="1"/>
        <v>0.35121487276398344</v>
      </c>
      <c r="E76" s="338">
        <f t="shared" si="2"/>
        <v>1.0000003462953866</v>
      </c>
      <c r="F76" s="339">
        <f t="shared" si="3"/>
        <v>8.3222026722624281E-4</v>
      </c>
      <c r="G76" s="338">
        <f t="shared" si="4"/>
        <v>1</v>
      </c>
      <c r="H76" s="339">
        <f t="shared" si="5"/>
        <v>0</v>
      </c>
      <c r="I76" s="337">
        <f t="shared" si="6"/>
        <v>5193.5701997287833</v>
      </c>
      <c r="J76" s="340">
        <f t="shared" si="7"/>
        <v>1.5706037810185383</v>
      </c>
      <c r="K76" s="348">
        <f t="shared" si="8"/>
        <v>1.1245645851357509</v>
      </c>
      <c r="L76" s="349">
        <f t="shared" si="9"/>
        <v>0.47513045145536609</v>
      </c>
      <c r="M76" s="337">
        <f t="shared" si="10"/>
        <v>1.0000006793248526</v>
      </c>
      <c r="N76" s="340">
        <f t="shared" si="11"/>
        <v>1.1656109711388177E-3</v>
      </c>
      <c r="O76" s="341">
        <f t="shared" si="12"/>
        <v>1.0000027645208589</v>
      </c>
      <c r="P76" s="342">
        <f t="shared" si="13"/>
        <v>2.8223441840497725E-3</v>
      </c>
      <c r="Q76" s="343">
        <f t="shared" si="14"/>
        <v>22.765545358086587</v>
      </c>
      <c r="R76" s="344">
        <f t="shared" si="15"/>
        <v>-83.0699386499778</v>
      </c>
      <c r="S76" s="346">
        <f t="shared" si="16"/>
        <v>96.9300613500222</v>
      </c>
      <c r="U76" s="319">
        <f t="shared" si="23"/>
        <v>1000000000</v>
      </c>
      <c r="V76" s="319">
        <f t="shared" si="24"/>
        <v>109647.0769</v>
      </c>
      <c r="X76" s="345">
        <f t="shared" si="17"/>
        <v>24.417586427082366</v>
      </c>
      <c r="Y76" s="346">
        <f t="shared" si="18"/>
        <v>-62.832783014111001</v>
      </c>
      <c r="AA76" s="345">
        <f t="shared" si="19"/>
        <v>47.221908915658481</v>
      </c>
      <c r="AB76" s="346">
        <f t="shared" si="20"/>
        <v>-20.237155635866809</v>
      </c>
      <c r="AD76">
        <f t="shared" si="25"/>
        <v>0</v>
      </c>
      <c r="AE76">
        <f t="shared" si="26"/>
        <v>0</v>
      </c>
    </row>
    <row r="77" spans="1:31" x14ac:dyDescent="0.2">
      <c r="A77" s="347">
        <v>363.08</v>
      </c>
      <c r="B77" s="364">
        <f t="shared" si="22"/>
        <v>0.36307999999999996</v>
      </c>
      <c r="C77" s="337">
        <f t="shared" ref="C77:C140" si="27">SQRT(1+(A77/pole1)^2)</f>
        <v>1.0776876782950595</v>
      </c>
      <c r="D77" s="338">
        <f t="shared" ref="D77:D140" si="28">ATAN(A77/pole1)</f>
        <v>0.38202230526145359</v>
      </c>
      <c r="E77" s="338">
        <f t="shared" ref="E77:E140" si="29">SQRT(1+(A77/Zero1)^2)</f>
        <v>1.000000416345894</v>
      </c>
      <c r="F77" s="339">
        <f t="shared" ref="F77:F140" si="30">ATAN(A77/Zero1)</f>
        <v>9.1251931420715713E-4</v>
      </c>
      <c r="G77" s="338">
        <f t="shared" ref="G77:G140" si="31">IF(VIN_nom&gt;Vout, 1, SQRT(1+(A77/z_RHP)^2))</f>
        <v>1</v>
      </c>
      <c r="H77" s="339">
        <f t="shared" ref="H77:H140" si="32">IF(VIN_nom&gt;Vout, 0, -ATAN(A77/z_RHP))</f>
        <v>0</v>
      </c>
      <c r="I77" s="337">
        <f t="shared" ref="I77:I140" si="33">SQRT(1+(A77/Pole2)^2)</f>
        <v>5694.6862629068992</v>
      </c>
      <c r="J77" s="340">
        <f t="shared" ref="J77:J140" si="34">ATAN(A77/Pole2)</f>
        <v>1.5706207244949679</v>
      </c>
      <c r="K77" s="348">
        <f t="shared" ref="K77:K140" si="35">SQRT(1+(A77/Zero2)^2)</f>
        <v>1.1481199607870884</v>
      </c>
      <c r="L77" s="349">
        <f t="shared" ref="L77:L140" si="36">ATAN(A77/Zero2)</f>
        <v>0.51358431335961208</v>
      </c>
      <c r="M77" s="337">
        <f t="shared" ref="M77:M140" si="37">SQRT(1+(A77/pole4)^2)</f>
        <v>1.0000008167423373</v>
      </c>
      <c r="N77" s="340">
        <f t="shared" ref="N77:N140" si="38">ATAN(A77/pole4)</f>
        <v>1.2780780739592697E-3</v>
      </c>
      <c r="O77" s="341">
        <f t="shared" ref="O77:O140" si="39">SQRT((1-(V77/pterm2))^2+(A77/pterm1)^2)</f>
        <v>1.0000033237424866</v>
      </c>
      <c r="P77" s="342">
        <f t="shared" ref="P77:P140" si="40">IF((ATAN((A77/pterm1)/(1-A77^2/pterm2))&gt;0),ATAN((A77/pterm1)/(1-A77^2/pterm2)),PI()+ATAN((A77/pterm1)/(1-A77^2/pterm2)))</f>
        <v>3.0946650212578166E-3</v>
      </c>
      <c r="Q77" s="343">
        <f t="shared" ref="Q77:Q140" si="41">20*LOG10(((E77*K77*G77)/(C77*I77*O77*M77))*Adc)</f>
        <v>22.042763268153944</v>
      </c>
      <c r="R77" s="344">
        <f t="shared" ref="R77:R140" si="42">((F77+L77+H77)-(D77+J77+P77+N77))*radconv</f>
        <v>-82.650247234315202</v>
      </c>
      <c r="S77" s="346">
        <f t="shared" ref="S77:S140" si="43">IF(R77&gt;0,R77,R77+180)</f>
        <v>97.349752765684798</v>
      </c>
      <c r="U77" s="319">
        <f t="shared" si="23"/>
        <v>1000000000</v>
      </c>
      <c r="V77" s="319">
        <f t="shared" si="24"/>
        <v>131827.0864</v>
      </c>
      <c r="X77" s="345">
        <f t="shared" ref="X77:X140" si="44">20*LOG10((K77/(I77*M77))*AEA)</f>
        <v>23.797566606187353</v>
      </c>
      <c r="Y77" s="346">
        <f t="shared" ref="Y77:Y140" si="45">(L77-(J77+N77))*radconv</f>
        <v>-60.636953698525069</v>
      </c>
      <c r="AA77" s="345">
        <f t="shared" ref="AA77:AA140" si="46">20*LOG10((E77*G77/(C77*O77))*Acs*Am)</f>
        <v>47.119146646620848</v>
      </c>
      <c r="AB77" s="346">
        <f t="shared" ref="AB77:AB140" si="47">(F77+H77-(D77+P77))*radconv</f>
        <v>-22.013293535790122</v>
      </c>
      <c r="AD77">
        <f t="shared" si="25"/>
        <v>0</v>
      </c>
      <c r="AE77">
        <f t="shared" ref="AE77:AE89" si="48">IF(AD77&gt;0,S75,0)</f>
        <v>0</v>
      </c>
    </row>
    <row r="78" spans="1:31" x14ac:dyDescent="0.2">
      <c r="A78" s="347">
        <v>398.11</v>
      </c>
      <c r="B78" s="364">
        <f t="shared" ref="B78:B141" si="49">A78/1000</f>
        <v>0.39811000000000002</v>
      </c>
      <c r="C78" s="337">
        <f t="shared" si="27"/>
        <v>1.0927300954259083</v>
      </c>
      <c r="D78" s="338">
        <f t="shared" si="28"/>
        <v>0.41494358005940418</v>
      </c>
      <c r="E78" s="338">
        <f t="shared" si="29"/>
        <v>1.0000005005595911</v>
      </c>
      <c r="F78" s="339">
        <f t="shared" si="30"/>
        <v>1.0005592260201941E-3</v>
      </c>
      <c r="G78" s="338">
        <f t="shared" si="31"/>
        <v>1</v>
      </c>
      <c r="H78" s="339">
        <f t="shared" si="32"/>
        <v>0</v>
      </c>
      <c r="I78" s="337">
        <f t="shared" si="33"/>
        <v>6244.1102298257902</v>
      </c>
      <c r="J78" s="340">
        <f t="shared" si="34"/>
        <v>1.5706361758738738</v>
      </c>
      <c r="K78" s="348">
        <f t="shared" si="35"/>
        <v>1.175813407123691</v>
      </c>
      <c r="L78" s="349">
        <f t="shared" si="36"/>
        <v>0.55390852615885899</v>
      </c>
      <c r="M78" s="337">
        <f t="shared" si="37"/>
        <v>1.0000009819436195</v>
      </c>
      <c r="N78" s="340">
        <f t="shared" si="38"/>
        <v>1.4013870386305088E-3</v>
      </c>
      <c r="O78" s="341">
        <f t="shared" si="39"/>
        <v>1.0000039960302822</v>
      </c>
      <c r="P78" s="342">
        <f t="shared" si="40"/>
        <v>3.3932374713694924E-3</v>
      </c>
      <c r="Q78" s="343">
        <f t="shared" si="41"/>
        <v>21.329364619366544</v>
      </c>
      <c r="R78" s="344">
        <f t="shared" si="42"/>
        <v>-82.246103138327541</v>
      </c>
      <c r="S78" s="346">
        <f t="shared" si="43"/>
        <v>97.753896861672459</v>
      </c>
      <c r="U78" s="319">
        <f t="shared" ref="U78:U141" si="50">IF(Q78&lt;0,A78,1000000000)</f>
        <v>1000000000</v>
      </c>
      <c r="V78" s="319">
        <f t="shared" ref="V78:V141" si="51">A78^2</f>
        <v>158491.57210000002</v>
      </c>
      <c r="X78" s="345">
        <f t="shared" si="44"/>
        <v>23.204572804692802</v>
      </c>
      <c r="Y78" s="346">
        <f t="shared" si="45"/>
        <v>-58.334496872360624</v>
      </c>
      <c r="AA78" s="345">
        <f t="shared" si="46"/>
        <v>46.998741799328002</v>
      </c>
      <c r="AB78" s="346">
        <f t="shared" si="47"/>
        <v>-23.911606265966917</v>
      </c>
      <c r="AD78">
        <f t="shared" ref="AD78:AD141" si="52">SUM((Q79&lt;0)*(Q78&gt;0))*A78</f>
        <v>0</v>
      </c>
      <c r="AE78">
        <f t="shared" si="48"/>
        <v>0</v>
      </c>
    </row>
    <row r="79" spans="1:31" x14ac:dyDescent="0.2">
      <c r="A79" s="347">
        <v>436.52</v>
      </c>
      <c r="B79" s="364">
        <f t="shared" si="49"/>
        <v>0.43651999999999996</v>
      </c>
      <c r="C79" s="337">
        <f t="shared" si="27"/>
        <v>1.1105455625928111</v>
      </c>
      <c r="D79" s="338">
        <f t="shared" si="28"/>
        <v>0.44997419213253753</v>
      </c>
      <c r="E79" s="338">
        <f t="shared" si="29"/>
        <v>1.0000006018079008</v>
      </c>
      <c r="F79" s="339">
        <f t="shared" si="30"/>
        <v>1.0970939787025261E-3</v>
      </c>
      <c r="G79" s="338">
        <f t="shared" si="31"/>
        <v>1</v>
      </c>
      <c r="H79" s="339">
        <f t="shared" si="32"/>
        <v>0</v>
      </c>
      <c r="I79" s="337">
        <f t="shared" si="33"/>
        <v>6846.5474156459068</v>
      </c>
      <c r="J79" s="340">
        <f t="shared" si="34"/>
        <v>1.570650267775241</v>
      </c>
      <c r="K79" s="348">
        <f t="shared" si="35"/>
        <v>1.2082686279545303</v>
      </c>
      <c r="L79" s="349">
        <f t="shared" si="36"/>
        <v>0.59592348221856728</v>
      </c>
      <c r="M79" s="337">
        <f t="shared" si="37"/>
        <v>1.0000011805615356</v>
      </c>
      <c r="N79" s="340">
        <f t="shared" si="38"/>
        <v>1.5365938788330891E-3</v>
      </c>
      <c r="O79" s="341">
        <f t="shared" si="39"/>
        <v>1.0000048043069731</v>
      </c>
      <c r="P79" s="342">
        <f t="shared" si="40"/>
        <v>3.7206184188284691E-3</v>
      </c>
      <c r="Q79" s="343">
        <f t="shared" si="41"/>
        <v>20.625367868452283</v>
      </c>
      <c r="R79" s="344">
        <f t="shared" si="42"/>
        <v>-81.867710405252751</v>
      </c>
      <c r="S79" s="346">
        <f t="shared" si="43"/>
        <v>98.132289594747249</v>
      </c>
      <c r="U79" s="319">
        <f t="shared" si="50"/>
        <v>1000000000</v>
      </c>
      <c r="V79" s="319">
        <f t="shared" si="51"/>
        <v>190549.71039999998</v>
      </c>
      <c r="X79" s="345">
        <f t="shared" si="44"/>
        <v>22.641051730533096</v>
      </c>
      <c r="Y79" s="346">
        <f t="shared" si="45"/>
        <v>-55.935771398749353</v>
      </c>
      <c r="AA79" s="345">
        <f t="shared" si="46"/>
        <v>46.85826612257344</v>
      </c>
      <c r="AB79" s="346">
        <f t="shared" si="47"/>
        <v>-25.931939006503413</v>
      </c>
      <c r="AD79">
        <f t="shared" si="52"/>
        <v>0</v>
      </c>
      <c r="AE79">
        <f t="shared" si="48"/>
        <v>0</v>
      </c>
    </row>
    <row r="80" spans="1:31" x14ac:dyDescent="0.2">
      <c r="A80" s="347">
        <v>478.63</v>
      </c>
      <c r="B80" s="364">
        <f t="shared" si="49"/>
        <v>0.47863</v>
      </c>
      <c r="C80" s="337">
        <f t="shared" si="27"/>
        <v>1.1315902924422807</v>
      </c>
      <c r="D80" s="338">
        <f t="shared" si="28"/>
        <v>0.48706131021965232</v>
      </c>
      <c r="E80" s="338">
        <f t="shared" si="29"/>
        <v>1.0000007235180965</v>
      </c>
      <c r="F80" s="339">
        <f t="shared" si="30"/>
        <v>1.2029278118289204E-3</v>
      </c>
      <c r="G80" s="338">
        <f t="shared" si="31"/>
        <v>1</v>
      </c>
      <c r="H80" s="339">
        <f t="shared" si="32"/>
        <v>0</v>
      </c>
      <c r="I80" s="337">
        <f t="shared" si="33"/>
        <v>7507.016823216848</v>
      </c>
      <c r="J80" s="340">
        <f t="shared" si="34"/>
        <v>1.5706631180880952</v>
      </c>
      <c r="K80" s="348">
        <f t="shared" si="35"/>
        <v>1.2461646616900386</v>
      </c>
      <c r="L80" s="349">
        <f t="shared" si="36"/>
        <v>0.63938619028403243</v>
      </c>
      <c r="M80" s="337">
        <f t="shared" si="37"/>
        <v>1.0000014193193274</v>
      </c>
      <c r="N80" s="340">
        <f t="shared" si="38"/>
        <v>1.6848250049516103E-3</v>
      </c>
      <c r="O80" s="341">
        <f t="shared" si="39"/>
        <v>1.0000057759326224</v>
      </c>
      <c r="P80" s="342">
        <f t="shared" si="40"/>
        <v>4.0795351747144526E-3</v>
      </c>
      <c r="Q80" s="343">
        <f t="shared" si="41"/>
        <v>19.930625036620985</v>
      </c>
      <c r="R80" s="344">
        <f t="shared" si="42"/>
        <v>-81.526145877149062</v>
      </c>
      <c r="S80" s="346">
        <f t="shared" si="43"/>
        <v>98.473854122850938</v>
      </c>
      <c r="U80" s="319">
        <f t="shared" si="50"/>
        <v>1000000000</v>
      </c>
      <c r="V80" s="319">
        <f t="shared" si="51"/>
        <v>229086.67689999999</v>
      </c>
      <c r="X80" s="345">
        <f t="shared" si="44"/>
        <v>22.109372920557497</v>
      </c>
      <c r="Y80" s="346">
        <f t="shared" si="45"/>
        <v>-53.454770944165084</v>
      </c>
      <c r="AA80" s="345">
        <f t="shared" si="46"/>
        <v>46.695202100717744</v>
      </c>
      <c r="AB80" s="346">
        <f t="shared" si="47"/>
        <v>-28.071374932984007</v>
      </c>
      <c r="AD80">
        <f t="shared" si="52"/>
        <v>0</v>
      </c>
      <c r="AE80">
        <f t="shared" si="48"/>
        <v>0</v>
      </c>
    </row>
    <row r="81" spans="1:31" x14ac:dyDescent="0.2">
      <c r="A81" s="347">
        <v>524.80999999999995</v>
      </c>
      <c r="B81" s="364">
        <f t="shared" si="49"/>
        <v>0.52481</v>
      </c>
      <c r="C81" s="337">
        <f t="shared" si="27"/>
        <v>1.1563885455252023</v>
      </c>
      <c r="D81" s="338">
        <f t="shared" si="28"/>
        <v>0.5261215811016251</v>
      </c>
      <c r="E81" s="338">
        <f t="shared" si="29"/>
        <v>1.0000008698687664</v>
      </c>
      <c r="F81" s="339">
        <f t="shared" si="30"/>
        <v>1.3189906260180563E-3</v>
      </c>
      <c r="G81" s="338">
        <f t="shared" si="31"/>
        <v>1</v>
      </c>
      <c r="H81" s="339">
        <f t="shared" si="32"/>
        <v>0</v>
      </c>
      <c r="I81" s="337">
        <f t="shared" si="33"/>
        <v>8231.3216745952104</v>
      </c>
      <c r="J81" s="340">
        <f t="shared" si="34"/>
        <v>1.5706748396216343</v>
      </c>
      <c r="K81" s="348">
        <f t="shared" si="35"/>
        <v>1.2902598160954994</v>
      </c>
      <c r="L81" s="349">
        <f t="shared" si="36"/>
        <v>0.684021574384996</v>
      </c>
      <c r="M81" s="337">
        <f t="shared" si="37"/>
        <v>1.000001706414078</v>
      </c>
      <c r="N81" s="340">
        <f t="shared" si="38"/>
        <v>1.8473828251751639E-3</v>
      </c>
      <c r="O81" s="341">
        <f t="shared" si="39"/>
        <v>1.0000069442649904</v>
      </c>
      <c r="P81" s="342">
        <f t="shared" si="40"/>
        <v>4.4731411631321388E-3</v>
      </c>
      <c r="Q81" s="343">
        <f t="shared" si="41"/>
        <v>19.244313414188014</v>
      </c>
      <c r="R81" s="344">
        <f t="shared" si="42"/>
        <v>-81.232602943000728</v>
      </c>
      <c r="S81" s="346">
        <f t="shared" si="43"/>
        <v>98.767397056999272</v>
      </c>
      <c r="U81" s="319">
        <f t="shared" si="50"/>
        <v>1000000000</v>
      </c>
      <c r="V81" s="319">
        <f t="shared" si="51"/>
        <v>275425.53609999997</v>
      </c>
      <c r="X81" s="345">
        <f t="shared" si="44"/>
        <v>21.611361535691522</v>
      </c>
      <c r="Y81" s="346">
        <f t="shared" si="45"/>
        <v>-50.90733728675054</v>
      </c>
      <c r="AA81" s="345">
        <f t="shared" si="46"/>
        <v>46.506901863150745</v>
      </c>
      <c r="AB81" s="346">
        <f t="shared" si="47"/>
        <v>-30.325265656250195</v>
      </c>
      <c r="AD81">
        <f t="shared" si="52"/>
        <v>0</v>
      </c>
      <c r="AE81">
        <f t="shared" si="48"/>
        <v>0</v>
      </c>
    </row>
    <row r="82" spans="1:31" x14ac:dyDescent="0.2">
      <c r="A82" s="347">
        <v>575.44000000000005</v>
      </c>
      <c r="B82" s="364">
        <f t="shared" si="49"/>
        <v>0.57544000000000006</v>
      </c>
      <c r="C82" s="337">
        <f t="shared" si="27"/>
        <v>1.1855130414228825</v>
      </c>
      <c r="D82" s="338">
        <f t="shared" si="28"/>
        <v>0.5669989224532056</v>
      </c>
      <c r="E82" s="338">
        <f t="shared" si="29"/>
        <v>1.0000010458022941</v>
      </c>
      <c r="F82" s="339">
        <f t="shared" si="30"/>
        <v>1.4462374512938722E-3</v>
      </c>
      <c r="G82" s="338">
        <f t="shared" si="31"/>
        <v>1</v>
      </c>
      <c r="H82" s="339">
        <f t="shared" si="32"/>
        <v>0</v>
      </c>
      <c r="I82" s="337">
        <f t="shared" si="33"/>
        <v>9025.4220356867554</v>
      </c>
      <c r="J82" s="340">
        <f t="shared" si="34"/>
        <v>1.5706855286518191</v>
      </c>
      <c r="K82" s="348">
        <f t="shared" si="35"/>
        <v>1.3413509008722848</v>
      </c>
      <c r="L82" s="349">
        <f t="shared" si="36"/>
        <v>0.7294860000158524</v>
      </c>
      <c r="M82" s="337">
        <f t="shared" si="37"/>
        <v>1.0000020515411929</v>
      </c>
      <c r="N82" s="340">
        <f t="shared" si="38"/>
        <v>2.0256049395509629E-3</v>
      </c>
      <c r="O82" s="341">
        <f t="shared" si="39"/>
        <v>1.0000083487591103</v>
      </c>
      <c r="P82" s="342">
        <f t="shared" si="40"/>
        <v>4.9046749716171135E-3</v>
      </c>
      <c r="Q82" s="343">
        <f t="shared" si="41"/>
        <v>18.565594420236767</v>
      </c>
      <c r="R82" s="344">
        <f t="shared" si="42"/>
        <v>-80.998040544444336</v>
      </c>
      <c r="S82" s="346">
        <f t="shared" si="43"/>
        <v>99.001959455555664</v>
      </c>
      <c r="U82" s="319">
        <f t="shared" si="50"/>
        <v>1000000000</v>
      </c>
      <c r="V82" s="319">
        <f t="shared" si="51"/>
        <v>331131.19360000006</v>
      </c>
      <c r="X82" s="345">
        <f t="shared" si="44"/>
        <v>21.148704306786779</v>
      </c>
      <c r="Y82" s="346">
        <f t="shared" si="45"/>
        <v>-48.313241388438179</v>
      </c>
      <c r="AA82" s="345">
        <f t="shared" si="46"/>
        <v>46.29084009810424</v>
      </c>
      <c r="AB82" s="346">
        <f t="shared" si="47"/>
        <v>-32.684799156006164</v>
      </c>
      <c r="AD82">
        <f t="shared" si="52"/>
        <v>0</v>
      </c>
      <c r="AE82">
        <f t="shared" si="48"/>
        <v>0</v>
      </c>
    </row>
    <row r="83" spans="1:31" x14ac:dyDescent="0.2">
      <c r="A83" s="347">
        <v>630.96</v>
      </c>
      <c r="B83" s="364">
        <f t="shared" si="49"/>
        <v>0.63096000000000008</v>
      </c>
      <c r="C83" s="337">
        <f t="shared" si="27"/>
        <v>1.219611207551734</v>
      </c>
      <c r="D83" s="338">
        <f t="shared" si="28"/>
        <v>0.6095016065111265</v>
      </c>
      <c r="E83" s="338">
        <f t="shared" si="29"/>
        <v>1.0000012573410806</v>
      </c>
      <c r="F83" s="339">
        <f t="shared" si="30"/>
        <v>1.5857741095159676E-3</v>
      </c>
      <c r="G83" s="338">
        <f t="shared" si="31"/>
        <v>1</v>
      </c>
      <c r="H83" s="339">
        <f t="shared" si="32"/>
        <v>0</v>
      </c>
      <c r="I83" s="337">
        <f t="shared" si="33"/>
        <v>9896.2190354442628</v>
      </c>
      <c r="J83" s="340">
        <f t="shared" si="34"/>
        <v>1.5706952781016412</v>
      </c>
      <c r="K83" s="348">
        <f t="shared" si="35"/>
        <v>1.400315804555033</v>
      </c>
      <c r="L83" s="349">
        <f t="shared" si="36"/>
        <v>0.77542352055682595</v>
      </c>
      <c r="M83" s="337">
        <f t="shared" si="37"/>
        <v>1.0000024665147251</v>
      </c>
      <c r="N83" s="340">
        <f t="shared" si="38"/>
        <v>2.2210401415982909E-3</v>
      </c>
      <c r="O83" s="341">
        <f t="shared" si="39"/>
        <v>1.0000100374916256</v>
      </c>
      <c r="P83" s="342">
        <f t="shared" si="40"/>
        <v>5.3778864934268577E-3</v>
      </c>
      <c r="Q83" s="343">
        <f t="shared" si="41"/>
        <v>17.892912672109805</v>
      </c>
      <c r="R83" s="344">
        <f t="shared" si="42"/>
        <v>-80.832113286444383</v>
      </c>
      <c r="S83" s="346">
        <f t="shared" si="43"/>
        <v>99.167886713555617</v>
      </c>
      <c r="U83" s="319">
        <f t="shared" si="50"/>
        <v>1000000000</v>
      </c>
      <c r="V83" s="319">
        <f t="shared" si="51"/>
        <v>398110.52160000004</v>
      </c>
      <c r="X83" s="345">
        <f t="shared" si="44"/>
        <v>20.722336804712707</v>
      </c>
      <c r="Y83" s="346">
        <f t="shared" si="45"/>
        <v>-45.692971551723751</v>
      </c>
      <c r="AA83" s="345">
        <f t="shared" si="46"/>
        <v>46.044525852051351</v>
      </c>
      <c r="AB83" s="346">
        <f t="shared" si="47"/>
        <v>-35.139141734720674</v>
      </c>
      <c r="AD83">
        <f t="shared" si="52"/>
        <v>0</v>
      </c>
      <c r="AE83">
        <f t="shared" si="48"/>
        <v>0</v>
      </c>
    </row>
    <row r="84" spans="1:31" x14ac:dyDescent="0.2">
      <c r="A84" s="347">
        <v>691.83</v>
      </c>
      <c r="B84" s="364">
        <f t="shared" si="49"/>
        <v>0.69183000000000006</v>
      </c>
      <c r="C84" s="337">
        <f t="shared" si="27"/>
        <v>1.2593804116620047</v>
      </c>
      <c r="D84" s="338">
        <f t="shared" si="28"/>
        <v>0.65336761586406955</v>
      </c>
      <c r="E84" s="338">
        <f t="shared" si="29"/>
        <v>1.0000015116393042</v>
      </c>
      <c r="F84" s="339">
        <f t="shared" si="30"/>
        <v>1.738756682191061E-3</v>
      </c>
      <c r="G84" s="338">
        <f t="shared" si="31"/>
        <v>1</v>
      </c>
      <c r="H84" s="339">
        <f t="shared" si="32"/>
        <v>0</v>
      </c>
      <c r="I84" s="337">
        <f t="shared" si="33"/>
        <v>10850.927490508366</v>
      </c>
      <c r="J84" s="340">
        <f t="shared" si="34"/>
        <v>1.5707041687740924</v>
      </c>
      <c r="K84" s="348">
        <f t="shared" si="35"/>
        <v>1.4680681578889532</v>
      </c>
      <c r="L84" s="349">
        <f t="shared" si="36"/>
        <v>0.82144050021087001</v>
      </c>
      <c r="M84" s="337">
        <f t="shared" si="37"/>
        <v>1.0000029653689075</v>
      </c>
      <c r="N84" s="340">
        <f t="shared" si="38"/>
        <v>2.4353076108513108E-3</v>
      </c>
      <c r="O84" s="341">
        <f t="shared" si="39"/>
        <v>1.0000120675738742</v>
      </c>
      <c r="P84" s="342">
        <f t="shared" si="40"/>
        <v>5.8966959663412965E-3</v>
      </c>
      <c r="Q84" s="343">
        <f t="shared" si="41"/>
        <v>17.224635691657998</v>
      </c>
      <c r="R84" s="344">
        <f t="shared" si="42"/>
        <v>-80.742618123330772</v>
      </c>
      <c r="S84" s="346">
        <f t="shared" si="43"/>
        <v>99.257381876669228</v>
      </c>
      <c r="U84" s="319">
        <f t="shared" si="50"/>
        <v>1000000000</v>
      </c>
      <c r="V84" s="319">
        <f t="shared" si="51"/>
        <v>478628.74890000006</v>
      </c>
      <c r="X84" s="345">
        <f t="shared" si="44"/>
        <v>20.332785796074781</v>
      </c>
      <c r="Y84" s="346">
        <f t="shared" si="45"/>
        <v>-43.069178848293149</v>
      </c>
      <c r="AA84" s="345">
        <f t="shared" si="46"/>
        <v>45.765799880237466</v>
      </c>
      <c r="AB84" s="346">
        <f t="shared" si="47"/>
        <v>-37.673439275037637</v>
      </c>
      <c r="AD84">
        <f t="shared" si="52"/>
        <v>0</v>
      </c>
      <c r="AE84">
        <f t="shared" si="48"/>
        <v>0</v>
      </c>
    </row>
    <row r="85" spans="1:31" x14ac:dyDescent="0.2">
      <c r="A85" s="347">
        <v>758.58</v>
      </c>
      <c r="B85" s="364">
        <f t="shared" si="49"/>
        <v>0.75858000000000003</v>
      </c>
      <c r="C85" s="337">
        <f t="shared" si="27"/>
        <v>1.305595785409843</v>
      </c>
      <c r="D85" s="338">
        <f t="shared" si="28"/>
        <v>0.69830374321262256</v>
      </c>
      <c r="E85" s="338">
        <f t="shared" si="29"/>
        <v>1.0000018174066161</v>
      </c>
      <c r="F85" s="339">
        <f t="shared" si="30"/>
        <v>1.9065171720051256E-3</v>
      </c>
      <c r="G85" s="338">
        <f t="shared" si="31"/>
        <v>1</v>
      </c>
      <c r="H85" s="339">
        <f t="shared" si="32"/>
        <v>0</v>
      </c>
      <c r="I85" s="337">
        <f t="shared" si="33"/>
        <v>11897.860124407636</v>
      </c>
      <c r="J85" s="340">
        <f t="shared" si="34"/>
        <v>1.570712278067586</v>
      </c>
      <c r="K85" s="348">
        <f t="shared" si="35"/>
        <v>1.5456059158474698</v>
      </c>
      <c r="L85" s="349">
        <f t="shared" si="36"/>
        <v>0.86715893093410534</v>
      </c>
      <c r="M85" s="337">
        <f t="shared" si="37"/>
        <v>1.0000035651893044</v>
      </c>
      <c r="N85" s="340">
        <f t="shared" si="38"/>
        <v>2.6702729120050323E-3</v>
      </c>
      <c r="O85" s="341">
        <f t="shared" si="39"/>
        <v>1.0000145085340946</v>
      </c>
      <c r="P85" s="342">
        <f t="shared" si="40"/>
        <v>6.465620095996015E-3</v>
      </c>
      <c r="Q85" s="343">
        <f t="shared" si="41"/>
        <v>16.558586923880682</v>
      </c>
      <c r="R85" s="344">
        <f t="shared" si="42"/>
        <v>-80.734707573490724</v>
      </c>
      <c r="S85" s="346">
        <f t="shared" si="43"/>
        <v>99.265292426509276</v>
      </c>
      <c r="U85" s="319">
        <f t="shared" si="50"/>
        <v>1000000000</v>
      </c>
      <c r="V85" s="319">
        <f t="shared" si="51"/>
        <v>575443.61640000006</v>
      </c>
      <c r="X85" s="345">
        <f t="shared" si="44"/>
        <v>19.97979168292278</v>
      </c>
      <c r="Y85" s="346">
        <f t="shared" si="45"/>
        <v>-40.463632867293406</v>
      </c>
      <c r="AA85" s="345">
        <f t="shared" si="46"/>
        <v>45.452745225612155</v>
      </c>
      <c r="AB85" s="346">
        <f t="shared" si="47"/>
        <v>-40.271074706197325</v>
      </c>
      <c r="AD85">
        <f t="shared" si="52"/>
        <v>0</v>
      </c>
      <c r="AE85">
        <f t="shared" si="48"/>
        <v>0</v>
      </c>
    </row>
    <row r="86" spans="1:31" x14ac:dyDescent="0.2">
      <c r="A86" s="347">
        <v>831.76</v>
      </c>
      <c r="B86" s="364">
        <f t="shared" si="49"/>
        <v>0.83175999999999994</v>
      </c>
      <c r="C86" s="337">
        <f t="shared" si="27"/>
        <v>1.359072774005488</v>
      </c>
      <c r="D86" s="338">
        <f t="shared" si="28"/>
        <v>0.74395531028904438</v>
      </c>
      <c r="E86" s="338">
        <f t="shared" si="29"/>
        <v>1.0000021849691536</v>
      </c>
      <c r="F86" s="339">
        <f t="shared" si="30"/>
        <v>2.0904378370232941E-3</v>
      </c>
      <c r="G86" s="338">
        <f t="shared" si="31"/>
        <v>1</v>
      </c>
      <c r="H86" s="339">
        <f t="shared" si="32"/>
        <v>0</v>
      </c>
      <c r="I86" s="337">
        <f t="shared" si="33"/>
        <v>13045.643348357702</v>
      </c>
      <c r="J86" s="340">
        <f t="shared" si="34"/>
        <v>1.5707196728519459</v>
      </c>
      <c r="K86" s="348">
        <f t="shared" si="35"/>
        <v>1.6339511703759393</v>
      </c>
      <c r="L86" s="349">
        <f t="shared" si="36"/>
        <v>0.91219236803520598</v>
      </c>
      <c r="M86" s="337">
        <f t="shared" si="37"/>
        <v>1.0000042862324872</v>
      </c>
      <c r="N86" s="340">
        <f t="shared" si="38"/>
        <v>2.9278719840431285E-3</v>
      </c>
      <c r="O86" s="341">
        <f t="shared" si="39"/>
        <v>1.0000174428042305</v>
      </c>
      <c r="P86" s="342">
        <f t="shared" si="40"/>
        <v>7.0893458424729303E-3</v>
      </c>
      <c r="Q86" s="343">
        <f t="shared" si="41"/>
        <v>15.892752108562361</v>
      </c>
      <c r="R86" s="344">
        <f t="shared" si="42"/>
        <v>-80.810505816898257</v>
      </c>
      <c r="S86" s="346">
        <f t="shared" si="43"/>
        <v>99.189494183101743</v>
      </c>
      <c r="U86" s="319">
        <f t="shared" si="50"/>
        <v>1000000000</v>
      </c>
      <c r="V86" s="319">
        <f t="shared" si="51"/>
        <v>691824.69759999996</v>
      </c>
      <c r="X86" s="345">
        <f t="shared" si="44"/>
        <v>19.662658620743763</v>
      </c>
      <c r="Y86" s="346">
        <f t="shared" si="45"/>
        <v>-37.898590011069999</v>
      </c>
      <c r="AA86" s="345">
        <f t="shared" si="46"/>
        <v>45.104043472472853</v>
      </c>
      <c r="AB86" s="346">
        <f t="shared" si="47"/>
        <v>-42.911915805828258</v>
      </c>
      <c r="AD86">
        <f t="shared" si="52"/>
        <v>0</v>
      </c>
      <c r="AE86">
        <f t="shared" si="48"/>
        <v>0</v>
      </c>
    </row>
    <row r="87" spans="1:31" x14ac:dyDescent="0.2">
      <c r="A87" s="347">
        <v>912.01</v>
      </c>
      <c r="B87" s="364">
        <f t="shared" si="49"/>
        <v>0.91200999999999999</v>
      </c>
      <c r="C87" s="337">
        <f t="shared" si="27"/>
        <v>1.4207111179941252</v>
      </c>
      <c r="D87" s="338">
        <f t="shared" si="28"/>
        <v>0.78996122156830051</v>
      </c>
      <c r="E87" s="338">
        <f t="shared" si="29"/>
        <v>1.0000026269291085</v>
      </c>
      <c r="F87" s="339">
        <f t="shared" si="30"/>
        <v>2.2921271160112572E-3</v>
      </c>
      <c r="G87" s="338">
        <f t="shared" si="31"/>
        <v>1</v>
      </c>
      <c r="H87" s="339">
        <f t="shared" si="32"/>
        <v>0</v>
      </c>
      <c r="I87" s="337">
        <f t="shared" si="33"/>
        <v>14304.315168143297</v>
      </c>
      <c r="J87" s="340">
        <f t="shared" si="34"/>
        <v>1.5707264178206424</v>
      </c>
      <c r="K87" s="348">
        <f t="shared" si="35"/>
        <v>1.7342293291578088</v>
      </c>
      <c r="L87" s="349">
        <f t="shared" si="36"/>
        <v>0.95620459994723794</v>
      </c>
      <c r="M87" s="337">
        <f t="shared" si="37"/>
        <v>1.0000051532198866</v>
      </c>
      <c r="N87" s="340">
        <f t="shared" si="38"/>
        <v>3.2103575367795319E-3</v>
      </c>
      <c r="O87" s="341">
        <f t="shared" si="39"/>
        <v>1.0000209709849153</v>
      </c>
      <c r="P87" s="342">
        <f t="shared" si="40"/>
        <v>7.7733269755877361E-3</v>
      </c>
      <c r="Q87" s="343">
        <f t="shared" si="41"/>
        <v>15.224774114809538</v>
      </c>
      <c r="R87" s="344">
        <f t="shared" si="42"/>
        <v>-80.968940206443051</v>
      </c>
      <c r="S87" s="346">
        <f t="shared" si="43"/>
        <v>99.031059793556949</v>
      </c>
      <c r="U87" s="319">
        <f t="shared" si="50"/>
        <v>1000000000</v>
      </c>
      <c r="V87" s="319">
        <f t="shared" si="51"/>
        <v>831762.24009999994</v>
      </c>
      <c r="X87" s="345">
        <f t="shared" si="44"/>
        <v>19.379968766496948</v>
      </c>
      <c r="Y87" s="346">
        <f t="shared" si="45"/>
        <v>-35.393446560881493</v>
      </c>
      <c r="AA87" s="345">
        <f t="shared" si="46"/>
        <v>44.71875533296685</v>
      </c>
      <c r="AB87" s="346">
        <f t="shared" si="47"/>
        <v>-45.575493645561544</v>
      </c>
      <c r="AD87">
        <f t="shared" si="52"/>
        <v>0</v>
      </c>
      <c r="AE87">
        <f t="shared" si="48"/>
        <v>0</v>
      </c>
    </row>
    <row r="88" spans="1:31" x14ac:dyDescent="0.2">
      <c r="A88" s="347">
        <v>1000</v>
      </c>
      <c r="B88" s="364">
        <f t="shared" si="49"/>
        <v>1</v>
      </c>
      <c r="C88" s="337">
        <f t="shared" si="27"/>
        <v>1.4914464443539293</v>
      </c>
      <c r="D88" s="338">
        <f t="shared" si="28"/>
        <v>0.83592721998754305</v>
      </c>
      <c r="E88" s="338">
        <f t="shared" si="29"/>
        <v>1.0000031582684139</v>
      </c>
      <c r="F88" s="339">
        <f t="shared" si="30"/>
        <v>2.5132688282821867E-3</v>
      </c>
      <c r="G88" s="338">
        <f t="shared" si="31"/>
        <v>1</v>
      </c>
      <c r="H88" s="339">
        <f t="shared" si="32"/>
        <v>0</v>
      </c>
      <c r="I88" s="337">
        <f t="shared" si="33"/>
        <v>15684.384121076124</v>
      </c>
      <c r="J88" s="340">
        <f t="shared" si="34"/>
        <v>1.5707325691112695</v>
      </c>
      <c r="K88" s="348">
        <f t="shared" si="35"/>
        <v>1.8475962899958611</v>
      </c>
      <c r="L88" s="349">
        <f t="shared" si="36"/>
        <v>0.99888075428057566</v>
      </c>
      <c r="M88" s="337">
        <f t="shared" si="37"/>
        <v>1.0000061955411685</v>
      </c>
      <c r="N88" s="340">
        <f t="shared" si="38"/>
        <v>3.5200878345342723E-3</v>
      </c>
      <c r="O88" s="341">
        <f t="shared" si="39"/>
        <v>1.0000252126726441</v>
      </c>
      <c r="P88" s="342">
        <f t="shared" si="40"/>
        <v>8.5232725936273054E-3</v>
      </c>
      <c r="Q88" s="343">
        <f t="shared" si="41"/>
        <v>14.552698260360739</v>
      </c>
      <c r="R88" s="344">
        <f t="shared" si="42"/>
        <v>-81.205831301922899</v>
      </c>
      <c r="S88" s="346">
        <f t="shared" si="43"/>
        <v>98.794168698077101</v>
      </c>
      <c r="U88" s="319">
        <f t="shared" si="50"/>
        <v>1000000000</v>
      </c>
      <c r="V88" s="319">
        <f t="shared" si="51"/>
        <v>1000000</v>
      </c>
      <c r="X88" s="345">
        <f t="shared" si="44"/>
        <v>19.129962818681332</v>
      </c>
      <c r="Y88" s="346">
        <f t="shared" si="45"/>
        <v>-32.966381710799155</v>
      </c>
      <c r="AA88" s="345">
        <f t="shared" si="46"/>
        <v>44.29668542633366</v>
      </c>
      <c r="AB88" s="346">
        <f t="shared" si="47"/>
        <v>-48.239449591123737</v>
      </c>
      <c r="AD88">
        <f t="shared" si="52"/>
        <v>0</v>
      </c>
      <c r="AE88">
        <f t="shared" si="48"/>
        <v>0</v>
      </c>
    </row>
    <row r="89" spans="1:31" x14ac:dyDescent="0.2">
      <c r="A89" s="347">
        <v>1096.5</v>
      </c>
      <c r="B89" s="364">
        <f t="shared" si="49"/>
        <v>1.0965</v>
      </c>
      <c r="C89" s="337">
        <f t="shared" si="27"/>
        <v>1.5722996353894887</v>
      </c>
      <c r="D89" s="338">
        <f t="shared" si="28"/>
        <v>0.8814782718101859</v>
      </c>
      <c r="E89" s="338">
        <f t="shared" si="29"/>
        <v>1.0000037972235896</v>
      </c>
      <c r="F89" s="339">
        <f t="shared" si="30"/>
        <v>2.7557980963265234E-3</v>
      </c>
      <c r="G89" s="338">
        <f t="shared" si="31"/>
        <v>1</v>
      </c>
      <c r="H89" s="339">
        <f t="shared" si="32"/>
        <v>0</v>
      </c>
      <c r="I89" s="337">
        <f t="shared" si="33"/>
        <v>17197.927182878091</v>
      </c>
      <c r="J89" s="340">
        <f t="shared" si="34"/>
        <v>1.5707381802525877</v>
      </c>
      <c r="K89" s="348">
        <f t="shared" si="35"/>
        <v>1.9753266401869443</v>
      </c>
      <c r="L89" s="349">
        <f t="shared" si="36"/>
        <v>1.0399708602084772</v>
      </c>
      <c r="M89" s="337">
        <f t="shared" si="37"/>
        <v>1.0000074489703741</v>
      </c>
      <c r="N89" s="340">
        <f t="shared" si="38"/>
        <v>3.8597730852800772E-3</v>
      </c>
      <c r="O89" s="341">
        <f t="shared" si="39"/>
        <v>1.0000303134428801</v>
      </c>
      <c r="P89" s="342">
        <f t="shared" si="40"/>
        <v>9.3457436218408203E-3</v>
      </c>
      <c r="Q89" s="343">
        <f t="shared" si="41"/>
        <v>13.874559677591101</v>
      </c>
      <c r="R89" s="344">
        <f t="shared" si="42"/>
        <v>-81.514436915847881</v>
      </c>
      <c r="S89" s="346">
        <f t="shared" si="43"/>
        <v>98.485563084152119</v>
      </c>
      <c r="U89" s="319">
        <f t="shared" si="50"/>
        <v>1000000000</v>
      </c>
      <c r="V89" s="319">
        <f t="shared" si="51"/>
        <v>1202312.25</v>
      </c>
      <c r="X89" s="345">
        <f t="shared" si="44"/>
        <v>18.910416001701556</v>
      </c>
      <c r="Y89" s="346">
        <f t="shared" si="45"/>
        <v>-30.631876084663713</v>
      </c>
      <c r="AA89" s="345">
        <f t="shared" si="46"/>
        <v>43.838093660543798</v>
      </c>
      <c r="AB89" s="346">
        <f t="shared" si="47"/>
        <v>-50.882560831184151</v>
      </c>
      <c r="AD89">
        <f t="shared" si="52"/>
        <v>0</v>
      </c>
      <c r="AE89">
        <f t="shared" si="48"/>
        <v>0</v>
      </c>
    </row>
    <row r="90" spans="1:31" x14ac:dyDescent="0.2">
      <c r="A90" s="347">
        <v>1202.3</v>
      </c>
      <c r="B90" s="364">
        <f t="shared" si="49"/>
        <v>1.2022999999999999</v>
      </c>
      <c r="C90" s="337">
        <f t="shared" si="27"/>
        <v>1.6643074322082172</v>
      </c>
      <c r="D90" s="338">
        <f t="shared" si="28"/>
        <v>0.92623163314317924</v>
      </c>
      <c r="E90" s="338">
        <f t="shared" si="29"/>
        <v>1.0000045653536529</v>
      </c>
      <c r="F90" s="339">
        <f t="shared" si="30"/>
        <v>3.0217002777237992E-3</v>
      </c>
      <c r="G90" s="338">
        <f t="shared" si="31"/>
        <v>1</v>
      </c>
      <c r="H90" s="339">
        <f t="shared" si="32"/>
        <v>0</v>
      </c>
      <c r="I90" s="337">
        <f t="shared" si="33"/>
        <v>18857.335016956771</v>
      </c>
      <c r="J90" s="340">
        <f t="shared" si="34"/>
        <v>1.5707432970322304</v>
      </c>
      <c r="K90" s="348">
        <f t="shared" si="35"/>
        <v>2.1187112261206145</v>
      </c>
      <c r="L90" s="349">
        <f t="shared" si="36"/>
        <v>1.0792552872090719</v>
      </c>
      <c r="M90" s="337">
        <f t="shared" si="37"/>
        <v>1.0000089557990841</v>
      </c>
      <c r="N90" s="340">
        <f t="shared" si="38"/>
        <v>4.2321938155323348E-3</v>
      </c>
      <c r="O90" s="341">
        <f t="shared" si="39"/>
        <v>1.0000364453910016</v>
      </c>
      <c r="P90" s="342">
        <f t="shared" si="40"/>
        <v>1.0247470811747166E-2</v>
      </c>
      <c r="Q90" s="343">
        <f t="shared" si="41"/>
        <v>13.189107941871068</v>
      </c>
      <c r="R90" s="344">
        <f t="shared" si="42"/>
        <v>-81.885845167374185</v>
      </c>
      <c r="S90" s="346">
        <f t="shared" si="43"/>
        <v>98.114154832625815</v>
      </c>
      <c r="U90" s="319">
        <f t="shared" si="50"/>
        <v>1000000000</v>
      </c>
      <c r="V90" s="319">
        <f t="shared" si="51"/>
        <v>1445525.2899999998</v>
      </c>
      <c r="X90" s="345">
        <f t="shared" si="44"/>
        <v>18.718975631369094</v>
      </c>
      <c r="Y90" s="346">
        <f t="shared" si="45"/>
        <v>-28.40267552031748</v>
      </c>
      <c r="AA90" s="345">
        <f t="shared" si="46"/>
        <v>43.344082295156234</v>
      </c>
      <c r="AB90" s="346">
        <f t="shared" si="47"/>
        <v>-53.483169647056712</v>
      </c>
      <c r="AD90">
        <f t="shared" si="52"/>
        <v>0</v>
      </c>
      <c r="AE90">
        <f t="shared" ref="AE90:AE153" si="53">IF(AD90&gt;0,S90,0)</f>
        <v>0</v>
      </c>
    </row>
    <row r="91" spans="1:31" x14ac:dyDescent="0.2">
      <c r="A91" s="347">
        <v>1318.3</v>
      </c>
      <c r="B91" s="364">
        <f t="shared" si="49"/>
        <v>1.3183</v>
      </c>
      <c r="C91" s="337">
        <f t="shared" si="27"/>
        <v>1.7685939921174343</v>
      </c>
      <c r="D91" s="338">
        <f t="shared" si="28"/>
        <v>0.9698528630859089</v>
      </c>
      <c r="E91" s="338">
        <f t="shared" si="29"/>
        <v>1.0000054887953072</v>
      </c>
      <c r="F91" s="339">
        <f t="shared" si="30"/>
        <v>3.3132371486112098E-3</v>
      </c>
      <c r="G91" s="338">
        <f t="shared" si="31"/>
        <v>1</v>
      </c>
      <c r="H91" s="339">
        <f t="shared" si="32"/>
        <v>0</v>
      </c>
      <c r="I91" s="337">
        <f t="shared" si="33"/>
        <v>20676.723568970556</v>
      </c>
      <c r="J91" s="340">
        <f t="shared" si="34"/>
        <v>1.5707479632329884</v>
      </c>
      <c r="K91" s="348">
        <f t="shared" si="35"/>
        <v>2.2791779925622309</v>
      </c>
      <c r="L91" s="349">
        <f t="shared" si="36"/>
        <v>1.1165839623220821</v>
      </c>
      <c r="M91" s="337">
        <f t="shared" si="37"/>
        <v>1.0000107672986358</v>
      </c>
      <c r="N91" s="340">
        <f t="shared" si="38"/>
        <v>4.6405176487854709E-3</v>
      </c>
      <c r="O91" s="341">
        <f t="shared" si="39"/>
        <v>1.0000438171507742</v>
      </c>
      <c r="P91" s="342">
        <f t="shared" si="40"/>
        <v>1.1236121609339639E-2</v>
      </c>
      <c r="Q91" s="343">
        <f t="shared" si="41"/>
        <v>12.495245747978604</v>
      </c>
      <c r="R91" s="344">
        <f t="shared" si="42"/>
        <v>-82.309986273726224</v>
      </c>
      <c r="S91" s="346">
        <f t="shared" si="43"/>
        <v>97.690013726273776</v>
      </c>
      <c r="U91" s="319">
        <f t="shared" si="50"/>
        <v>1000000000</v>
      </c>
      <c r="V91" s="319">
        <f t="shared" si="51"/>
        <v>1737914.89</v>
      </c>
      <c r="X91" s="345">
        <f t="shared" si="44"/>
        <v>18.553061300320415</v>
      </c>
      <c r="Y91" s="346">
        <f t="shared" si="45"/>
        <v>-26.287562565039895</v>
      </c>
      <c r="AA91" s="345">
        <f t="shared" si="46"/>
        <v>42.816134432312445</v>
      </c>
      <c r="AB91" s="346">
        <f t="shared" si="47"/>
        <v>-56.022423708686325</v>
      </c>
      <c r="AD91">
        <f t="shared" si="52"/>
        <v>0</v>
      </c>
      <c r="AE91">
        <f t="shared" si="53"/>
        <v>0</v>
      </c>
    </row>
    <row r="92" spans="1:31" x14ac:dyDescent="0.2">
      <c r="A92" s="347">
        <v>1445.4</v>
      </c>
      <c r="B92" s="364">
        <f t="shared" si="49"/>
        <v>1.4454</v>
      </c>
      <c r="C92" s="337">
        <f t="shared" si="27"/>
        <v>1.886271327115286</v>
      </c>
      <c r="D92" s="338">
        <f t="shared" si="28"/>
        <v>1.0120230810685911</v>
      </c>
      <c r="E92" s="338">
        <f t="shared" si="29"/>
        <v>1.0000065981835198</v>
      </c>
      <c r="F92" s="339">
        <f t="shared" si="30"/>
        <v>3.6326704337007226E-3</v>
      </c>
      <c r="G92" s="338">
        <f t="shared" si="31"/>
        <v>1</v>
      </c>
      <c r="H92" s="339">
        <f t="shared" si="32"/>
        <v>0</v>
      </c>
      <c r="I92" s="337">
        <f t="shared" si="33"/>
        <v>22670.208784581129</v>
      </c>
      <c r="J92" s="340">
        <f t="shared" si="34"/>
        <v>1.570752216041007</v>
      </c>
      <c r="K92" s="348">
        <f t="shared" si="35"/>
        <v>2.4581441829343209</v>
      </c>
      <c r="L92" s="349">
        <f t="shared" si="36"/>
        <v>1.1518359525605628</v>
      </c>
      <c r="M92" s="337">
        <f t="shared" si="37"/>
        <v>1.0000129435642138</v>
      </c>
      <c r="N92" s="340">
        <f t="shared" si="38"/>
        <v>5.0879120672463907E-3</v>
      </c>
      <c r="O92" s="341">
        <f t="shared" si="39"/>
        <v>1.0000526732579322</v>
      </c>
      <c r="P92" s="342">
        <f t="shared" si="40"/>
        <v>1.2319362375441685E-2</v>
      </c>
      <c r="Q92" s="343">
        <f t="shared" si="41"/>
        <v>11.792745445453111</v>
      </c>
      <c r="R92" s="344">
        <f t="shared" si="42"/>
        <v>-82.77601195064041</v>
      </c>
      <c r="S92" s="346">
        <f t="shared" si="43"/>
        <v>97.22398804935959</v>
      </c>
      <c r="U92" s="319">
        <f t="shared" si="50"/>
        <v>1000000000</v>
      </c>
      <c r="V92" s="319">
        <f t="shared" si="51"/>
        <v>2089181.1600000001</v>
      </c>
      <c r="X92" s="345">
        <f t="shared" si="44"/>
        <v>18.410148636655805</v>
      </c>
      <c r="Y92" s="346">
        <f t="shared" si="45"/>
        <v>-24.293649782566277</v>
      </c>
      <c r="AA92" s="345">
        <f t="shared" si="46"/>
        <v>42.256546793451555</v>
      </c>
      <c r="AB92" s="346">
        <f t="shared" si="47"/>
        <v>-58.482362168074125</v>
      </c>
      <c r="AD92">
        <f t="shared" si="52"/>
        <v>0</v>
      </c>
      <c r="AE92">
        <f t="shared" si="53"/>
        <v>0</v>
      </c>
    </row>
    <row r="93" spans="1:31" x14ac:dyDescent="0.2">
      <c r="A93" s="347">
        <v>1584.9</v>
      </c>
      <c r="B93" s="364">
        <f t="shared" si="49"/>
        <v>1.5849000000000002</v>
      </c>
      <c r="C93" s="337">
        <f t="shared" si="27"/>
        <v>2.0188143939428698</v>
      </c>
      <c r="D93" s="338">
        <f t="shared" si="28"/>
        <v>1.0525698764003033</v>
      </c>
      <c r="E93" s="338">
        <f t="shared" si="29"/>
        <v>1.0000079332607859</v>
      </c>
      <c r="F93" s="339">
        <f t="shared" si="30"/>
        <v>3.9832670859291904E-3</v>
      </c>
      <c r="G93" s="338">
        <f t="shared" si="31"/>
        <v>1</v>
      </c>
      <c r="H93" s="339">
        <f t="shared" si="32"/>
        <v>0</v>
      </c>
      <c r="I93" s="337">
        <f t="shared" si="33"/>
        <v>24858.180363082876</v>
      </c>
      <c r="J93" s="340">
        <f t="shared" si="34"/>
        <v>1.5707560985889031</v>
      </c>
      <c r="K93" s="348">
        <f t="shared" si="35"/>
        <v>2.6575875231971757</v>
      </c>
      <c r="L93" s="349">
        <f t="shared" si="36"/>
        <v>1.1850171998244299</v>
      </c>
      <c r="M93" s="337">
        <f t="shared" si="37"/>
        <v>1.0000155625566003</v>
      </c>
      <c r="N93" s="340">
        <f t="shared" si="38"/>
        <v>5.5789523703672341E-3</v>
      </c>
      <c r="O93" s="341">
        <f t="shared" si="39"/>
        <v>1.0000633309417781</v>
      </c>
      <c r="P93" s="342">
        <f t="shared" si="40"/>
        <v>1.3508267106436019E-2</v>
      </c>
      <c r="Q93" s="343">
        <f t="shared" si="41"/>
        <v>11.080125306123234</v>
      </c>
      <c r="R93" s="344">
        <f t="shared" si="42"/>
        <v>-83.274415274691009</v>
      </c>
      <c r="S93" s="346">
        <f t="shared" si="43"/>
        <v>96.725584725308991</v>
      </c>
      <c r="U93" s="319">
        <f t="shared" si="50"/>
        <v>1000000000</v>
      </c>
      <c r="V93" s="319">
        <f t="shared" si="51"/>
        <v>2511908.0100000002</v>
      </c>
      <c r="X93" s="345">
        <f t="shared" si="44"/>
        <v>18.287454054956768</v>
      </c>
      <c r="Y93" s="346">
        <f t="shared" si="45"/>
        <v>-22.420861343774561</v>
      </c>
      <c r="AA93" s="345">
        <f t="shared" si="46"/>
        <v>41.66662123582072</v>
      </c>
      <c r="AB93" s="346">
        <f t="shared" si="47"/>
        <v>-60.853553930916469</v>
      </c>
      <c r="AD93">
        <f t="shared" si="52"/>
        <v>0</v>
      </c>
      <c r="AE93">
        <f t="shared" si="53"/>
        <v>0</v>
      </c>
    </row>
    <row r="94" spans="1:31" x14ac:dyDescent="0.2">
      <c r="A94" s="347">
        <v>1737.8</v>
      </c>
      <c r="B94" s="364">
        <f t="shared" si="49"/>
        <v>1.7378</v>
      </c>
      <c r="C94" s="337">
        <f t="shared" si="27"/>
        <v>2.1674093056255295</v>
      </c>
      <c r="D94" s="338">
        <f t="shared" si="28"/>
        <v>1.0912459442705273</v>
      </c>
      <c r="E94" s="338">
        <f t="shared" si="29"/>
        <v>1.0000095377786096</v>
      </c>
      <c r="F94" s="339">
        <f t="shared" si="30"/>
        <v>4.3675399946584712E-3</v>
      </c>
      <c r="G94" s="338">
        <f t="shared" si="31"/>
        <v>1</v>
      </c>
      <c r="H94" s="339">
        <f t="shared" si="32"/>
        <v>0</v>
      </c>
      <c r="I94" s="337">
        <f t="shared" si="33"/>
        <v>27256.322688551405</v>
      </c>
      <c r="J94" s="340">
        <f t="shared" si="34"/>
        <v>1.5707596380598956</v>
      </c>
      <c r="K94" s="348">
        <f t="shared" si="35"/>
        <v>2.8790597272448206</v>
      </c>
      <c r="L94" s="349">
        <f t="shared" si="36"/>
        <v>1.2160679972060895</v>
      </c>
      <c r="M94" s="337">
        <f t="shared" si="37"/>
        <v>1.0000187101002911</v>
      </c>
      <c r="N94" s="340">
        <f t="shared" si="38"/>
        <v>6.1171576034198278E-3</v>
      </c>
      <c r="O94" s="341">
        <f t="shared" si="39"/>
        <v>1.0000761394193103</v>
      </c>
      <c r="P94" s="342">
        <f t="shared" si="40"/>
        <v>1.4811351067295751E-2</v>
      </c>
      <c r="Q94" s="343">
        <f t="shared" si="41"/>
        <v>10.358413256032685</v>
      </c>
      <c r="R94" s="344">
        <f t="shared" si="42"/>
        <v>-83.794994772498654</v>
      </c>
      <c r="S94" s="346">
        <f t="shared" si="43"/>
        <v>96.205005227501346</v>
      </c>
      <c r="U94" s="319">
        <f t="shared" si="50"/>
        <v>1000000000</v>
      </c>
      <c r="V94" s="319">
        <f t="shared" si="51"/>
        <v>3019948.84</v>
      </c>
      <c r="X94" s="345">
        <f t="shared" si="44"/>
        <v>18.182730135613014</v>
      </c>
      <c r="Y94" s="346">
        <f t="shared" si="45"/>
        <v>-20.672821386407513</v>
      </c>
      <c r="AA94" s="345">
        <f t="shared" si="46"/>
        <v>41.04963310507393</v>
      </c>
      <c r="AB94" s="346">
        <f t="shared" si="47"/>
        <v>-63.122173386091163</v>
      </c>
      <c r="AD94">
        <f t="shared" si="52"/>
        <v>0</v>
      </c>
      <c r="AE94">
        <f t="shared" si="53"/>
        <v>0</v>
      </c>
    </row>
    <row r="95" spans="1:31" x14ac:dyDescent="0.2">
      <c r="A95" s="347">
        <v>1905.5</v>
      </c>
      <c r="B95" s="364">
        <f t="shared" si="49"/>
        <v>1.9055</v>
      </c>
      <c r="C95" s="337">
        <f t="shared" si="27"/>
        <v>2.3336144436409274</v>
      </c>
      <c r="D95" s="338">
        <f t="shared" si="28"/>
        <v>1.1279424217744998</v>
      </c>
      <c r="E95" s="338">
        <f t="shared" si="29"/>
        <v>1.0000114674046792</v>
      </c>
      <c r="F95" s="339">
        <f t="shared" si="30"/>
        <v>4.7890072240180954E-3</v>
      </c>
      <c r="G95" s="338">
        <f t="shared" si="31"/>
        <v>1</v>
      </c>
      <c r="H95" s="339">
        <f t="shared" si="32"/>
        <v>0</v>
      </c>
      <c r="I95" s="337">
        <f t="shared" si="33"/>
        <v>29886.593898695326</v>
      </c>
      <c r="J95" s="340">
        <f t="shared" si="34"/>
        <v>1.5707628669766391</v>
      </c>
      <c r="K95" s="348">
        <f t="shared" si="35"/>
        <v>3.1246851052606481</v>
      </c>
      <c r="L95" s="349">
        <f t="shared" si="36"/>
        <v>1.2450328010169105</v>
      </c>
      <c r="M95" s="337">
        <f t="shared" si="37"/>
        <v>1.0000224953945087</v>
      </c>
      <c r="N95" s="340">
        <f t="shared" si="38"/>
        <v>6.7074544820595796E-3</v>
      </c>
      <c r="O95" s="341">
        <f t="shared" si="39"/>
        <v>1.000091543009453</v>
      </c>
      <c r="P95" s="342">
        <f t="shared" si="40"/>
        <v>1.6240536030950811E-2</v>
      </c>
      <c r="Q95" s="343">
        <f t="shared" si="41"/>
        <v>9.6274283952386916</v>
      </c>
      <c r="R95" s="344">
        <f t="shared" si="42"/>
        <v>-84.329731540522829</v>
      </c>
      <c r="S95" s="346">
        <f t="shared" si="43"/>
        <v>95.670268459477171</v>
      </c>
      <c r="U95" s="319">
        <f t="shared" si="50"/>
        <v>1000000000</v>
      </c>
      <c r="V95" s="319">
        <f t="shared" si="51"/>
        <v>3630930.25</v>
      </c>
      <c r="X95" s="345">
        <f t="shared" si="44"/>
        <v>18.093625706913024</v>
      </c>
      <c r="Y95" s="346">
        <f t="shared" si="45"/>
        <v>-19.047266894873168</v>
      </c>
      <c r="AA95" s="345">
        <f t="shared" si="46"/>
        <v>40.407752672979925</v>
      </c>
      <c r="AB95" s="346">
        <f t="shared" si="47"/>
        <v>-65.282464645649654</v>
      </c>
      <c r="AD95">
        <f t="shared" si="52"/>
        <v>0</v>
      </c>
      <c r="AE95">
        <f t="shared" si="53"/>
        <v>0</v>
      </c>
    </row>
    <row r="96" spans="1:31" x14ac:dyDescent="0.2">
      <c r="A96" s="347">
        <v>2089.3000000000002</v>
      </c>
      <c r="B96" s="364">
        <f t="shared" si="49"/>
        <v>2.0893000000000002</v>
      </c>
      <c r="C96" s="337">
        <f t="shared" si="27"/>
        <v>2.5188835214073788</v>
      </c>
      <c r="D96" s="338">
        <f t="shared" si="28"/>
        <v>1.1625490178686535</v>
      </c>
      <c r="E96" s="338">
        <f t="shared" si="29"/>
        <v>1.0000137863194518</v>
      </c>
      <c r="F96" s="339">
        <f t="shared" si="30"/>
        <v>5.2509353582233321E-3</v>
      </c>
      <c r="G96" s="338">
        <f t="shared" si="31"/>
        <v>1</v>
      </c>
      <c r="H96" s="339">
        <f t="shared" si="32"/>
        <v>0</v>
      </c>
      <c r="I96" s="337">
        <f t="shared" si="33"/>
        <v>32769.383692818032</v>
      </c>
      <c r="J96" s="340">
        <f t="shared" si="34"/>
        <v>1.5707658105053768</v>
      </c>
      <c r="K96" s="348">
        <f t="shared" si="35"/>
        <v>3.3964448697037595</v>
      </c>
      <c r="L96" s="349">
        <f t="shared" si="36"/>
        <v>1.2719420035063562</v>
      </c>
      <c r="M96" s="337">
        <f t="shared" si="37"/>
        <v>1.0000270443363406</v>
      </c>
      <c r="N96" s="340">
        <f t="shared" si="38"/>
        <v>7.3544172927347542E-3</v>
      </c>
      <c r="O96" s="341">
        <f t="shared" si="39"/>
        <v>1.0001100539537031</v>
      </c>
      <c r="P96" s="342">
        <f t="shared" si="40"/>
        <v>1.7806888214871797E-2</v>
      </c>
      <c r="Q96" s="343">
        <f t="shared" si="41"/>
        <v>8.8881978617658621</v>
      </c>
      <c r="R96" s="344">
        <f t="shared" si="42"/>
        <v>-84.871275435111002</v>
      </c>
      <c r="S96" s="346">
        <f t="shared" si="43"/>
        <v>95.128724564888998</v>
      </c>
      <c r="U96" s="319">
        <f t="shared" si="50"/>
        <v>1000000000</v>
      </c>
      <c r="V96" s="319">
        <f t="shared" si="51"/>
        <v>4365174.4900000012</v>
      </c>
      <c r="X96" s="345">
        <f t="shared" si="44"/>
        <v>18.018115421932276</v>
      </c>
      <c r="Y96" s="346">
        <f t="shared" si="45"/>
        <v>-17.542720050772953</v>
      </c>
      <c r="AA96" s="345">
        <f t="shared" si="46"/>
        <v>39.744032424487841</v>
      </c>
      <c r="AB96" s="346">
        <f t="shared" si="47"/>
        <v>-67.328555384338046</v>
      </c>
      <c r="AD96">
        <f t="shared" si="52"/>
        <v>0</v>
      </c>
      <c r="AE96">
        <f t="shared" si="53"/>
        <v>0</v>
      </c>
    </row>
    <row r="97" spans="1:31" x14ac:dyDescent="0.2">
      <c r="A97" s="347">
        <v>2290.9</v>
      </c>
      <c r="B97" s="364">
        <f t="shared" si="49"/>
        <v>2.2909000000000002</v>
      </c>
      <c r="C97" s="337">
        <f t="shared" si="27"/>
        <v>2.7250668968539933</v>
      </c>
      <c r="D97" s="338">
        <f t="shared" si="28"/>
        <v>1.1950536780167169</v>
      </c>
      <c r="E97" s="338">
        <f t="shared" si="29"/>
        <v>1.0000165751851355</v>
      </c>
      <c r="F97" s="339">
        <f t="shared" si="30"/>
        <v>5.7575960593960708E-3</v>
      </c>
      <c r="G97" s="338">
        <f t="shared" si="31"/>
        <v>1</v>
      </c>
      <c r="H97" s="339">
        <f t="shared" si="32"/>
        <v>0</v>
      </c>
      <c r="I97" s="337">
        <f t="shared" si="33"/>
        <v>35931.355523857477</v>
      </c>
      <c r="J97" s="340">
        <f t="shared" si="34"/>
        <v>1.5707684959495096</v>
      </c>
      <c r="K97" s="348">
        <f t="shared" si="35"/>
        <v>3.6969140941511469</v>
      </c>
      <c r="L97" s="349">
        <f t="shared" si="36"/>
        <v>1.2968882596713809</v>
      </c>
      <c r="M97" s="337">
        <f t="shared" si="37"/>
        <v>1.0000325151525893</v>
      </c>
      <c r="N97" s="340">
        <f t="shared" si="38"/>
        <v>8.0640277261840657E-3</v>
      </c>
      <c r="O97" s="341">
        <f t="shared" si="39"/>
        <v>1.0001323160142734</v>
      </c>
      <c r="P97" s="342">
        <f t="shared" si="40"/>
        <v>1.9524878301901138E-2</v>
      </c>
      <c r="Q97" s="343">
        <f t="shared" si="41"/>
        <v>8.140788795444168</v>
      </c>
      <c r="R97" s="344">
        <f t="shared" si="42"/>
        <v>-85.414555692774556</v>
      </c>
      <c r="S97" s="346">
        <f t="shared" si="43"/>
        <v>94.585444307225444</v>
      </c>
      <c r="U97" s="319">
        <f t="shared" si="50"/>
        <v>1000000000</v>
      </c>
      <c r="V97" s="319">
        <f t="shared" si="51"/>
        <v>5248222.8100000005</v>
      </c>
      <c r="X97" s="345">
        <f t="shared" si="44"/>
        <v>17.954257131726045</v>
      </c>
      <c r="Y97" s="346">
        <f t="shared" si="45"/>
        <v>-16.154216403828261</v>
      </c>
      <c r="AA97" s="345">
        <f t="shared" si="46"/>
        <v>39.060481648372381</v>
      </c>
      <c r="AB97" s="346">
        <f t="shared" si="47"/>
        <v>-69.260339288946298</v>
      </c>
      <c r="AD97">
        <f t="shared" si="52"/>
        <v>0</v>
      </c>
      <c r="AE97">
        <f t="shared" si="53"/>
        <v>0</v>
      </c>
    </row>
    <row r="98" spans="1:31" x14ac:dyDescent="0.2">
      <c r="A98" s="347">
        <v>2511.9</v>
      </c>
      <c r="B98" s="364">
        <f t="shared" si="49"/>
        <v>2.5119000000000002</v>
      </c>
      <c r="C98" s="337">
        <f t="shared" si="27"/>
        <v>2.9539133424895603</v>
      </c>
      <c r="D98" s="338">
        <f t="shared" si="28"/>
        <v>1.2254378955941436</v>
      </c>
      <c r="E98" s="338">
        <f t="shared" si="29"/>
        <v>1.0000199273747175</v>
      </c>
      <c r="F98" s="339">
        <f t="shared" si="30"/>
        <v>6.3130093942811794E-3</v>
      </c>
      <c r="G98" s="338">
        <f t="shared" si="31"/>
        <v>1</v>
      </c>
      <c r="H98" s="339">
        <f t="shared" si="32"/>
        <v>0</v>
      </c>
      <c r="I98" s="337">
        <f t="shared" si="33"/>
        <v>39397.604406345774</v>
      </c>
      <c r="J98" s="340">
        <f t="shared" si="34"/>
        <v>1.5707709445409455</v>
      </c>
      <c r="K98" s="348">
        <f t="shared" si="35"/>
        <v>4.0285266570007874</v>
      </c>
      <c r="L98" s="349">
        <f t="shared" si="36"/>
        <v>1.319943989935739</v>
      </c>
      <c r="M98" s="337">
        <f t="shared" si="37"/>
        <v>1.0000390910013972</v>
      </c>
      <c r="N98" s="340">
        <f t="shared" si="38"/>
        <v>8.8419147267574105E-3</v>
      </c>
      <c r="O98" s="341">
        <f t="shared" si="39"/>
        <v>1.0001590743495643</v>
      </c>
      <c r="P98" s="342">
        <f t="shared" si="40"/>
        <v>2.1408118985260648E-2</v>
      </c>
      <c r="Q98" s="343">
        <f t="shared" si="41"/>
        <v>7.386330146321952</v>
      </c>
      <c r="R98" s="344">
        <f t="shared" si="42"/>
        <v>-85.955235925661981</v>
      </c>
      <c r="S98" s="346">
        <f t="shared" si="43"/>
        <v>94.044764074338019</v>
      </c>
      <c r="U98" s="319">
        <f t="shared" si="50"/>
        <v>1000000000</v>
      </c>
      <c r="V98" s="319">
        <f t="shared" si="51"/>
        <v>6309641.6100000003</v>
      </c>
      <c r="X98" s="345">
        <f t="shared" si="44"/>
        <v>17.900413399854884</v>
      </c>
      <c r="Y98" s="346">
        <f t="shared" si="45"/>
        <v>-14.877930300656093</v>
      </c>
      <c r="AA98" s="345">
        <f t="shared" si="46"/>
        <v>38.359866731121322</v>
      </c>
      <c r="AB98" s="346">
        <f t="shared" si="47"/>
        <v>-71.077305625005877</v>
      </c>
      <c r="AD98">
        <f t="shared" si="52"/>
        <v>0</v>
      </c>
      <c r="AE98">
        <f t="shared" si="53"/>
        <v>0</v>
      </c>
    </row>
    <row r="99" spans="1:31" x14ac:dyDescent="0.2">
      <c r="A99" s="347">
        <v>2754.2</v>
      </c>
      <c r="B99" s="364">
        <f t="shared" si="49"/>
        <v>2.7542</v>
      </c>
      <c r="C99" s="337">
        <f t="shared" si="27"/>
        <v>3.2074795449302642</v>
      </c>
      <c r="D99" s="338">
        <f t="shared" si="28"/>
        <v>1.2537396673412342</v>
      </c>
      <c r="E99" s="338">
        <f t="shared" si="29"/>
        <v>1.0000239571674505</v>
      </c>
      <c r="F99" s="339">
        <f t="shared" si="30"/>
        <v>6.9219490278643204E-3</v>
      </c>
      <c r="G99" s="338">
        <f t="shared" si="31"/>
        <v>1</v>
      </c>
      <c r="H99" s="339">
        <f t="shared" si="32"/>
        <v>0</v>
      </c>
      <c r="I99" s="337">
        <f t="shared" si="33"/>
        <v>43197.93067004178</v>
      </c>
      <c r="J99" s="340">
        <f t="shared" si="34"/>
        <v>1.5707731775378702</v>
      </c>
      <c r="K99" s="348">
        <f t="shared" si="35"/>
        <v>4.3941709284817465</v>
      </c>
      <c r="L99" s="349">
        <f t="shared" si="36"/>
        <v>1.3412105229792592</v>
      </c>
      <c r="M99" s="337">
        <f t="shared" si="37"/>
        <v>1.000046996047649</v>
      </c>
      <c r="N99" s="340">
        <f t="shared" si="38"/>
        <v>9.6947622146252924E-3</v>
      </c>
      <c r="O99" s="341">
        <f t="shared" si="39"/>
        <v>1.0001912409025306</v>
      </c>
      <c r="P99" s="342">
        <f t="shared" si="40"/>
        <v>2.3472771876160679E-2</v>
      </c>
      <c r="Q99" s="343">
        <f t="shared" si="41"/>
        <v>6.6254457783412786</v>
      </c>
      <c r="R99" s="344">
        <f t="shared" si="42"/>
        <v>-86.490724140603646</v>
      </c>
      <c r="S99" s="346">
        <f t="shared" si="43"/>
        <v>93.509275859396354</v>
      </c>
      <c r="U99" s="319">
        <f t="shared" si="50"/>
        <v>1000000000</v>
      </c>
      <c r="V99" s="319">
        <f t="shared" si="51"/>
        <v>7585617.6399999987</v>
      </c>
      <c r="X99" s="345">
        <f t="shared" si="44"/>
        <v>17.855096275508767</v>
      </c>
      <c r="Y99" s="346">
        <f t="shared" si="45"/>
        <v>-13.70844021397316</v>
      </c>
      <c r="AA99" s="345">
        <f t="shared" si="46"/>
        <v>37.644299487486769</v>
      </c>
      <c r="AB99" s="346">
        <f t="shared" si="47"/>
        <v>-72.782283926630498</v>
      </c>
      <c r="AD99">
        <f t="shared" si="52"/>
        <v>0</v>
      </c>
      <c r="AE99">
        <f t="shared" si="53"/>
        <v>0</v>
      </c>
    </row>
    <row r="100" spans="1:31" x14ac:dyDescent="0.2">
      <c r="A100" s="347">
        <v>3020</v>
      </c>
      <c r="B100" s="364">
        <f t="shared" si="49"/>
        <v>3.02</v>
      </c>
      <c r="C100" s="337">
        <f t="shared" si="27"/>
        <v>3.4881415871417079</v>
      </c>
      <c r="D100" s="338">
        <f t="shared" si="28"/>
        <v>1.2800308962688349</v>
      </c>
      <c r="E100" s="338">
        <f t="shared" si="29"/>
        <v>1.0000288043018839</v>
      </c>
      <c r="F100" s="339">
        <f t="shared" si="30"/>
        <v>7.5899420938843687E-3</v>
      </c>
      <c r="G100" s="338">
        <f t="shared" si="31"/>
        <v>1</v>
      </c>
      <c r="H100" s="339">
        <f t="shared" si="32"/>
        <v>0</v>
      </c>
      <c r="I100" s="337">
        <f t="shared" si="33"/>
        <v>47366.839959931698</v>
      </c>
      <c r="J100" s="340">
        <f t="shared" si="34"/>
        <v>1.5707752149791006</v>
      </c>
      <c r="K100" s="348">
        <f t="shared" si="35"/>
        <v>4.7971978641885649</v>
      </c>
      <c r="L100" s="349">
        <f t="shared" si="36"/>
        <v>1.3608013112911013</v>
      </c>
      <c r="M100" s="337">
        <f t="shared" si="37"/>
        <v>1.0000565043923422</v>
      </c>
      <c r="N100" s="340">
        <f t="shared" si="38"/>
        <v>1.0630308730097997E-2</v>
      </c>
      <c r="O100" s="341">
        <f t="shared" si="39"/>
        <v>1.0002299306960294</v>
      </c>
      <c r="P100" s="342">
        <f t="shared" si="40"/>
        <v>2.5737544775403957E-2</v>
      </c>
      <c r="Q100" s="343">
        <f t="shared" si="41"/>
        <v>5.8584494409254519</v>
      </c>
      <c r="R100" s="344">
        <f t="shared" si="42"/>
        <v>-87.019839458282817</v>
      </c>
      <c r="S100" s="346">
        <f t="shared" si="43"/>
        <v>92.980160541717183</v>
      </c>
      <c r="U100" s="319">
        <f t="shared" si="50"/>
        <v>1000000000</v>
      </c>
      <c r="V100" s="319">
        <f t="shared" si="51"/>
        <v>9120400</v>
      </c>
      <c r="X100" s="345">
        <f t="shared" si="44"/>
        <v>17.81699801476719</v>
      </c>
      <c r="Y100" s="346">
        <f t="shared" si="45"/>
        <v>-12.639690328807434</v>
      </c>
      <c r="AA100" s="345">
        <f t="shared" si="46"/>
        <v>36.915401410812521</v>
      </c>
      <c r="AB100" s="346">
        <f t="shared" si="47"/>
        <v>-74.380149129475399</v>
      </c>
      <c r="AD100">
        <f t="shared" si="52"/>
        <v>0</v>
      </c>
      <c r="AE100">
        <f t="shared" si="53"/>
        <v>0</v>
      </c>
    </row>
    <row r="101" spans="1:31" x14ac:dyDescent="0.2">
      <c r="A101" s="347">
        <v>3311.3</v>
      </c>
      <c r="B101" s="364">
        <f t="shared" si="49"/>
        <v>3.3113000000000001</v>
      </c>
      <c r="C101" s="337">
        <f t="shared" si="27"/>
        <v>3.798068603217402</v>
      </c>
      <c r="D101" s="338">
        <f t="shared" si="28"/>
        <v>1.3043635966391971</v>
      </c>
      <c r="E101" s="338">
        <f t="shared" si="29"/>
        <v>1.0000346289450666</v>
      </c>
      <c r="F101" s="339">
        <f t="shared" si="30"/>
        <v>8.3220124721026002E-3</v>
      </c>
      <c r="G101" s="338">
        <f t="shared" si="31"/>
        <v>1</v>
      </c>
      <c r="H101" s="339">
        <f t="shared" si="32"/>
        <v>0</v>
      </c>
      <c r="I101" s="337">
        <f t="shared" si="33"/>
        <v>51935.701044186244</v>
      </c>
      <c r="J101" s="340">
        <f t="shared" si="34"/>
        <v>1.5707770722170251</v>
      </c>
      <c r="K101" s="348">
        <f t="shared" si="35"/>
        <v>5.2406631845744842</v>
      </c>
      <c r="L101" s="349">
        <f t="shared" si="36"/>
        <v>1.3788034371959494</v>
      </c>
      <c r="M101" s="337">
        <f t="shared" si="37"/>
        <v>1.0000679302010769</v>
      </c>
      <c r="N101" s="340">
        <f t="shared" si="38"/>
        <v>1.1655587147187507E-2</v>
      </c>
      <c r="O101" s="341">
        <f t="shared" si="39"/>
        <v>1.0002764216106412</v>
      </c>
      <c r="P101" s="342">
        <f t="shared" si="40"/>
        <v>2.8219428179834524E-2</v>
      </c>
      <c r="Q101" s="343">
        <f t="shared" si="41"/>
        <v>5.086763700454993</v>
      </c>
      <c r="R101" s="344">
        <f t="shared" si="42"/>
        <v>-87.541662097005016</v>
      </c>
      <c r="S101" s="346">
        <f t="shared" si="43"/>
        <v>92.458337902994984</v>
      </c>
      <c r="U101" s="319">
        <f t="shared" si="50"/>
        <v>1000000000</v>
      </c>
      <c r="V101" s="319">
        <f t="shared" si="51"/>
        <v>10964707.690000001</v>
      </c>
      <c r="X101" s="345">
        <f t="shared" si="44"/>
        <v>17.785039394855524</v>
      </c>
      <c r="Y101" s="346">
        <f t="shared" si="45"/>
        <v>-11.667095029104861</v>
      </c>
      <c r="AA101" s="345">
        <f t="shared" si="46"/>
        <v>36.175674290253724</v>
      </c>
      <c r="AB101" s="346">
        <f t="shared" si="47"/>
        <v>-75.874567067900159</v>
      </c>
      <c r="AD101">
        <f t="shared" si="52"/>
        <v>0</v>
      </c>
      <c r="AE101">
        <f t="shared" si="53"/>
        <v>0</v>
      </c>
    </row>
    <row r="102" spans="1:31" x14ac:dyDescent="0.2">
      <c r="A102" s="347">
        <v>3630.8</v>
      </c>
      <c r="B102" s="364">
        <f t="shared" si="49"/>
        <v>3.6308000000000002</v>
      </c>
      <c r="C102" s="337">
        <f t="shared" si="27"/>
        <v>4.1401779182662644</v>
      </c>
      <c r="D102" s="338">
        <f t="shared" si="28"/>
        <v>1.3268484222860744</v>
      </c>
      <c r="E102" s="338">
        <f t="shared" si="29"/>
        <v>1.0000416337313689</v>
      </c>
      <c r="F102" s="339">
        <f t="shared" si="30"/>
        <v>9.124942404980246E-3</v>
      </c>
      <c r="G102" s="338">
        <f t="shared" si="31"/>
        <v>1</v>
      </c>
      <c r="H102" s="339">
        <f t="shared" si="32"/>
        <v>0</v>
      </c>
      <c r="I102" s="337">
        <f t="shared" si="33"/>
        <v>56946.861759837608</v>
      </c>
      <c r="J102" s="340">
        <f t="shared" si="34"/>
        <v>1.570778766564725</v>
      </c>
      <c r="K102" s="348">
        <f t="shared" si="35"/>
        <v>5.7286948282985524</v>
      </c>
      <c r="L102" s="349">
        <f t="shared" si="36"/>
        <v>1.395337609034941</v>
      </c>
      <c r="M102" s="337">
        <f t="shared" si="37"/>
        <v>1.0000816709320286</v>
      </c>
      <c r="N102" s="340">
        <f t="shared" si="38"/>
        <v>1.2780091859214179E-2</v>
      </c>
      <c r="O102" s="341">
        <f t="shared" si="39"/>
        <v>1.000332330199456</v>
      </c>
      <c r="P102" s="342">
        <f t="shared" si="40"/>
        <v>3.0941359374679379E-2</v>
      </c>
      <c r="Q102" s="343">
        <f t="shared" si="41"/>
        <v>4.3104085645337475</v>
      </c>
      <c r="R102" s="344">
        <f t="shared" si="42"/>
        <v>-88.057086572334214</v>
      </c>
      <c r="S102" s="346">
        <f t="shared" si="43"/>
        <v>91.942913427665786</v>
      </c>
      <c r="U102" s="319">
        <f t="shared" si="50"/>
        <v>1000000000</v>
      </c>
      <c r="V102" s="319">
        <f t="shared" si="51"/>
        <v>13182708.640000001</v>
      </c>
      <c r="X102" s="345">
        <f t="shared" si="44"/>
        <v>17.758232881033116</v>
      </c>
      <c r="Y102" s="346">
        <f t="shared" si="45"/>
        <v>-10.784283216991767</v>
      </c>
      <c r="AA102" s="345">
        <f t="shared" si="46"/>
        <v>35.426125668154889</v>
      </c>
      <c r="AB102" s="346">
        <f t="shared" si="47"/>
        <v>-77.272803355342461</v>
      </c>
      <c r="AD102">
        <f t="shared" si="52"/>
        <v>0</v>
      </c>
      <c r="AE102">
        <f t="shared" si="53"/>
        <v>0</v>
      </c>
    </row>
    <row r="103" spans="1:31" x14ac:dyDescent="0.2">
      <c r="A103" s="347">
        <v>3981.1</v>
      </c>
      <c r="B103" s="364">
        <f t="shared" si="49"/>
        <v>3.9811000000000001</v>
      </c>
      <c r="C103" s="337">
        <f t="shared" si="27"/>
        <v>4.5172896901739019</v>
      </c>
      <c r="D103" s="338">
        <f t="shared" si="28"/>
        <v>1.3475755041962691</v>
      </c>
      <c r="E103" s="338">
        <f t="shared" si="29"/>
        <v>1.0000500547189093</v>
      </c>
      <c r="F103" s="339">
        <f t="shared" si="30"/>
        <v>1.0005261725980173E-2</v>
      </c>
      <c r="G103" s="338">
        <f t="shared" si="31"/>
        <v>1</v>
      </c>
      <c r="H103" s="339">
        <f t="shared" si="32"/>
        <v>0</v>
      </c>
      <c r="I103" s="337">
        <f t="shared" si="33"/>
        <v>62441.101505510844</v>
      </c>
      <c r="J103" s="340">
        <f t="shared" si="34"/>
        <v>1.5707803117026589</v>
      </c>
      <c r="K103" s="348">
        <f t="shared" si="35"/>
        <v>6.2652786719492575</v>
      </c>
      <c r="L103" s="349">
        <f t="shared" si="36"/>
        <v>1.4105009336535153</v>
      </c>
      <c r="M103" s="337">
        <f t="shared" si="37"/>
        <v>1.000098189589566</v>
      </c>
      <c r="N103" s="340">
        <f t="shared" si="38"/>
        <v>1.4012962278517407E-2</v>
      </c>
      <c r="O103" s="341">
        <f t="shared" si="39"/>
        <v>1.0003995393616281</v>
      </c>
      <c r="P103" s="342">
        <f t="shared" si="40"/>
        <v>3.3925400526965674E-2</v>
      </c>
      <c r="Q103" s="343">
        <f t="shared" si="41"/>
        <v>3.5302548291487303</v>
      </c>
      <c r="R103" s="344">
        <f t="shared" si="42"/>
        <v>-88.567127567759243</v>
      </c>
      <c r="S103" s="346">
        <f t="shared" si="43"/>
        <v>91.432872432240757</v>
      </c>
      <c r="U103" s="319">
        <f t="shared" si="50"/>
        <v>1000000000</v>
      </c>
      <c r="V103" s="319">
        <f t="shared" si="51"/>
        <v>15849157.209999999</v>
      </c>
      <c r="X103" s="345">
        <f t="shared" si="44"/>
        <v>17.735768317086819</v>
      </c>
      <c r="Y103" s="346">
        <f t="shared" si="45"/>
        <v>-9.986215513643689</v>
      </c>
      <c r="AA103" s="345">
        <f t="shared" si="46"/>
        <v>34.668436496716168</v>
      </c>
      <c r="AB103" s="346">
        <f t="shared" si="47"/>
        <v>-78.580912054115544</v>
      </c>
      <c r="AD103">
        <f t="shared" si="52"/>
        <v>0</v>
      </c>
      <c r="AE103">
        <f t="shared" si="53"/>
        <v>0</v>
      </c>
    </row>
    <row r="104" spans="1:31" x14ac:dyDescent="0.2">
      <c r="A104" s="347">
        <v>4365.2</v>
      </c>
      <c r="B104" s="364">
        <f t="shared" si="49"/>
        <v>4.3651999999999997</v>
      </c>
      <c r="C104" s="337">
        <f t="shared" si="27"/>
        <v>4.9326610120155596</v>
      </c>
      <c r="D104" s="338">
        <f t="shared" si="28"/>
        <v>1.3666509769228028</v>
      </c>
      <c r="E104" s="338">
        <f t="shared" si="29"/>
        <v>1.000060178997439</v>
      </c>
      <c r="F104" s="339">
        <f t="shared" si="30"/>
        <v>1.0970504060216347E-2</v>
      </c>
      <c r="G104" s="338">
        <f t="shared" si="31"/>
        <v>1</v>
      </c>
      <c r="H104" s="339">
        <f t="shared" si="32"/>
        <v>0</v>
      </c>
      <c r="I104" s="337">
        <f t="shared" si="33"/>
        <v>68465.473433466919</v>
      </c>
      <c r="J104" s="340">
        <f t="shared" si="34"/>
        <v>1.5707817208928283</v>
      </c>
      <c r="K104" s="348">
        <f t="shared" si="35"/>
        <v>6.8550206221361787</v>
      </c>
      <c r="L104" s="349">
        <f t="shared" si="36"/>
        <v>1.4243954314965195</v>
      </c>
      <c r="M104" s="337">
        <f t="shared" si="37"/>
        <v>1.00011804925544</v>
      </c>
      <c r="N104" s="340">
        <f t="shared" si="38"/>
        <v>1.5364741689168057E-2</v>
      </c>
      <c r="O104" s="341">
        <f t="shared" si="39"/>
        <v>1.0004803386777232</v>
      </c>
      <c r="P104" s="342">
        <f t="shared" si="40"/>
        <v>3.7196991196269701E-2</v>
      </c>
      <c r="Q104" s="343">
        <f t="shared" si="41"/>
        <v>2.7467484789728132</v>
      </c>
      <c r="R104" s="344">
        <f t="shared" si="42"/>
        <v>-89.073651584326186</v>
      </c>
      <c r="S104" s="346">
        <f t="shared" si="43"/>
        <v>90.926348415673814</v>
      </c>
      <c r="U104" s="319">
        <f t="shared" si="50"/>
        <v>1000000000</v>
      </c>
      <c r="V104" s="319">
        <f t="shared" si="51"/>
        <v>19054971.039999999</v>
      </c>
      <c r="X104" s="345">
        <f t="shared" si="44"/>
        <v>17.716942098560558</v>
      </c>
      <c r="Y104" s="346">
        <f t="shared" si="45"/>
        <v>-9.2676514236770409</v>
      </c>
      <c r="AA104" s="345">
        <f t="shared" si="46"/>
        <v>33.903756365066506</v>
      </c>
      <c r="AB104" s="346">
        <f t="shared" si="47"/>
        <v>-79.80600016064912</v>
      </c>
      <c r="AD104">
        <f t="shared" si="52"/>
        <v>0</v>
      </c>
      <c r="AE104">
        <f t="shared" si="53"/>
        <v>0</v>
      </c>
    </row>
    <row r="105" spans="1:31" x14ac:dyDescent="0.2">
      <c r="A105" s="347">
        <v>4786.3</v>
      </c>
      <c r="B105" s="364">
        <f t="shared" si="49"/>
        <v>4.7862999999999998</v>
      </c>
      <c r="C105" s="337">
        <f t="shared" si="27"/>
        <v>5.389773556928029</v>
      </c>
      <c r="D105" s="338">
        <f t="shared" si="28"/>
        <v>1.3841784603590095</v>
      </c>
      <c r="E105" s="338">
        <f t="shared" si="29"/>
        <v>1.0000723492186159</v>
      </c>
      <c r="F105" s="339">
        <f t="shared" si="30"/>
        <v>1.2028703743743891E-2</v>
      </c>
      <c r="G105" s="338">
        <f t="shared" si="31"/>
        <v>1</v>
      </c>
      <c r="H105" s="339">
        <f t="shared" si="32"/>
        <v>0</v>
      </c>
      <c r="I105" s="337">
        <f t="shared" si="33"/>
        <v>75070.167572785387</v>
      </c>
      <c r="J105" s="340">
        <f t="shared" si="34"/>
        <v>1.5707830059241386</v>
      </c>
      <c r="K105" s="348">
        <f t="shared" si="35"/>
        <v>7.5028418885449542</v>
      </c>
      <c r="L105" s="349">
        <f t="shared" si="36"/>
        <v>1.4371156955307933</v>
      </c>
      <c r="M105" s="337">
        <f t="shared" si="37"/>
        <v>1.0001419219625391</v>
      </c>
      <c r="N105" s="340">
        <f t="shared" si="38"/>
        <v>1.6846672057245916E-2</v>
      </c>
      <c r="O105" s="341">
        <f t="shared" si="39"/>
        <v>1.0005774602716597</v>
      </c>
      <c r="P105" s="342">
        <f t="shared" si="40"/>
        <v>4.0783234714621815E-2</v>
      </c>
      <c r="Q105" s="343">
        <f t="shared" si="41"/>
        <v>1.9604439140566483</v>
      </c>
      <c r="R105" s="344">
        <f t="shared" si="42"/>
        <v>-89.578913192480925</v>
      </c>
      <c r="S105" s="346">
        <f t="shared" si="43"/>
        <v>90.421086807519075</v>
      </c>
      <c r="U105" s="319">
        <f t="shared" si="50"/>
        <v>1000000000</v>
      </c>
      <c r="V105" s="319">
        <f t="shared" si="51"/>
        <v>22908667.690000001</v>
      </c>
      <c r="X105" s="345">
        <f t="shared" si="44"/>
        <v>17.701159951937186</v>
      </c>
      <c r="Y105" s="346">
        <f t="shared" si="45"/>
        <v>-8.6238159619791617</v>
      </c>
      <c r="AA105" s="345">
        <f t="shared" si="46"/>
        <v>33.133233946773721</v>
      </c>
      <c r="AB105" s="346">
        <f t="shared" si="47"/>
        <v>-80.955097230501764</v>
      </c>
      <c r="AD105">
        <f t="shared" si="52"/>
        <v>0</v>
      </c>
      <c r="AE105">
        <f t="shared" si="53"/>
        <v>0</v>
      </c>
    </row>
    <row r="106" spans="1:31" x14ac:dyDescent="0.2">
      <c r="A106" s="347">
        <v>5248.1</v>
      </c>
      <c r="B106" s="364">
        <f t="shared" si="49"/>
        <v>5.2481</v>
      </c>
      <c r="C106" s="337">
        <f t="shared" si="27"/>
        <v>5.8926604197246348</v>
      </c>
      <c r="D106" s="338">
        <f t="shared" si="28"/>
        <v>1.4002684072446305</v>
      </c>
      <c r="E106" s="338">
        <f t="shared" si="29"/>
        <v>1.0000869831314332</v>
      </c>
      <c r="F106" s="339">
        <f t="shared" si="30"/>
        <v>1.3189149089063608E-2</v>
      </c>
      <c r="G106" s="338">
        <f t="shared" si="31"/>
        <v>1</v>
      </c>
      <c r="H106" s="339">
        <f t="shared" si="32"/>
        <v>0</v>
      </c>
      <c r="I106" s="337">
        <f t="shared" si="33"/>
        <v>82313.216144590624</v>
      </c>
      <c r="J106" s="340">
        <f t="shared" si="34"/>
        <v>1.5707841780775111</v>
      </c>
      <c r="K106" s="348">
        <f t="shared" si="35"/>
        <v>8.2144409002122138</v>
      </c>
      <c r="L106" s="349">
        <f t="shared" si="36"/>
        <v>1.4487567860566641</v>
      </c>
      <c r="M106" s="337">
        <f t="shared" si="37"/>
        <v>1.0001706269965978</v>
      </c>
      <c r="N106" s="340">
        <f t="shared" si="38"/>
        <v>1.8471748093767164E-2</v>
      </c>
      <c r="O106" s="341">
        <f t="shared" si="39"/>
        <v>1.0006942342879652</v>
      </c>
      <c r="P106" s="342">
        <f t="shared" si="40"/>
        <v>4.4715440149184126E-2</v>
      </c>
      <c r="Q106" s="343">
        <f t="shared" si="41"/>
        <v>1.1714907687048834</v>
      </c>
      <c r="R106" s="344">
        <f t="shared" si="42"/>
        <v>-90.08580119879187</v>
      </c>
      <c r="S106" s="346">
        <f t="shared" si="43"/>
        <v>89.91419880120813</v>
      </c>
      <c r="U106" s="319">
        <f t="shared" si="50"/>
        <v>1000000000</v>
      </c>
      <c r="V106" s="319">
        <f t="shared" si="51"/>
        <v>27542553.610000003</v>
      </c>
      <c r="X106" s="345">
        <f t="shared" si="44"/>
        <v>17.68791125155715</v>
      </c>
      <c r="Y106" s="346">
        <f t="shared" si="45"/>
        <v>-8.0500077629830606</v>
      </c>
      <c r="AA106" s="345">
        <f t="shared" si="46"/>
        <v>32.357529501801984</v>
      </c>
      <c r="AB106" s="346">
        <f t="shared" si="47"/>
        <v>-82.035793435808785</v>
      </c>
      <c r="AD106">
        <f t="shared" si="52"/>
        <v>0</v>
      </c>
      <c r="AE106">
        <f t="shared" si="53"/>
        <v>0</v>
      </c>
    </row>
    <row r="107" spans="1:31" x14ac:dyDescent="0.2">
      <c r="A107" s="347">
        <v>5370.3</v>
      </c>
      <c r="B107" s="364">
        <f t="shared" si="49"/>
        <v>5.3703000000000003</v>
      </c>
      <c r="C107" s="337">
        <f t="shared" si="27"/>
        <v>6.025960992572462</v>
      </c>
      <c r="D107" s="338">
        <f t="shared" si="28"/>
        <v>1.4040764200637801</v>
      </c>
      <c r="E107" s="338">
        <f t="shared" si="29"/>
        <v>1.0000910808426222</v>
      </c>
      <c r="F107" s="339">
        <f t="shared" si="30"/>
        <v>1.3496216511275807E-2</v>
      </c>
      <c r="G107" s="338">
        <f t="shared" si="31"/>
        <v>1</v>
      </c>
      <c r="H107" s="339">
        <f t="shared" si="32"/>
        <v>0</v>
      </c>
      <c r="I107" s="337">
        <f t="shared" si="33"/>
        <v>84229.847880152287</v>
      </c>
      <c r="J107" s="340">
        <f t="shared" si="34"/>
        <v>1.5707844545189138</v>
      </c>
      <c r="K107" s="348">
        <f t="shared" si="35"/>
        <v>8.4029082003288522</v>
      </c>
      <c r="L107" s="349">
        <f t="shared" si="36"/>
        <v>1.4515071987132764</v>
      </c>
      <c r="M107" s="337">
        <f t="shared" si="37"/>
        <v>1.0001786647566764</v>
      </c>
      <c r="N107" s="340">
        <f t="shared" si="38"/>
        <v>1.8901754406329914E-2</v>
      </c>
      <c r="O107" s="341">
        <f t="shared" si="39"/>
        <v>1.0007269310719111</v>
      </c>
      <c r="P107" s="342">
        <f t="shared" si="40"/>
        <v>4.5755844952954983E-2</v>
      </c>
      <c r="Q107" s="343">
        <f t="shared" si="41"/>
        <v>0.97397800488938324</v>
      </c>
      <c r="R107" s="344">
        <f t="shared" si="42"/>
        <v>-90.213067747384997</v>
      </c>
      <c r="S107" s="346">
        <f t="shared" si="43"/>
        <v>89.786932252615003</v>
      </c>
      <c r="U107" s="319">
        <f t="shared" si="50"/>
        <v>1000000000</v>
      </c>
      <c r="V107" s="319">
        <f t="shared" si="51"/>
        <v>28840122.090000004</v>
      </c>
      <c r="X107" s="345">
        <f t="shared" si="44"/>
        <v>17.684944730045245</v>
      </c>
      <c r="Y107" s="346">
        <f t="shared" si="45"/>
        <v>-7.9170741114874064</v>
      </c>
      <c r="AA107" s="345">
        <f t="shared" si="46"/>
        <v>32.16298325949839</v>
      </c>
      <c r="AB107" s="346">
        <f t="shared" si="47"/>
        <v>-82.295993635897588</v>
      </c>
      <c r="AD107">
        <f t="shared" si="52"/>
        <v>0</v>
      </c>
      <c r="AE107">
        <f t="shared" si="53"/>
        <v>0</v>
      </c>
    </row>
    <row r="108" spans="1:31" x14ac:dyDescent="0.2">
      <c r="A108" s="347">
        <v>5432.85</v>
      </c>
      <c r="B108" s="364">
        <f t="shared" si="49"/>
        <v>5.4328500000000002</v>
      </c>
      <c r="C108" s="337">
        <f t="shared" si="27"/>
        <v>6.0942256891964472</v>
      </c>
      <c r="D108" s="338">
        <f t="shared" si="28"/>
        <v>1.4059611390182012</v>
      </c>
      <c r="E108" s="338">
        <f t="shared" si="29"/>
        <v>1.000093214808278</v>
      </c>
      <c r="F108" s="339">
        <f t="shared" si="30"/>
        <v>1.365339283988086E-2</v>
      </c>
      <c r="G108" s="338">
        <f t="shared" si="31"/>
        <v>1</v>
      </c>
      <c r="H108" s="339">
        <f t="shared" si="32"/>
        <v>0</v>
      </c>
      <c r="I108" s="337">
        <f t="shared" si="33"/>
        <v>85210.906104863257</v>
      </c>
      <c r="J108" s="340">
        <f t="shared" si="34"/>
        <v>1.5707845912079192</v>
      </c>
      <c r="K108" s="348">
        <f t="shared" si="35"/>
        <v>8.4994019358994937</v>
      </c>
      <c r="L108" s="349">
        <f t="shared" si="36"/>
        <v>1.4528678385884344</v>
      </c>
      <c r="M108" s="337">
        <f t="shared" si="37"/>
        <v>1.0001828505696315</v>
      </c>
      <c r="N108" s="340">
        <f t="shared" si="38"/>
        <v>1.9121857233850608E-2</v>
      </c>
      <c r="O108" s="341">
        <f t="shared" si="39"/>
        <v>1.0007439582931437</v>
      </c>
      <c r="P108" s="342">
        <f t="shared" si="40"/>
        <v>4.6288371920765618E-2</v>
      </c>
      <c r="Q108" s="343">
        <f t="shared" si="41"/>
        <v>0.87455967693527759</v>
      </c>
      <c r="R108" s="344">
        <f t="shared" si="42"/>
        <v>-90.277220069074161</v>
      </c>
      <c r="S108" s="346">
        <f t="shared" si="43"/>
        <v>89.722779930925839</v>
      </c>
      <c r="U108" s="319">
        <f t="shared" si="50"/>
        <v>1000000000</v>
      </c>
      <c r="V108" s="319">
        <f t="shared" si="51"/>
        <v>29515859.122500002</v>
      </c>
      <c r="X108" s="345">
        <f t="shared" si="44"/>
        <v>17.683500005825803</v>
      </c>
      <c r="Y108" s="346">
        <f t="shared" si="45"/>
        <v>-7.8517339839079279</v>
      </c>
      <c r="AA108" s="345">
        <f t="shared" si="46"/>
        <v>32.065009655763731</v>
      </c>
      <c r="AB108" s="346">
        <f t="shared" si="47"/>
        <v>-82.425486085166213</v>
      </c>
      <c r="AD108">
        <f t="shared" si="52"/>
        <v>0</v>
      </c>
      <c r="AE108">
        <f t="shared" si="53"/>
        <v>0</v>
      </c>
    </row>
    <row r="109" spans="1:31" x14ac:dyDescent="0.2">
      <c r="A109" s="347">
        <v>5495.4</v>
      </c>
      <c r="B109" s="364">
        <f t="shared" si="49"/>
        <v>5.4954000000000001</v>
      </c>
      <c r="C109" s="337">
        <f t="shared" si="27"/>
        <v>6.1625115538735606</v>
      </c>
      <c r="D109" s="338">
        <f t="shared" si="28"/>
        <v>1.4078040958236113</v>
      </c>
      <c r="E109" s="338">
        <f t="shared" si="29"/>
        <v>1.0000953734805287</v>
      </c>
      <c r="F109" s="339">
        <f t="shared" si="30"/>
        <v>1.3810568493849179E-2</v>
      </c>
      <c r="G109" s="338">
        <f t="shared" si="31"/>
        <v>1</v>
      </c>
      <c r="H109" s="339">
        <f t="shared" si="32"/>
        <v>0</v>
      </c>
      <c r="I109" s="337">
        <f t="shared" si="33"/>
        <v>86191.964329575741</v>
      </c>
      <c r="J109" s="340">
        <f t="shared" si="34"/>
        <v>1.5707847247852684</v>
      </c>
      <c r="K109" s="348">
        <f t="shared" si="35"/>
        <v>8.5959110534693099</v>
      </c>
      <c r="L109" s="349">
        <f t="shared" si="36"/>
        <v>1.454197928178345</v>
      </c>
      <c r="M109" s="337">
        <f t="shared" si="37"/>
        <v>1.0001870848362928</v>
      </c>
      <c r="N109" s="340">
        <f t="shared" si="38"/>
        <v>1.9341958208434599E-2</v>
      </c>
      <c r="O109" s="341">
        <f t="shared" si="39"/>
        <v>1.0007611824514013</v>
      </c>
      <c r="P109" s="342">
        <f t="shared" si="40"/>
        <v>4.6820884682687455E-2</v>
      </c>
      <c r="Q109" s="343">
        <f t="shared" si="41"/>
        <v>0.77624690907410687</v>
      </c>
      <c r="R109" s="344">
        <f t="shared" si="42"/>
        <v>-90.340728938554562</v>
      </c>
      <c r="S109" s="346">
        <f t="shared" si="43"/>
        <v>89.659271061445438</v>
      </c>
      <c r="U109" s="319">
        <f t="shared" si="50"/>
        <v>1000000000</v>
      </c>
      <c r="V109" s="319">
        <f t="shared" si="51"/>
        <v>30199421.159999996</v>
      </c>
      <c r="X109" s="345">
        <f t="shared" si="44"/>
        <v>17.682102244246984</v>
      </c>
      <c r="Y109" s="346">
        <f t="shared" si="45"/>
        <v>-7.7881439742878333</v>
      </c>
      <c r="AA109" s="345">
        <f t="shared" si="46"/>
        <v>31.968094649481383</v>
      </c>
      <c r="AB109" s="346">
        <f t="shared" si="47"/>
        <v>-82.552584964266728</v>
      </c>
      <c r="AD109">
        <f t="shared" si="52"/>
        <v>0</v>
      </c>
      <c r="AE109">
        <f t="shared" si="53"/>
        <v>0</v>
      </c>
    </row>
    <row r="110" spans="1:31" x14ac:dyDescent="0.2">
      <c r="A110" s="347">
        <v>5559.4</v>
      </c>
      <c r="B110" s="364">
        <f t="shared" si="49"/>
        <v>5.5593999999999992</v>
      </c>
      <c r="C110" s="337">
        <f t="shared" si="27"/>
        <v>6.2324015683026319</v>
      </c>
      <c r="D110" s="338">
        <f t="shared" si="28"/>
        <v>1.4096479684716259</v>
      </c>
      <c r="E110" s="338">
        <f t="shared" si="29"/>
        <v>1.0000976077661121</v>
      </c>
      <c r="F110" s="339">
        <f t="shared" si="30"/>
        <v>1.3971387001769277E-2</v>
      </c>
      <c r="G110" s="338">
        <f t="shared" si="31"/>
        <v>1</v>
      </c>
      <c r="H110" s="339">
        <f t="shared" si="32"/>
        <v>0</v>
      </c>
      <c r="I110" s="337">
        <f t="shared" si="33"/>
        <v>87195.764911217586</v>
      </c>
      <c r="J110" s="340">
        <f t="shared" si="34"/>
        <v>1.570784858347994</v>
      </c>
      <c r="K110" s="348">
        <f t="shared" si="35"/>
        <v>8.6946727795304763</v>
      </c>
      <c r="L110" s="349">
        <f t="shared" si="36"/>
        <v>1.455528286650672</v>
      </c>
      <c r="M110" s="337">
        <f t="shared" si="37"/>
        <v>1.0001914674103394</v>
      </c>
      <c r="N110" s="340">
        <f t="shared" si="38"/>
        <v>1.9567159503736616E-2</v>
      </c>
      <c r="O110" s="341">
        <f t="shared" si="39"/>
        <v>1.0007790097200338</v>
      </c>
      <c r="P110" s="342">
        <f t="shared" si="40"/>
        <v>4.7365726991845693E-2</v>
      </c>
      <c r="Q110" s="343">
        <f t="shared" si="41"/>
        <v>0.67677421197792287</v>
      </c>
      <c r="R110" s="344">
        <f t="shared" si="42"/>
        <v>-90.405064813000791</v>
      </c>
      <c r="S110" s="346">
        <f t="shared" si="43"/>
        <v>89.594935186999209</v>
      </c>
      <c r="U110" s="319">
        <f t="shared" si="50"/>
        <v>1000000000</v>
      </c>
      <c r="V110" s="319">
        <f t="shared" si="51"/>
        <v>30906928.359999996</v>
      </c>
      <c r="X110" s="345">
        <f t="shared" si="44"/>
        <v>17.680718501847164</v>
      </c>
      <c r="Y110" s="346">
        <f t="shared" si="45"/>
        <v>-7.7248307848538316</v>
      </c>
      <c r="AA110" s="345">
        <f t="shared" si="46"/>
        <v>31.870005694785014</v>
      </c>
      <c r="AB110" s="346">
        <f t="shared" si="47"/>
        <v>-82.680234028146955</v>
      </c>
      <c r="AD110">
        <f t="shared" si="52"/>
        <v>0</v>
      </c>
      <c r="AE110">
        <f t="shared" si="53"/>
        <v>0</v>
      </c>
    </row>
    <row r="111" spans="1:31" x14ac:dyDescent="0.2">
      <c r="A111" s="347">
        <v>5623.4</v>
      </c>
      <c r="B111" s="364">
        <f t="shared" si="49"/>
        <v>5.6233999999999993</v>
      </c>
      <c r="C111" s="337">
        <f t="shared" si="27"/>
        <v>6.3023123020608391</v>
      </c>
      <c r="D111" s="338">
        <f t="shared" si="28"/>
        <v>1.411450939455952</v>
      </c>
      <c r="E111" s="338">
        <f t="shared" si="29"/>
        <v>1.0000998679166964</v>
      </c>
      <c r="F111" s="339">
        <f t="shared" si="30"/>
        <v>1.4132204786973027E-2</v>
      </c>
      <c r="G111" s="338">
        <f t="shared" si="31"/>
        <v>1</v>
      </c>
      <c r="H111" s="339">
        <f t="shared" si="32"/>
        <v>0</v>
      </c>
      <c r="I111" s="337">
        <f t="shared" si="33"/>
        <v>88199.565492860944</v>
      </c>
      <c r="J111" s="340">
        <f t="shared" si="34"/>
        <v>1.5707849888705607</v>
      </c>
      <c r="K111" s="348">
        <f t="shared" si="35"/>
        <v>8.7934495482137596</v>
      </c>
      <c r="L111" s="349">
        <f t="shared" si="36"/>
        <v>1.456828759563469</v>
      </c>
      <c r="M111" s="337">
        <f t="shared" si="37"/>
        <v>1.000195900709274</v>
      </c>
      <c r="N111" s="340">
        <f t="shared" si="38"/>
        <v>1.9792358814081437E-2</v>
      </c>
      <c r="O111" s="341">
        <f t="shared" si="39"/>
        <v>1.0007970431446491</v>
      </c>
      <c r="P111" s="342">
        <f t="shared" si="40"/>
        <v>4.7910554084429811E-2</v>
      </c>
      <c r="Q111" s="343">
        <f t="shared" si="41"/>
        <v>0.57840859277344636</v>
      </c>
      <c r="R111" s="344">
        <f t="shared" si="42"/>
        <v>-90.468768392816528</v>
      </c>
      <c r="S111" s="346">
        <f t="shared" si="43"/>
        <v>89.531231607183472</v>
      </c>
      <c r="U111" s="319">
        <f t="shared" si="50"/>
        <v>1000000000</v>
      </c>
      <c r="V111" s="319">
        <f t="shared" si="51"/>
        <v>31622627.559999995</v>
      </c>
      <c r="X111" s="345">
        <f t="shared" si="44"/>
        <v>17.679379606773878</v>
      </c>
      <c r="Y111" s="346">
        <f t="shared" si="45"/>
        <v>-7.6632296239333098</v>
      </c>
      <c r="AA111" s="345">
        <f t="shared" si="46"/>
        <v>31.772978970653828</v>
      </c>
      <c r="AB111" s="346">
        <f t="shared" si="47"/>
        <v>-82.80553876888321</v>
      </c>
      <c r="AD111">
        <f t="shared" si="52"/>
        <v>0</v>
      </c>
      <c r="AE111">
        <f t="shared" si="53"/>
        <v>0</v>
      </c>
    </row>
    <row r="112" spans="1:31" x14ac:dyDescent="0.2">
      <c r="A112" s="347">
        <v>5688.9</v>
      </c>
      <c r="B112" s="364">
        <f t="shared" si="49"/>
        <v>5.6888999999999994</v>
      </c>
      <c r="C112" s="337">
        <f t="shared" si="27"/>
        <v>6.3738823106351585</v>
      </c>
      <c r="D112" s="338">
        <f t="shared" si="28"/>
        <v>1.4132552091392236</v>
      </c>
      <c r="E112" s="338">
        <f t="shared" si="29"/>
        <v>1.0001022078207982</v>
      </c>
      <c r="F112" s="339">
        <f t="shared" si="30"/>
        <v>1.4296790982019523E-2</v>
      </c>
      <c r="G112" s="338">
        <f t="shared" si="31"/>
        <v>1</v>
      </c>
      <c r="H112" s="339">
        <f t="shared" si="32"/>
        <v>0</v>
      </c>
      <c r="I112" s="337">
        <f t="shared" si="33"/>
        <v>89226.892650638096</v>
      </c>
      <c r="J112" s="340">
        <f t="shared" si="34"/>
        <v>1.5707851194114462</v>
      </c>
      <c r="K112" s="348">
        <f t="shared" si="35"/>
        <v>8.8945564500392003</v>
      </c>
      <c r="L112" s="349">
        <f t="shared" si="36"/>
        <v>1.4581298023625511</v>
      </c>
      <c r="M112" s="337">
        <f t="shared" si="37"/>
        <v>1.000200490435065</v>
      </c>
      <c r="N112" s="340">
        <f t="shared" si="38"/>
        <v>2.0022834154168223E-2</v>
      </c>
      <c r="O112" s="341">
        <f t="shared" si="39"/>
        <v>1.0008157126785653</v>
      </c>
      <c r="P112" s="342">
        <f t="shared" si="40"/>
        <v>4.8468134624573542E-2</v>
      </c>
      <c r="Q112" s="343">
        <f t="shared" si="41"/>
        <v>0.47885855192042293</v>
      </c>
      <c r="R112" s="344">
        <f t="shared" si="42"/>
        <v>-90.533330830549062</v>
      </c>
      <c r="S112" s="346">
        <f t="shared" si="43"/>
        <v>89.466669169450938</v>
      </c>
      <c r="U112" s="319">
        <f t="shared" si="50"/>
        <v>1000000000</v>
      </c>
      <c r="V112" s="319">
        <f t="shared" si="51"/>
        <v>32363583.209999997</v>
      </c>
      <c r="X112" s="345">
        <f t="shared" si="44"/>
        <v>17.678053675672476</v>
      </c>
      <c r="Y112" s="346">
        <f t="shared" si="45"/>
        <v>-7.6018981062205446</v>
      </c>
      <c r="AA112" s="345">
        <f t="shared" si="46"/>
        <v>31.674754860902205</v>
      </c>
      <c r="AB112" s="346">
        <f t="shared" si="47"/>
        <v>-82.931432724328516</v>
      </c>
      <c r="AD112">
        <f t="shared" si="52"/>
        <v>0</v>
      </c>
      <c r="AE112">
        <f t="shared" si="53"/>
        <v>0</v>
      </c>
    </row>
    <row r="113" spans="1:31" x14ac:dyDescent="0.2">
      <c r="A113" s="347">
        <v>5754.4</v>
      </c>
      <c r="B113" s="364">
        <f t="shared" si="49"/>
        <v>5.7543999999999995</v>
      </c>
      <c r="C113" s="337">
        <f t="shared" si="27"/>
        <v>6.4454726078367077</v>
      </c>
      <c r="D113" s="338">
        <f t="shared" si="28"/>
        <v>1.4150194041706745</v>
      </c>
      <c r="E113" s="338">
        <f t="shared" si="29"/>
        <v>1.0001045748161572</v>
      </c>
      <c r="F113" s="339">
        <f t="shared" si="30"/>
        <v>1.4461376402456344E-2</v>
      </c>
      <c r="G113" s="338">
        <f t="shared" si="31"/>
        <v>1</v>
      </c>
      <c r="H113" s="339">
        <f t="shared" si="32"/>
        <v>0</v>
      </c>
      <c r="I113" s="337">
        <f t="shared" si="33"/>
        <v>90254.219808416747</v>
      </c>
      <c r="J113" s="340">
        <f t="shared" si="34"/>
        <v>1.5707852469805439</v>
      </c>
      <c r="K113" s="348">
        <f t="shared" si="35"/>
        <v>8.9956780693335734</v>
      </c>
      <c r="L113" s="349">
        <f t="shared" si="36"/>
        <v>1.4594015968823337</v>
      </c>
      <c r="M113" s="337">
        <f t="shared" si="37"/>
        <v>1.0002051332898989</v>
      </c>
      <c r="N113" s="340">
        <f t="shared" si="38"/>
        <v>2.025330736680922E-2</v>
      </c>
      <c r="O113" s="341">
        <f t="shared" si="39"/>
        <v>1.0008345981261397</v>
      </c>
      <c r="P113" s="342">
        <f t="shared" si="40"/>
        <v>4.9025698857488052E-2</v>
      </c>
      <c r="Q113" s="343">
        <f t="shared" si="41"/>
        <v>0.38041758356478711</v>
      </c>
      <c r="R113" s="344">
        <f t="shared" si="42"/>
        <v>-90.597271780709875</v>
      </c>
      <c r="S113" s="346">
        <f t="shared" si="43"/>
        <v>89.402728219290125</v>
      </c>
      <c r="U113" s="319">
        <f t="shared" si="50"/>
        <v>1000000000</v>
      </c>
      <c r="V113" s="319">
        <f t="shared" si="51"/>
        <v>33113119.359999996</v>
      </c>
      <c r="X113" s="345">
        <f t="shared" si="44"/>
        <v>17.676770587725422</v>
      </c>
      <c r="Y113" s="346">
        <f t="shared" si="45"/>
        <v>-7.5422420993070123</v>
      </c>
      <c r="AA113" s="345">
        <f t="shared" si="46"/>
        <v>31.577596980493624</v>
      </c>
      <c r="AB113" s="346">
        <f t="shared" si="47"/>
        <v>-83.055029681402857</v>
      </c>
      <c r="AD113">
        <f t="shared" si="52"/>
        <v>0</v>
      </c>
      <c r="AE113">
        <f t="shared" si="53"/>
        <v>0</v>
      </c>
    </row>
    <row r="114" spans="1:31" x14ac:dyDescent="0.2">
      <c r="A114" s="347">
        <v>5821.4</v>
      </c>
      <c r="B114" s="364">
        <f t="shared" si="49"/>
        <v>5.8213999999999997</v>
      </c>
      <c r="C114" s="337">
        <f t="shared" si="27"/>
        <v>6.5187226715158788</v>
      </c>
      <c r="D114" s="338">
        <f t="shared" si="28"/>
        <v>1.4167839040483916</v>
      </c>
      <c r="E114" s="338">
        <f t="shared" si="29"/>
        <v>1.0001070240462928</v>
      </c>
      <c r="F114" s="339">
        <f t="shared" si="30"/>
        <v>1.4629730143947379E-2</v>
      </c>
      <c r="G114" s="338">
        <f t="shared" si="31"/>
        <v>1</v>
      </c>
      <c r="H114" s="339">
        <f t="shared" si="32"/>
        <v>0</v>
      </c>
      <c r="I114" s="337">
        <f t="shared" si="33"/>
        <v>91305.073542329192</v>
      </c>
      <c r="J114" s="340">
        <f t="shared" si="34"/>
        <v>1.5707853745009963</v>
      </c>
      <c r="K114" s="348">
        <f t="shared" si="35"/>
        <v>9.099130166251971</v>
      </c>
      <c r="L114" s="349">
        <f t="shared" si="36"/>
        <v>1.4606732681822054</v>
      </c>
      <c r="M114" s="337">
        <f t="shared" si="37"/>
        <v>1.0002099374368993</v>
      </c>
      <c r="N114" s="340">
        <f t="shared" si="38"/>
        <v>2.0489056365375295E-2</v>
      </c>
      <c r="O114" s="341">
        <f t="shared" si="39"/>
        <v>1.0008541394417754</v>
      </c>
      <c r="P114" s="342">
        <f t="shared" si="40"/>
        <v>4.9596014670760261E-2</v>
      </c>
      <c r="Q114" s="343">
        <f t="shared" si="41"/>
        <v>0.28084435906950556</v>
      </c>
      <c r="R114" s="344">
        <f t="shared" si="42"/>
        <v>-90.662054237581273</v>
      </c>
      <c r="S114" s="346">
        <f t="shared" si="43"/>
        <v>89.337945762418727</v>
      </c>
      <c r="U114" s="319">
        <f t="shared" si="50"/>
        <v>1000000000</v>
      </c>
      <c r="V114" s="319">
        <f t="shared" si="51"/>
        <v>33888697.959999993</v>
      </c>
      <c r="X114" s="345">
        <f t="shared" si="44"/>
        <v>17.675500442512824</v>
      </c>
      <c r="Y114" s="346">
        <f t="shared" si="45"/>
        <v>-7.4828954298546302</v>
      </c>
      <c r="AA114" s="345">
        <f t="shared" si="46"/>
        <v>31.479293901210937</v>
      </c>
      <c r="AB114" s="346">
        <f t="shared" si="47"/>
        <v>-83.179158807726651</v>
      </c>
      <c r="AD114">
        <f t="shared" si="52"/>
        <v>0</v>
      </c>
      <c r="AE114">
        <f t="shared" si="53"/>
        <v>0</v>
      </c>
    </row>
    <row r="115" spans="1:31" x14ac:dyDescent="0.2">
      <c r="A115" s="347">
        <v>5888.4</v>
      </c>
      <c r="B115" s="364">
        <f t="shared" si="49"/>
        <v>5.8883999999999999</v>
      </c>
      <c r="C115" s="337">
        <f t="shared" si="27"/>
        <v>6.5919925798873109</v>
      </c>
      <c r="D115" s="338">
        <f t="shared" si="28"/>
        <v>1.4185091844140922</v>
      </c>
      <c r="E115" s="338">
        <f t="shared" si="29"/>
        <v>1.0001095016223049</v>
      </c>
      <c r="F115" s="339">
        <f t="shared" si="30"/>
        <v>1.4798083056082975E-2</v>
      </c>
      <c r="G115" s="338">
        <f t="shared" si="31"/>
        <v>1</v>
      </c>
      <c r="H115" s="339">
        <f t="shared" si="32"/>
        <v>0</v>
      </c>
      <c r="I115" s="337">
        <f t="shared" si="33"/>
        <v>92355.927276243092</v>
      </c>
      <c r="J115" s="340">
        <f t="shared" si="34"/>
        <v>1.570785499119516</v>
      </c>
      <c r="K115" s="348">
        <f t="shared" si="35"/>
        <v>9.2025966469630927</v>
      </c>
      <c r="L115" s="349">
        <f t="shared" si="36"/>
        <v>1.4619163461878395</v>
      </c>
      <c r="M115" s="337">
        <f t="shared" si="37"/>
        <v>1.0002147971726223</v>
      </c>
      <c r="N115" s="340">
        <f t="shared" si="38"/>
        <v>2.0724803086179914E-2</v>
      </c>
      <c r="O115" s="341">
        <f t="shared" si="39"/>
        <v>1.0008739066525256</v>
      </c>
      <c r="P115" s="342">
        <f t="shared" si="40"/>
        <v>5.0166313026462919E-2</v>
      </c>
      <c r="Q115" s="343">
        <f t="shared" si="41"/>
        <v>0.18238096930926209</v>
      </c>
      <c r="R115" s="344">
        <f t="shared" si="42"/>
        <v>-90.726226607519948</v>
      </c>
      <c r="S115" s="346">
        <f t="shared" si="43"/>
        <v>89.273773392480052</v>
      </c>
      <c r="U115" s="319">
        <f t="shared" si="50"/>
        <v>1000000000</v>
      </c>
      <c r="V115" s="319">
        <f t="shared" si="51"/>
        <v>34673254.559999995</v>
      </c>
      <c r="X115" s="345">
        <f t="shared" si="44"/>
        <v>17.674271177875148</v>
      </c>
      <c r="Y115" s="346">
        <f t="shared" si="45"/>
        <v>-7.425186738711707</v>
      </c>
      <c r="AA115" s="345">
        <f t="shared" si="46"/>
        <v>31.382059776088372</v>
      </c>
      <c r="AB115" s="346">
        <f t="shared" si="47"/>
        <v>-83.301039868808246</v>
      </c>
      <c r="AD115">
        <f t="shared" si="52"/>
        <v>0</v>
      </c>
      <c r="AE115">
        <f t="shared" si="53"/>
        <v>0</v>
      </c>
    </row>
    <row r="116" spans="1:31" x14ac:dyDescent="0.2">
      <c r="A116" s="347">
        <v>5957</v>
      </c>
      <c r="B116" s="364">
        <f t="shared" si="49"/>
        <v>5.9569999999999999</v>
      </c>
      <c r="C116" s="337">
        <f t="shared" si="27"/>
        <v>6.6670320953263014</v>
      </c>
      <c r="D116" s="338">
        <f t="shared" si="28"/>
        <v>1.4202363697918907</v>
      </c>
      <c r="E116" s="338">
        <f t="shared" si="29"/>
        <v>1.0001120677334248</v>
      </c>
      <c r="F116" s="339">
        <f t="shared" si="30"/>
        <v>1.4970455467009442E-2</v>
      </c>
      <c r="G116" s="338">
        <f t="shared" si="31"/>
        <v>1</v>
      </c>
      <c r="H116" s="339">
        <f t="shared" si="32"/>
        <v>0</v>
      </c>
      <c r="I116" s="337">
        <f t="shared" si="33"/>
        <v>93431.876024699697</v>
      </c>
      <c r="J116" s="340">
        <f t="shared" si="34"/>
        <v>1.5707856238095499</v>
      </c>
      <c r="K116" s="348">
        <f t="shared" si="35"/>
        <v>9.3085483712283903</v>
      </c>
      <c r="L116" s="349">
        <f t="shared" si="36"/>
        <v>1.4631604757610606</v>
      </c>
      <c r="M116" s="337">
        <f t="shared" si="37"/>
        <v>1.0002198305567001</v>
      </c>
      <c r="N116" s="340">
        <f t="shared" si="38"/>
        <v>2.0966177192087938E-2</v>
      </c>
      <c r="O116" s="341">
        <f t="shared" si="39"/>
        <v>1.000894379956105</v>
      </c>
      <c r="P116" s="342">
        <f t="shared" si="40"/>
        <v>5.0750212151014031E-2</v>
      </c>
      <c r="Q116" s="343">
        <f t="shared" si="41"/>
        <v>8.2690686829037657E-2</v>
      </c>
      <c r="R116" s="344">
        <f t="shared" si="42"/>
        <v>-90.791319272078468</v>
      </c>
      <c r="S116" s="346">
        <f t="shared" si="43"/>
        <v>89.208680727921532</v>
      </c>
      <c r="U116" s="319">
        <f t="shared" si="50"/>
        <v>1000000000</v>
      </c>
      <c r="V116" s="319">
        <f t="shared" si="51"/>
        <v>35485849</v>
      </c>
      <c r="X116" s="345">
        <f t="shared" si="44"/>
        <v>17.673053000732498</v>
      </c>
      <c r="Y116" s="346">
        <f t="shared" si="45"/>
        <v>-7.3677402266980421</v>
      </c>
      <c r="AA116" s="345">
        <f t="shared" si="46"/>
        <v>31.283587670750794</v>
      </c>
      <c r="AB116" s="346">
        <f t="shared" si="47"/>
        <v>-83.423579045380407</v>
      </c>
      <c r="AD116">
        <f t="shared" si="52"/>
        <v>5957</v>
      </c>
      <c r="AE116">
        <f t="shared" si="53"/>
        <v>89.208680727921532</v>
      </c>
    </row>
    <row r="117" spans="1:31" x14ac:dyDescent="0.2">
      <c r="A117" s="347">
        <v>6025.6</v>
      </c>
      <c r="B117" s="364">
        <f t="shared" si="49"/>
        <v>6.0256000000000007</v>
      </c>
      <c r="C117" s="337">
        <f t="shared" si="27"/>
        <v>6.7420910568899579</v>
      </c>
      <c r="D117" s="338">
        <f t="shared" si="28"/>
        <v>1.4219251029830058</v>
      </c>
      <c r="E117" s="338">
        <f t="shared" si="29"/>
        <v>1.0001146635599696</v>
      </c>
      <c r="F117" s="339">
        <f t="shared" si="30"/>
        <v>1.514282698826227E-2</v>
      </c>
      <c r="G117" s="338">
        <f t="shared" si="31"/>
        <v>1</v>
      </c>
      <c r="H117" s="339">
        <f t="shared" si="32"/>
        <v>0</v>
      </c>
      <c r="I117" s="337">
        <f t="shared" si="33"/>
        <v>94507.824773157714</v>
      </c>
      <c r="J117" s="340">
        <f t="shared" si="34"/>
        <v>1.5707857456604517</v>
      </c>
      <c r="K117" s="348">
        <f t="shared" si="35"/>
        <v>9.4145141794908511</v>
      </c>
      <c r="L117" s="349">
        <f t="shared" si="36"/>
        <v>1.4643766003840792</v>
      </c>
      <c r="M117" s="337">
        <f t="shared" si="37"/>
        <v>1.0002249222144561</v>
      </c>
      <c r="N117" s="340">
        <f t="shared" si="38"/>
        <v>2.1207548854622563E-2</v>
      </c>
      <c r="O117" s="341">
        <f t="shared" si="39"/>
        <v>1.0009150900496435</v>
      </c>
      <c r="P117" s="342">
        <f t="shared" si="40"/>
        <v>5.1334092550770032E-2</v>
      </c>
      <c r="Q117" s="343">
        <f t="shared" si="41"/>
        <v>-1.5886949035082597E-2</v>
      </c>
      <c r="R117" s="344">
        <f t="shared" si="42"/>
        <v>-90.855812029535883</v>
      </c>
      <c r="S117" s="346">
        <f t="shared" si="43"/>
        <v>89.144187970464117</v>
      </c>
      <c r="U117" s="319">
        <f t="shared" si="50"/>
        <v>6025.6</v>
      </c>
      <c r="V117" s="319">
        <f t="shared" si="51"/>
        <v>36307855.360000007</v>
      </c>
      <c r="X117" s="345">
        <f t="shared" si="44"/>
        <v>17.671873900365462</v>
      </c>
      <c r="Y117" s="346">
        <f t="shared" si="45"/>
        <v>-7.3118979774730217</v>
      </c>
      <c r="AA117" s="345">
        <f t="shared" si="46"/>
        <v>31.186189135253709</v>
      </c>
      <c r="AB117" s="346">
        <f t="shared" si="47"/>
        <v>-83.54391405206286</v>
      </c>
      <c r="AD117">
        <f t="shared" si="52"/>
        <v>0</v>
      </c>
      <c r="AE117">
        <f t="shared" si="53"/>
        <v>0</v>
      </c>
    </row>
    <row r="118" spans="1:31" x14ac:dyDescent="0.2">
      <c r="A118" s="347">
        <v>6095.8</v>
      </c>
      <c r="B118" s="364">
        <f t="shared" si="49"/>
        <v>6.0958000000000006</v>
      </c>
      <c r="C118" s="337">
        <f t="shared" si="27"/>
        <v>6.8189201265649295</v>
      </c>
      <c r="D118" s="338">
        <f t="shared" si="28"/>
        <v>1.4236147305180435</v>
      </c>
      <c r="E118" s="338">
        <f t="shared" si="29"/>
        <v>1.0001173506934464</v>
      </c>
      <c r="F118" s="339">
        <f t="shared" si="30"/>
        <v>1.5319217904820878E-2</v>
      </c>
      <c r="G118" s="338">
        <f t="shared" si="31"/>
        <v>1</v>
      </c>
      <c r="H118" s="339">
        <f t="shared" si="32"/>
        <v>0</v>
      </c>
      <c r="I118" s="337">
        <f t="shared" si="33"/>
        <v>95608.868536158421</v>
      </c>
      <c r="J118" s="340">
        <f t="shared" si="34"/>
        <v>1.5707858675141277</v>
      </c>
      <c r="K118" s="348">
        <f t="shared" si="35"/>
        <v>9.5229655835323701</v>
      </c>
      <c r="L118" s="349">
        <f t="shared" si="36"/>
        <v>1.4655930687603937</v>
      </c>
      <c r="M118" s="337">
        <f t="shared" si="37"/>
        <v>1.0002301929554072</v>
      </c>
      <c r="N118" s="340">
        <f t="shared" si="38"/>
        <v>2.1454547618100752E-2</v>
      </c>
      <c r="O118" s="341">
        <f t="shared" si="39"/>
        <v>1.0009365283036462</v>
      </c>
      <c r="P118" s="342">
        <f t="shared" si="40"/>
        <v>5.1931571543849885E-2</v>
      </c>
      <c r="Q118" s="343">
        <f t="shared" si="41"/>
        <v>-0.11563742105778618</v>
      </c>
      <c r="R118" s="344">
        <f t="shared" si="42"/>
        <v>-90.921207590424956</v>
      </c>
      <c r="S118" s="346">
        <f t="shared" si="43"/>
        <v>89.078792409575044</v>
      </c>
      <c r="U118" s="319">
        <f t="shared" si="50"/>
        <v>6095.8</v>
      </c>
      <c r="V118" s="319">
        <f t="shared" si="51"/>
        <v>37158777.640000001</v>
      </c>
      <c r="X118" s="345">
        <f t="shared" si="44"/>
        <v>17.670705922471779</v>
      </c>
      <c r="Y118" s="346">
        <f t="shared" si="45"/>
        <v>-7.2563584419292066</v>
      </c>
      <c r="AA118" s="345">
        <f t="shared" si="46"/>
        <v>31.087606641124687</v>
      </c>
      <c r="AB118" s="346">
        <f t="shared" si="47"/>
        <v>-83.664849148495762</v>
      </c>
      <c r="AD118">
        <f t="shared" si="52"/>
        <v>0</v>
      </c>
      <c r="AE118">
        <f t="shared" si="53"/>
        <v>0</v>
      </c>
    </row>
    <row r="119" spans="1:31" x14ac:dyDescent="0.2">
      <c r="A119" s="347">
        <v>6166</v>
      </c>
      <c r="B119" s="364">
        <f t="shared" si="49"/>
        <v>6.1660000000000004</v>
      </c>
      <c r="C119" s="337">
        <f t="shared" si="27"/>
        <v>6.8957682293611269</v>
      </c>
      <c r="D119" s="338">
        <f t="shared" si="28"/>
        <v>1.4252667034492179</v>
      </c>
      <c r="E119" s="338">
        <f t="shared" si="29"/>
        <v>1.0001200689441618</v>
      </c>
      <c r="F119" s="339">
        <f t="shared" si="30"/>
        <v>1.5495607868033267E-2</v>
      </c>
      <c r="G119" s="338">
        <f t="shared" si="31"/>
        <v>1</v>
      </c>
      <c r="H119" s="339">
        <f t="shared" si="32"/>
        <v>0</v>
      </c>
      <c r="I119" s="337">
        <f t="shared" si="33"/>
        <v>96709.912299160525</v>
      </c>
      <c r="J119" s="340">
        <f t="shared" si="34"/>
        <v>1.5707859865931919</v>
      </c>
      <c r="K119" s="348">
        <f t="shared" si="35"/>
        <v>9.6314307622445909</v>
      </c>
      <c r="L119" s="349">
        <f t="shared" si="36"/>
        <v>1.4667821401387411</v>
      </c>
      <c r="M119" s="337">
        <f t="shared" si="37"/>
        <v>1.0002355247181458</v>
      </c>
      <c r="N119" s="340">
        <f t="shared" si="38"/>
        <v>2.170154376339024E-2</v>
      </c>
      <c r="O119" s="341">
        <f t="shared" si="39"/>
        <v>1.0009582144967926</v>
      </c>
      <c r="P119" s="342">
        <f t="shared" si="40"/>
        <v>5.2529030474774634E-2</v>
      </c>
      <c r="Q119" s="343">
        <f t="shared" si="41"/>
        <v>-0.21427372791604166</v>
      </c>
      <c r="R119" s="344">
        <f t="shared" si="42"/>
        <v>-90.986014029948763</v>
      </c>
      <c r="S119" s="346">
        <f t="shared" si="43"/>
        <v>89.013985970051237</v>
      </c>
      <c r="U119" s="319">
        <f t="shared" si="50"/>
        <v>6166</v>
      </c>
      <c r="V119" s="319">
        <f t="shared" si="51"/>
        <v>38019556</v>
      </c>
      <c r="X119" s="345">
        <f t="shared" si="44"/>
        <v>17.669575249902131</v>
      </c>
      <c r="Y119" s="346">
        <f t="shared" si="45"/>
        <v>-7.2023883297573272</v>
      </c>
      <c r="AA119" s="345">
        <f t="shared" si="46"/>
        <v>30.990101006836088</v>
      </c>
      <c r="AB119" s="346">
        <f t="shared" si="47"/>
        <v>-83.783625700191465</v>
      </c>
      <c r="AD119">
        <f t="shared" si="52"/>
        <v>0</v>
      </c>
      <c r="AE119">
        <f t="shared" si="53"/>
        <v>0</v>
      </c>
    </row>
    <row r="120" spans="1:31" x14ac:dyDescent="0.2">
      <c r="A120" s="347">
        <v>6237.8</v>
      </c>
      <c r="B120" s="364">
        <f t="shared" si="49"/>
        <v>6.2378</v>
      </c>
      <c r="C120" s="337">
        <f t="shared" si="27"/>
        <v>6.9743868888630827</v>
      </c>
      <c r="D120" s="338">
        <f t="shared" si="28"/>
        <v>1.4269186645895031</v>
      </c>
      <c r="E120" s="338">
        <f t="shared" si="29"/>
        <v>1.0001228813382037</v>
      </c>
      <c r="F120" s="339">
        <f t="shared" si="30"/>
        <v>1.5676017117688203E-2</v>
      </c>
      <c r="G120" s="338">
        <f t="shared" si="31"/>
        <v>1</v>
      </c>
      <c r="H120" s="339">
        <f t="shared" si="32"/>
        <v>0</v>
      </c>
      <c r="I120" s="337">
        <f t="shared" si="33"/>
        <v>97836.051076705393</v>
      </c>
      <c r="J120" s="340">
        <f t="shared" si="34"/>
        <v>1.5707861056137573</v>
      </c>
      <c r="K120" s="348">
        <f t="shared" si="35"/>
        <v>9.7423818514210048</v>
      </c>
      <c r="L120" s="349">
        <f t="shared" si="36"/>
        <v>1.467970922423647</v>
      </c>
      <c r="M120" s="337">
        <f t="shared" si="37"/>
        <v>1.0002410411253775</v>
      </c>
      <c r="N120" s="340">
        <f t="shared" si="38"/>
        <v>2.19541667107051E-2</v>
      </c>
      <c r="O120" s="341">
        <f t="shared" si="39"/>
        <v>1.0009806514287163</v>
      </c>
      <c r="P120" s="342">
        <f t="shared" si="40"/>
        <v>5.3140085710924816E-2</v>
      </c>
      <c r="Q120" s="343">
        <f t="shared" si="41"/>
        <v>-0.3140311818871771</v>
      </c>
      <c r="R120" s="344">
        <f t="shared" si="42"/>
        <v>-91.051707469152618</v>
      </c>
      <c r="S120" s="346">
        <f t="shared" si="43"/>
        <v>88.948292530847382</v>
      </c>
      <c r="U120" s="319">
        <f t="shared" si="50"/>
        <v>6237.8</v>
      </c>
      <c r="V120" s="319">
        <f t="shared" si="51"/>
        <v>38910148.840000004</v>
      </c>
      <c r="X120" s="345">
        <f t="shared" si="44"/>
        <v>17.668455648007985</v>
      </c>
      <c r="Y120" s="346">
        <f t="shared" si="45"/>
        <v>-7.1487571700763812</v>
      </c>
      <c r="AA120" s="345">
        <f t="shared" si="46"/>
        <v>30.891463154759094</v>
      </c>
      <c r="AB120" s="346">
        <f t="shared" si="47"/>
        <v>-83.90295029907621</v>
      </c>
      <c r="AD120">
        <f t="shared" si="52"/>
        <v>0</v>
      </c>
      <c r="AE120">
        <f t="shared" si="53"/>
        <v>0</v>
      </c>
    </row>
    <row r="121" spans="1:31" x14ac:dyDescent="0.2">
      <c r="A121" s="347">
        <v>6309.6</v>
      </c>
      <c r="B121" s="364">
        <f t="shared" si="49"/>
        <v>6.3096000000000005</v>
      </c>
      <c r="C121" s="337">
        <f t="shared" si="27"/>
        <v>7.0530241569542271</v>
      </c>
      <c r="D121" s="338">
        <f t="shared" si="28"/>
        <v>1.4285337931734052</v>
      </c>
      <c r="E121" s="338">
        <f t="shared" si="29"/>
        <v>1.0001257262835588</v>
      </c>
      <c r="F121" s="339">
        <f t="shared" si="30"/>
        <v>1.5856425346835082E-2</v>
      </c>
      <c r="G121" s="338">
        <f t="shared" si="31"/>
        <v>1</v>
      </c>
      <c r="H121" s="339">
        <f t="shared" si="32"/>
        <v>0</v>
      </c>
      <c r="I121" s="337">
        <f t="shared" si="33"/>
        <v>98962.189854251599</v>
      </c>
      <c r="J121" s="340">
        <f t="shared" si="34"/>
        <v>1.5707862219255371</v>
      </c>
      <c r="K121" s="348">
        <f t="shared" si="35"/>
        <v>9.8533463984912739</v>
      </c>
      <c r="L121" s="349">
        <f t="shared" si="36"/>
        <v>1.469132931114431</v>
      </c>
      <c r="M121" s="337">
        <f t="shared" si="37"/>
        <v>1.0002466213656389</v>
      </c>
      <c r="N121" s="340">
        <f t="shared" si="38"/>
        <v>2.2206786855443281E-2</v>
      </c>
      <c r="O121" s="341">
        <f t="shared" si="39"/>
        <v>1.001003347703034</v>
      </c>
      <c r="P121" s="342">
        <f t="shared" si="40"/>
        <v>5.3751119474645691E-2</v>
      </c>
      <c r="Q121" s="343">
        <f t="shared" si="41"/>
        <v>-0.41267416727358031</v>
      </c>
      <c r="R121" s="344">
        <f t="shared" si="42"/>
        <v>-91.116823084685322</v>
      </c>
      <c r="S121" s="346">
        <f t="shared" si="43"/>
        <v>88.883176915314678</v>
      </c>
      <c r="U121" s="319">
        <f t="shared" si="50"/>
        <v>6309.6</v>
      </c>
      <c r="V121" s="319">
        <f t="shared" si="51"/>
        <v>39811052.160000004</v>
      </c>
      <c r="X121" s="345">
        <f t="shared" si="44"/>
        <v>17.667371618420979</v>
      </c>
      <c r="Y121" s="346">
        <f t="shared" si="45"/>
        <v>-7.0966597085649745</v>
      </c>
      <c r="AA121" s="345">
        <f t="shared" si="46"/>
        <v>30.793904198959691</v>
      </c>
      <c r="AB121" s="346">
        <f t="shared" si="47"/>
        <v>-84.020163376120323</v>
      </c>
      <c r="AD121">
        <f t="shared" si="52"/>
        <v>0</v>
      </c>
      <c r="AE121">
        <f t="shared" si="53"/>
        <v>0</v>
      </c>
    </row>
    <row r="122" spans="1:31" x14ac:dyDescent="0.2">
      <c r="A122" s="347">
        <v>6383.05</v>
      </c>
      <c r="B122" s="364">
        <f t="shared" si="49"/>
        <v>6.3830499999999999</v>
      </c>
      <c r="C122" s="337">
        <f t="shared" si="27"/>
        <v>7.1334871621891613</v>
      </c>
      <c r="D122" s="338">
        <f t="shared" si="28"/>
        <v>1.4301491877123755</v>
      </c>
      <c r="E122" s="338">
        <f t="shared" si="29"/>
        <v>1.0001286702888714</v>
      </c>
      <c r="F122" s="339">
        <f t="shared" si="30"/>
        <v>1.6040978379352526E-2</v>
      </c>
      <c r="G122" s="338">
        <f t="shared" si="31"/>
        <v>1</v>
      </c>
      <c r="H122" s="339">
        <f t="shared" si="32"/>
        <v>0</v>
      </c>
      <c r="I122" s="337">
        <f t="shared" si="33"/>
        <v>100114.207865545</v>
      </c>
      <c r="J122" s="340">
        <f t="shared" si="34"/>
        <v>1.5707863382026543</v>
      </c>
      <c r="K122" s="348">
        <f t="shared" si="35"/>
        <v>9.9668744231713013</v>
      </c>
      <c r="L122" s="349">
        <f t="shared" si="36"/>
        <v>1.4702948689491522</v>
      </c>
      <c r="M122" s="337">
        <f t="shared" si="37"/>
        <v>1.0002523958917631</v>
      </c>
      <c r="N122" s="340">
        <f t="shared" si="38"/>
        <v>2.2465209404276619E-2</v>
      </c>
      <c r="O122" s="341">
        <f t="shared" si="39"/>
        <v>1.0010268338849064</v>
      </c>
      <c r="P122" s="342">
        <f t="shared" si="40"/>
        <v>5.4376172626579164E-2</v>
      </c>
      <c r="Q122" s="343">
        <f t="shared" si="41"/>
        <v>-0.51245644824651693</v>
      </c>
      <c r="R122" s="344">
        <f t="shared" si="42"/>
        <v>-91.182856221390935</v>
      </c>
      <c r="S122" s="346">
        <f t="shared" si="43"/>
        <v>88.817143778609065</v>
      </c>
      <c r="U122" s="319">
        <f t="shared" si="50"/>
        <v>6383.05</v>
      </c>
      <c r="V122" s="319">
        <f t="shared" si="51"/>
        <v>40743327.302500002</v>
      </c>
      <c r="X122" s="345">
        <f t="shared" si="44"/>
        <v>17.666297814352113</v>
      </c>
      <c r="Y122" s="346">
        <f t="shared" si="45"/>
        <v>-7.0448987580869735</v>
      </c>
      <c r="AA122" s="345">
        <f t="shared" si="46"/>
        <v>30.695195722055626</v>
      </c>
      <c r="AB122" s="346">
        <f t="shared" si="47"/>
        <v>-84.137957463303962</v>
      </c>
      <c r="AD122">
        <f t="shared" si="52"/>
        <v>0</v>
      </c>
      <c r="AE122">
        <f t="shared" si="53"/>
        <v>0</v>
      </c>
    </row>
    <row r="123" spans="1:31" x14ac:dyDescent="0.2">
      <c r="A123" s="347">
        <v>6456.5</v>
      </c>
      <c r="B123" s="364">
        <f t="shared" si="49"/>
        <v>6.4565000000000001</v>
      </c>
      <c r="C123" s="337">
        <f t="shared" si="27"/>
        <v>7.2139683669760251</v>
      </c>
      <c r="D123" s="338">
        <f t="shared" si="28"/>
        <v>1.4317285426399475</v>
      </c>
      <c r="E123" s="338">
        <f t="shared" si="29"/>
        <v>1.0001316483581872</v>
      </c>
      <c r="F123" s="339">
        <f t="shared" si="30"/>
        <v>1.6225530319076989E-2</v>
      </c>
      <c r="G123" s="338">
        <f t="shared" si="31"/>
        <v>1</v>
      </c>
      <c r="H123" s="339">
        <f t="shared" si="32"/>
        <v>0</v>
      </c>
      <c r="I123" s="337">
        <f t="shared" si="33"/>
        <v>101266.22587683973</v>
      </c>
      <c r="J123" s="340">
        <f t="shared" si="34"/>
        <v>1.5707864518342041</v>
      </c>
      <c r="K123" s="348">
        <f t="shared" si="35"/>
        <v>10.080415601017918</v>
      </c>
      <c r="L123" s="349">
        <f t="shared" si="36"/>
        <v>1.471430633218942</v>
      </c>
      <c r="M123" s="337">
        <f t="shared" si="37"/>
        <v>1.0002582372161828</v>
      </c>
      <c r="N123" s="340">
        <f t="shared" si="38"/>
        <v>2.2723628952087169E-2</v>
      </c>
      <c r="O123" s="341">
        <f t="shared" si="39"/>
        <v>1.001050591435525</v>
      </c>
      <c r="P123" s="342">
        <f t="shared" si="40"/>
        <v>5.5001202788588235E-2</v>
      </c>
      <c r="Q123" s="343">
        <f t="shared" si="41"/>
        <v>-0.61112359443028974</v>
      </c>
      <c r="R123" s="344">
        <f t="shared" si="42"/>
        <v>-91.248322497133884</v>
      </c>
      <c r="S123" s="346">
        <f t="shared" si="43"/>
        <v>88.751677502866116</v>
      </c>
      <c r="U123" s="319">
        <f t="shared" si="50"/>
        <v>6456.5</v>
      </c>
      <c r="V123" s="319">
        <f t="shared" si="51"/>
        <v>41686392.25</v>
      </c>
      <c r="X123" s="345">
        <f t="shared" si="44"/>
        <v>17.665257938090587</v>
      </c>
      <c r="Y123" s="346">
        <f t="shared" si="45"/>
        <v>-6.9946371188902736</v>
      </c>
      <c r="AA123" s="345">
        <f t="shared" si="46"/>
        <v>30.59756845213338</v>
      </c>
      <c r="AB123" s="346">
        <f t="shared" si="47"/>
        <v>-84.253685378243588</v>
      </c>
      <c r="AD123">
        <f t="shared" si="52"/>
        <v>0</v>
      </c>
      <c r="AE123">
        <f t="shared" si="53"/>
        <v>0</v>
      </c>
    </row>
    <row r="124" spans="1:31" x14ac:dyDescent="0.2">
      <c r="A124" s="347">
        <v>6531.7</v>
      </c>
      <c r="B124" s="364">
        <f t="shared" si="49"/>
        <v>6.5316999999999998</v>
      </c>
      <c r="C124" s="337">
        <f t="shared" si="27"/>
        <v>7.2963853216174854</v>
      </c>
      <c r="D124" s="338">
        <f t="shared" si="28"/>
        <v>1.4333094262742803</v>
      </c>
      <c r="E124" s="338">
        <f t="shared" si="29"/>
        <v>1.0001347326729373</v>
      </c>
      <c r="F124" s="339">
        <f t="shared" si="30"/>
        <v>1.6414478198543178E-2</v>
      </c>
      <c r="G124" s="338">
        <f t="shared" si="31"/>
        <v>1</v>
      </c>
      <c r="H124" s="339">
        <f t="shared" si="32"/>
        <v>0</v>
      </c>
      <c r="I124" s="337">
        <f t="shared" si="33"/>
        <v>102445.69156029052</v>
      </c>
      <c r="J124" s="340">
        <f t="shared" si="34"/>
        <v>1.5707865655254398</v>
      </c>
      <c r="K124" s="348">
        <f t="shared" si="35"/>
        <v>10.196675148661175</v>
      </c>
      <c r="L124" s="349">
        <f t="shared" si="36"/>
        <v>1.4725672515227455</v>
      </c>
      <c r="M124" s="337">
        <f t="shared" si="37"/>
        <v>1.0002642869177414</v>
      </c>
      <c r="N124" s="340">
        <f t="shared" si="38"/>
        <v>2.2988202389619381E-2</v>
      </c>
      <c r="O124" s="341">
        <f t="shared" si="39"/>
        <v>1.0010751961550353</v>
      </c>
      <c r="P124" s="342">
        <f t="shared" si="40"/>
        <v>5.5641100659430398E-2</v>
      </c>
      <c r="Q124" s="343">
        <f t="shared" si="41"/>
        <v>-0.71101194296827819</v>
      </c>
      <c r="R124" s="344">
        <f t="shared" si="42"/>
        <v>-91.314780012280281</v>
      </c>
      <c r="S124" s="346">
        <f t="shared" si="43"/>
        <v>88.685219987719719</v>
      </c>
      <c r="U124" s="319">
        <f t="shared" si="50"/>
        <v>6531.7</v>
      </c>
      <c r="V124" s="319">
        <f t="shared" si="51"/>
        <v>42663104.890000001</v>
      </c>
      <c r="X124" s="345">
        <f t="shared" si="44"/>
        <v>17.664226837455509</v>
      </c>
      <c r="Y124" s="346">
        <f t="shared" si="45"/>
        <v>-6.9446791424777663</v>
      </c>
      <c r="AA124" s="345">
        <f t="shared" si="46"/>
        <v>30.498711204230471</v>
      </c>
      <c r="AB124" s="346">
        <f t="shared" si="47"/>
        <v>-84.370100869802499</v>
      </c>
      <c r="AD124">
        <f t="shared" si="52"/>
        <v>0</v>
      </c>
      <c r="AE124">
        <f t="shared" si="53"/>
        <v>0</v>
      </c>
    </row>
    <row r="125" spans="1:31" x14ac:dyDescent="0.2">
      <c r="A125" s="347">
        <v>6606.9</v>
      </c>
      <c r="B125" s="364">
        <f t="shared" si="49"/>
        <v>6.6068999999999996</v>
      </c>
      <c r="C125" s="337">
        <f t="shared" si="27"/>
        <v>7.3788201039587946</v>
      </c>
      <c r="D125" s="338">
        <f t="shared" si="28"/>
        <v>1.4348549910338744</v>
      </c>
      <c r="E125" s="338">
        <f t="shared" si="29"/>
        <v>1.0001378526935774</v>
      </c>
      <c r="F125" s="339">
        <f t="shared" si="30"/>
        <v>1.6603424905874915E-2</v>
      </c>
      <c r="G125" s="338">
        <f t="shared" si="31"/>
        <v>1</v>
      </c>
      <c r="H125" s="339">
        <f t="shared" si="32"/>
        <v>0</v>
      </c>
      <c r="I125" s="337">
        <f t="shared" si="33"/>
        <v>103625.15724374259</v>
      </c>
      <c r="J125" s="340">
        <f t="shared" si="34"/>
        <v>1.5707866766285989</v>
      </c>
      <c r="K125" s="348">
        <f t="shared" si="35"/>
        <v>10.31294757238623</v>
      </c>
      <c r="L125" s="349">
        <f t="shared" si="36"/>
        <v>1.4736782418280534</v>
      </c>
      <c r="M125" s="337">
        <f t="shared" si="37"/>
        <v>1.0002704066360542</v>
      </c>
      <c r="N125" s="340">
        <f t="shared" si="38"/>
        <v>2.3252772608316662E-2</v>
      </c>
      <c r="O125" s="341">
        <f t="shared" si="39"/>
        <v>1.0011000852952643</v>
      </c>
      <c r="P125" s="342">
        <f t="shared" si="40"/>
        <v>5.628097387505078E-2</v>
      </c>
      <c r="Q125" s="343">
        <f t="shared" si="41"/>
        <v>-0.80978271720175232</v>
      </c>
      <c r="R125" s="344">
        <f t="shared" si="42"/>
        <v>-91.380680602924215</v>
      </c>
      <c r="S125" s="346">
        <f t="shared" si="43"/>
        <v>88.619319397075785</v>
      </c>
      <c r="U125" s="319">
        <f t="shared" si="50"/>
        <v>6606.9</v>
      </c>
      <c r="V125" s="319">
        <f t="shared" si="51"/>
        <v>43651127.609999992</v>
      </c>
      <c r="X125" s="345">
        <f t="shared" si="44"/>
        <v>17.663228143455285</v>
      </c>
      <c r="Y125" s="346">
        <f t="shared" si="45"/>
        <v>-6.896189209506586</v>
      </c>
      <c r="AA125" s="345">
        <f t="shared" si="46"/>
        <v>30.400939123997219</v>
      </c>
      <c r="AB125" s="346">
        <f t="shared" si="47"/>
        <v>-84.484491393417599</v>
      </c>
      <c r="AD125">
        <f t="shared" si="52"/>
        <v>0</v>
      </c>
      <c r="AE125">
        <f t="shared" si="53"/>
        <v>0</v>
      </c>
    </row>
    <row r="126" spans="1:31" x14ac:dyDescent="0.2">
      <c r="A126" s="347">
        <v>6683.85</v>
      </c>
      <c r="B126" s="364">
        <f t="shared" si="49"/>
        <v>6.6838500000000005</v>
      </c>
      <c r="C126" s="337">
        <f t="shared" si="27"/>
        <v>7.4631910874843133</v>
      </c>
      <c r="D126" s="338">
        <f t="shared" si="28"/>
        <v>1.4364011750881824</v>
      </c>
      <c r="E126" s="338">
        <f t="shared" si="29"/>
        <v>1.0001410822826735</v>
      </c>
      <c r="F126" s="339">
        <f t="shared" si="30"/>
        <v>1.6796767416864873E-2</v>
      </c>
      <c r="G126" s="338">
        <f t="shared" si="31"/>
        <v>1</v>
      </c>
      <c r="H126" s="339">
        <f t="shared" si="32"/>
        <v>0</v>
      </c>
      <c r="I126" s="337">
        <f t="shared" si="33"/>
        <v>104832.07059935079</v>
      </c>
      <c r="J126" s="340">
        <f t="shared" si="34"/>
        <v>1.5707867877292816</v>
      </c>
      <c r="K126" s="348">
        <f t="shared" si="35"/>
        <v>10.431938683730676</v>
      </c>
      <c r="L126" s="349">
        <f t="shared" si="36"/>
        <v>1.4747894479122809</v>
      </c>
      <c r="M126" s="337">
        <f t="shared" si="37"/>
        <v>1.0002767412464655</v>
      </c>
      <c r="N126" s="340">
        <f t="shared" si="38"/>
        <v>2.3523496343109348E-2</v>
      </c>
      <c r="O126" s="341">
        <f t="shared" si="39"/>
        <v>1.0011258480457246</v>
      </c>
      <c r="P126" s="342">
        <f t="shared" si="40"/>
        <v>5.6935711941026312E-2</v>
      </c>
      <c r="Q126" s="343">
        <f t="shared" si="41"/>
        <v>-0.90972089201570716</v>
      </c>
      <c r="R126" s="344">
        <f t="shared" si="42"/>
        <v>-91.447556715871997</v>
      </c>
      <c r="S126" s="346">
        <f t="shared" si="43"/>
        <v>88.552443284128003</v>
      </c>
      <c r="U126" s="319">
        <f t="shared" si="50"/>
        <v>6683.85</v>
      </c>
      <c r="V126" s="319">
        <f t="shared" si="51"/>
        <v>44673850.822500005</v>
      </c>
      <c r="X126" s="345">
        <f t="shared" si="44"/>
        <v>17.662238226022911</v>
      </c>
      <c r="Y126" s="346">
        <f t="shared" si="45"/>
        <v>-6.8480394836739187</v>
      </c>
      <c r="AA126" s="345">
        <f t="shared" si="46"/>
        <v>30.30199086661564</v>
      </c>
      <c r="AB126" s="346">
        <f t="shared" si="47"/>
        <v>-84.599517232198082</v>
      </c>
      <c r="AD126">
        <f t="shared" si="52"/>
        <v>0</v>
      </c>
      <c r="AE126">
        <f t="shared" si="53"/>
        <v>0</v>
      </c>
    </row>
    <row r="127" spans="1:31" x14ac:dyDescent="0.2">
      <c r="A127" s="347">
        <v>6760.8</v>
      </c>
      <c r="B127" s="364">
        <f t="shared" si="49"/>
        <v>6.7608000000000006</v>
      </c>
      <c r="C127" s="337">
        <f t="shared" si="27"/>
        <v>7.5475795142267765</v>
      </c>
      <c r="D127" s="338">
        <f t="shared" si="28"/>
        <v>1.4379127873556423</v>
      </c>
      <c r="E127" s="338">
        <f t="shared" si="29"/>
        <v>1.0001443492581279</v>
      </c>
      <c r="F127" s="339">
        <f t="shared" si="30"/>
        <v>1.6990108671973998E-2</v>
      </c>
      <c r="G127" s="338">
        <f t="shared" si="31"/>
        <v>1</v>
      </c>
      <c r="H127" s="339">
        <f t="shared" si="32"/>
        <v>0</v>
      </c>
      <c r="I127" s="337">
        <f t="shared" si="33"/>
        <v>106038.98395496022</v>
      </c>
      <c r="J127" s="340">
        <f t="shared" si="34"/>
        <v>1.5707868963009148</v>
      </c>
      <c r="K127" s="348">
        <f t="shared" si="35"/>
        <v>10.550942385663328</v>
      </c>
      <c r="L127" s="349">
        <f t="shared" si="36"/>
        <v>1.4758755888051678</v>
      </c>
      <c r="M127" s="337">
        <f t="shared" si="37"/>
        <v>1.0002831491675683</v>
      </c>
      <c r="N127" s="340">
        <f t="shared" si="38"/>
        <v>2.3794216629172724E-2</v>
      </c>
      <c r="O127" s="341">
        <f t="shared" si="39"/>
        <v>1.0011519085722056</v>
      </c>
      <c r="P127" s="342">
        <f t="shared" si="40"/>
        <v>5.7590423594561339E-2</v>
      </c>
      <c r="Q127" s="343">
        <f t="shared" si="41"/>
        <v>-1.0085403368967356</v>
      </c>
      <c r="R127" s="344">
        <f t="shared" si="42"/>
        <v>-91.513886357152927</v>
      </c>
      <c r="S127" s="346">
        <f t="shared" si="43"/>
        <v>88.486113642847073</v>
      </c>
      <c r="U127" s="319">
        <f t="shared" si="50"/>
        <v>6760.8</v>
      </c>
      <c r="V127" s="319">
        <f t="shared" si="51"/>
        <v>45708416.640000001</v>
      </c>
      <c r="X127" s="345">
        <f t="shared" si="44"/>
        <v>17.661279222035226</v>
      </c>
      <c r="Y127" s="346">
        <f t="shared" si="45"/>
        <v>-6.8013255450179235</v>
      </c>
      <c r="AA127" s="345">
        <f t="shared" si="46"/>
        <v>30.204130425722294</v>
      </c>
      <c r="AB127" s="346">
        <f t="shared" si="47"/>
        <v>-84.712560812134981</v>
      </c>
      <c r="AD127">
        <f t="shared" si="52"/>
        <v>0</v>
      </c>
      <c r="AE127">
        <f t="shared" si="53"/>
        <v>0</v>
      </c>
    </row>
    <row r="128" spans="1:31" x14ac:dyDescent="0.2">
      <c r="A128" s="347">
        <v>6839.55</v>
      </c>
      <c r="B128" s="364">
        <f t="shared" si="49"/>
        <v>6.83955</v>
      </c>
      <c r="C128" s="337">
        <f t="shared" si="27"/>
        <v>7.6339593956913214</v>
      </c>
      <c r="D128" s="338">
        <f t="shared" si="28"/>
        <v>1.4394251539014375</v>
      </c>
      <c r="E128" s="338">
        <f t="shared" si="29"/>
        <v>1.0001477313620668</v>
      </c>
      <c r="F128" s="339">
        <f t="shared" si="30"/>
        <v>1.7187971214181971E-2</v>
      </c>
      <c r="G128" s="338">
        <f t="shared" si="31"/>
        <v>1</v>
      </c>
      <c r="H128" s="339">
        <f t="shared" si="32"/>
        <v>0</v>
      </c>
      <c r="I128" s="337">
        <f t="shared" si="33"/>
        <v>107274.12920193022</v>
      </c>
      <c r="J128" s="340">
        <f t="shared" si="34"/>
        <v>1.5707870048828247</v>
      </c>
      <c r="K128" s="348">
        <f t="shared" si="35"/>
        <v>10.672742396272051</v>
      </c>
      <c r="L128" s="349">
        <f t="shared" si="36"/>
        <v>1.476962057211707</v>
      </c>
      <c r="M128" s="337">
        <f t="shared" si="37"/>
        <v>1.0002897828831459</v>
      </c>
      <c r="N128" s="340">
        <f t="shared" si="38"/>
        <v>2.4071265941489842E-2</v>
      </c>
      <c r="O128" s="341">
        <f t="shared" si="39"/>
        <v>1.0011788869878806</v>
      </c>
      <c r="P128" s="342">
        <f t="shared" si="40"/>
        <v>5.8260422479590256E-2</v>
      </c>
      <c r="Q128" s="343">
        <f t="shared" si="41"/>
        <v>-1.108538887918797</v>
      </c>
      <c r="R128" s="344">
        <f t="shared" si="42"/>
        <v>-91.581219920508019</v>
      </c>
      <c r="S128" s="346">
        <f t="shared" si="43"/>
        <v>88.418780079491981</v>
      </c>
      <c r="U128" s="319">
        <f t="shared" si="50"/>
        <v>6839.55</v>
      </c>
      <c r="V128" s="319">
        <f t="shared" si="51"/>
        <v>46779444.202500001</v>
      </c>
      <c r="X128" s="345">
        <f t="shared" si="44"/>
        <v>17.660328329668445</v>
      </c>
      <c r="Y128" s="346">
        <f t="shared" si="45"/>
        <v>-6.7549554682938817</v>
      </c>
      <c r="AA128" s="345">
        <f t="shared" si="46"/>
        <v>30.105082767067017</v>
      </c>
      <c r="AB128" s="346">
        <f t="shared" si="47"/>
        <v>-84.826264452214133</v>
      </c>
      <c r="AD128">
        <f t="shared" si="52"/>
        <v>0</v>
      </c>
      <c r="AE128">
        <f t="shared" si="53"/>
        <v>0</v>
      </c>
    </row>
    <row r="129" spans="1:31" x14ac:dyDescent="0.2">
      <c r="A129" s="347">
        <v>6918.3</v>
      </c>
      <c r="B129" s="364">
        <f t="shared" si="49"/>
        <v>6.9183000000000003</v>
      </c>
      <c r="C129" s="337">
        <f t="shared" si="27"/>
        <v>7.7203563472028947</v>
      </c>
      <c r="D129" s="338">
        <f t="shared" si="28"/>
        <v>1.4409036745879338</v>
      </c>
      <c r="E129" s="338">
        <f t="shared" si="29"/>
        <v>1.0001511526211093</v>
      </c>
      <c r="F129" s="339">
        <f t="shared" si="30"/>
        <v>1.7385832410462671E-2</v>
      </c>
      <c r="G129" s="338">
        <f t="shared" si="31"/>
        <v>1</v>
      </c>
      <c r="H129" s="339">
        <f t="shared" si="32"/>
        <v>0</v>
      </c>
      <c r="I129" s="337">
        <f t="shared" si="33"/>
        <v>108509.27444890144</v>
      </c>
      <c r="J129" s="340">
        <f t="shared" si="34"/>
        <v>1.5707871109927904</v>
      </c>
      <c r="K129" s="348">
        <f t="shared" si="35"/>
        <v>10.794554720818567</v>
      </c>
      <c r="L129" s="349">
        <f t="shared" si="36"/>
        <v>1.4780240061069667</v>
      </c>
      <c r="M129" s="337">
        <f t="shared" si="37"/>
        <v>1.0002964933762657</v>
      </c>
      <c r="N129" s="340">
        <f t="shared" si="38"/>
        <v>2.4348311557898832E-2</v>
      </c>
      <c r="O129" s="341">
        <f t="shared" si="39"/>
        <v>1.001206177233652</v>
      </c>
      <c r="P129" s="342">
        <f t="shared" si="40"/>
        <v>5.8930393063282446E-2</v>
      </c>
      <c r="Q129" s="343">
        <f t="shared" si="41"/>
        <v>-1.2074173521728975</v>
      </c>
      <c r="R129" s="344">
        <f t="shared" si="42"/>
        <v>-91.648017225659629</v>
      </c>
      <c r="S129" s="346">
        <f t="shared" si="43"/>
        <v>88.351982774340371</v>
      </c>
      <c r="U129" s="319">
        <f t="shared" si="50"/>
        <v>6918.3</v>
      </c>
      <c r="V129" s="319">
        <f t="shared" si="51"/>
        <v>47862874.890000001</v>
      </c>
      <c r="X129" s="345">
        <f t="shared" si="44"/>
        <v>17.659406927069448</v>
      </c>
      <c r="Y129" s="346">
        <f t="shared" si="45"/>
        <v>-6.7099899026915732</v>
      </c>
      <c r="AA129" s="345">
        <f t="shared" si="46"/>
        <v>30.007125705411912</v>
      </c>
      <c r="AB129" s="346">
        <f t="shared" si="47"/>
        <v>-84.938027322968054</v>
      </c>
      <c r="AD129">
        <f t="shared" si="52"/>
        <v>0</v>
      </c>
      <c r="AE129">
        <f t="shared" si="53"/>
        <v>0</v>
      </c>
    </row>
    <row r="130" spans="1:31" x14ac:dyDescent="0.2">
      <c r="A130" s="347">
        <v>6998.9</v>
      </c>
      <c r="B130" s="364">
        <f t="shared" si="49"/>
        <v>6.9988999999999999</v>
      </c>
      <c r="C130" s="337">
        <f t="shared" si="27"/>
        <v>7.8088000263496218</v>
      </c>
      <c r="D130" s="338">
        <f t="shared" si="28"/>
        <v>1.4423830467059284</v>
      </c>
      <c r="E130" s="338">
        <f t="shared" si="29"/>
        <v>1.0001546947978264</v>
      </c>
      <c r="F130" s="339">
        <f t="shared" si="30"/>
        <v>1.7588340364648968E-2</v>
      </c>
      <c r="G130" s="338">
        <f t="shared" si="31"/>
        <v>1</v>
      </c>
      <c r="H130" s="339">
        <f t="shared" si="32"/>
        <v>0</v>
      </c>
      <c r="I130" s="337">
        <f t="shared" si="33"/>
        <v>109773.43580643769</v>
      </c>
      <c r="J130" s="340">
        <f t="shared" si="34"/>
        <v>1.5707872171228465</v>
      </c>
      <c r="K130" s="348">
        <f t="shared" si="35"/>
        <v>10.919240989391396</v>
      </c>
      <c r="L130" s="349">
        <f t="shared" si="36"/>
        <v>1.4790863660157609</v>
      </c>
      <c r="M130" s="337">
        <f t="shared" si="37"/>
        <v>1.0003034410153258</v>
      </c>
      <c r="N130" s="340">
        <f t="shared" si="38"/>
        <v>2.4631861676047966E-2</v>
      </c>
      <c r="O130" s="341">
        <f t="shared" si="39"/>
        <v>1.0012344314666259</v>
      </c>
      <c r="P130" s="342">
        <f t="shared" si="40"/>
        <v>5.9616072995013591E-2</v>
      </c>
      <c r="Q130" s="343">
        <f t="shared" si="41"/>
        <v>-1.3074847089847219</v>
      </c>
      <c r="R130" s="344">
        <f t="shared" si="42"/>
        <v>-91.715846286276729</v>
      </c>
      <c r="S130" s="346">
        <f t="shared" si="43"/>
        <v>88.284153713723271</v>
      </c>
      <c r="U130" s="319">
        <f t="shared" si="50"/>
        <v>6998.9</v>
      </c>
      <c r="V130" s="319">
        <f t="shared" si="51"/>
        <v>48984601.209999993</v>
      </c>
      <c r="X130" s="345">
        <f t="shared" si="44"/>
        <v>17.658493017514111</v>
      </c>
      <c r="Y130" s="346">
        <f t="shared" si="45"/>
        <v>-6.6653734693974496</v>
      </c>
      <c r="AA130" s="345">
        <f t="shared" si="46"/>
        <v>29.907972258155418</v>
      </c>
      <c r="AB130" s="346">
        <f t="shared" si="47"/>
        <v>-85.050472816879278</v>
      </c>
      <c r="AD130">
        <f t="shared" si="52"/>
        <v>0</v>
      </c>
      <c r="AE130">
        <f t="shared" si="53"/>
        <v>0</v>
      </c>
    </row>
    <row r="131" spans="1:31" x14ac:dyDescent="0.2">
      <c r="A131" s="347">
        <v>7079.5</v>
      </c>
      <c r="B131" s="364">
        <f t="shared" si="49"/>
        <v>7.0795000000000003</v>
      </c>
      <c r="C131" s="337">
        <f t="shared" si="27"/>
        <v>7.8972604125715398</v>
      </c>
      <c r="D131" s="338">
        <f t="shared" si="28"/>
        <v>1.4438292798475256</v>
      </c>
      <c r="E131" s="338">
        <f t="shared" si="29"/>
        <v>1.0001582779900673</v>
      </c>
      <c r="F131" s="339">
        <f t="shared" si="30"/>
        <v>1.7790846876119707E-2</v>
      </c>
      <c r="G131" s="338">
        <f t="shared" si="31"/>
        <v>1</v>
      </c>
      <c r="H131" s="339">
        <f t="shared" si="32"/>
        <v>0</v>
      </c>
      <c r="I131" s="337">
        <f t="shared" si="33"/>
        <v>111037.59716397512</v>
      </c>
      <c r="J131" s="340">
        <f t="shared" si="34"/>
        <v>1.5707873208363243</v>
      </c>
      <c r="K131" s="348">
        <f t="shared" si="35"/>
        <v>11.043939303239071</v>
      </c>
      <c r="L131" s="349">
        <f t="shared" si="36"/>
        <v>1.4801247366331183</v>
      </c>
      <c r="M131" s="337">
        <f t="shared" si="37"/>
        <v>1.0003104690783313</v>
      </c>
      <c r="N131" s="340">
        <f t="shared" si="38"/>
        <v>2.4915407832614974E-2</v>
      </c>
      <c r="O131" s="341">
        <f t="shared" si="39"/>
        <v>1.0012630123090882</v>
      </c>
      <c r="P131" s="342">
        <f t="shared" si="40"/>
        <v>6.0301722595669745E-2</v>
      </c>
      <c r="Q131" s="343">
        <f t="shared" si="41"/>
        <v>-1.4064304681917383</v>
      </c>
      <c r="R131" s="344">
        <f t="shared" si="42"/>
        <v>-91.783149087938369</v>
      </c>
      <c r="S131" s="346">
        <f t="shared" si="43"/>
        <v>88.216850912061631</v>
      </c>
      <c r="U131" s="319">
        <f t="shared" si="50"/>
        <v>7079.5</v>
      </c>
      <c r="V131" s="319">
        <f t="shared" si="51"/>
        <v>50119320.25</v>
      </c>
      <c r="X131" s="345">
        <f t="shared" si="44"/>
        <v>17.657607238441631</v>
      </c>
      <c r="Y131" s="346">
        <f t="shared" si="45"/>
        <v>-6.6221311558160769</v>
      </c>
      <c r="AA131" s="345">
        <f t="shared" si="46"/>
        <v>29.809912278020889</v>
      </c>
      <c r="AB131" s="346">
        <f t="shared" si="47"/>
        <v>-85.161017932122292</v>
      </c>
      <c r="AD131">
        <f t="shared" si="52"/>
        <v>0</v>
      </c>
      <c r="AE131">
        <f t="shared" si="53"/>
        <v>0</v>
      </c>
    </row>
    <row r="132" spans="1:31" x14ac:dyDescent="0.2">
      <c r="A132" s="347">
        <v>7161.95</v>
      </c>
      <c r="B132" s="364">
        <f t="shared" si="49"/>
        <v>7.16195</v>
      </c>
      <c r="C132" s="337">
        <f t="shared" si="27"/>
        <v>7.987767925058268</v>
      </c>
      <c r="D132" s="338">
        <f t="shared" si="28"/>
        <v>1.4452755612125243</v>
      </c>
      <c r="E132" s="338">
        <f t="shared" si="29"/>
        <v>1.0001619858647985</v>
      </c>
      <c r="F132" s="339">
        <f t="shared" si="30"/>
        <v>1.7997999979833056E-2</v>
      </c>
      <c r="G132" s="338">
        <f t="shared" si="31"/>
        <v>1</v>
      </c>
      <c r="H132" s="339">
        <f t="shared" si="32"/>
        <v>0</v>
      </c>
      <c r="I132" s="337">
        <f t="shared" si="33"/>
        <v>112330.77463207761</v>
      </c>
      <c r="J132" s="340">
        <f t="shared" si="34"/>
        <v>1.5707874245149711</v>
      </c>
      <c r="K132" s="348">
        <f t="shared" si="35"/>
        <v>11.171511841845341</v>
      </c>
      <c r="L132" s="349">
        <f t="shared" si="36"/>
        <v>1.4811629545262512</v>
      </c>
      <c r="M132" s="337">
        <f t="shared" si="37"/>
        <v>1.0003177416677398</v>
      </c>
      <c r="N132" s="340">
        <f t="shared" si="38"/>
        <v>2.5205458036133409E-2</v>
      </c>
      <c r="O132" s="341">
        <f t="shared" si="39"/>
        <v>1.0012925870804203</v>
      </c>
      <c r="P132" s="342">
        <f t="shared" si="40"/>
        <v>6.1003078067133627E-2</v>
      </c>
      <c r="Q132" s="343">
        <f t="shared" si="41"/>
        <v>-1.506512749513405</v>
      </c>
      <c r="R132" s="344">
        <f t="shared" si="42"/>
        <v>-91.851469705482685</v>
      </c>
      <c r="S132" s="346">
        <f t="shared" si="43"/>
        <v>88.148530294517315</v>
      </c>
      <c r="U132" s="319">
        <f t="shared" si="50"/>
        <v>7161.95</v>
      </c>
      <c r="V132" s="319">
        <f t="shared" si="51"/>
        <v>51293527.802499995</v>
      </c>
      <c r="X132" s="345">
        <f t="shared" si="44"/>
        <v>17.656728898429321</v>
      </c>
      <c r="Y132" s="346">
        <f t="shared" si="45"/>
        <v>-6.5792702451330163</v>
      </c>
      <c r="AA132" s="345">
        <f t="shared" si="46"/>
        <v>29.71070833671153</v>
      </c>
      <c r="AB132" s="346">
        <f t="shared" si="47"/>
        <v>-85.272199460349654</v>
      </c>
      <c r="AD132">
        <f t="shared" si="52"/>
        <v>0</v>
      </c>
      <c r="AE132">
        <f t="shared" si="53"/>
        <v>0</v>
      </c>
    </row>
    <row r="133" spans="1:31" x14ac:dyDescent="0.2">
      <c r="A133" s="347">
        <v>7244.4</v>
      </c>
      <c r="B133" s="364">
        <f t="shared" si="49"/>
        <v>7.2443999999999997</v>
      </c>
      <c r="C133" s="337">
        <f t="shared" si="27"/>
        <v>8.0782917713853646</v>
      </c>
      <c r="D133" s="338">
        <f t="shared" si="28"/>
        <v>1.4466894319559946</v>
      </c>
      <c r="E133" s="338">
        <f t="shared" si="29"/>
        <v>1.0001657366585703</v>
      </c>
      <c r="F133" s="339">
        <f t="shared" si="30"/>
        <v>1.8205151538716085E-2</v>
      </c>
      <c r="G133" s="338">
        <f t="shared" si="31"/>
        <v>1</v>
      </c>
      <c r="H133" s="339">
        <f t="shared" si="32"/>
        <v>0</v>
      </c>
      <c r="I133" s="337">
        <f t="shared" si="33"/>
        <v>113623.95210018125</v>
      </c>
      <c r="J133" s="340">
        <f t="shared" si="34"/>
        <v>1.5707875258336421</v>
      </c>
      <c r="K133" s="348">
        <f t="shared" si="35"/>
        <v>11.29909615026191</v>
      </c>
      <c r="L133" s="349">
        <f t="shared" si="36"/>
        <v>1.4821777273143431</v>
      </c>
      <c r="M133" s="337">
        <f t="shared" si="37"/>
        <v>1.0003250984117722</v>
      </c>
      <c r="N133" s="340">
        <f t="shared" si="38"/>
        <v>2.5495503997789614E-2</v>
      </c>
      <c r="O133" s="341">
        <f t="shared" si="39"/>
        <v>1.0013225035786113</v>
      </c>
      <c r="P133" s="342">
        <f t="shared" si="40"/>
        <v>6.170440106682995E-2</v>
      </c>
      <c r="Q133" s="343">
        <f t="shared" si="41"/>
        <v>-1.605473157998021</v>
      </c>
      <c r="R133" s="344">
        <f t="shared" si="42"/>
        <v>-91.919274486530071</v>
      </c>
      <c r="S133" s="346">
        <f t="shared" si="43"/>
        <v>88.080725513469929</v>
      </c>
      <c r="U133" s="319">
        <f t="shared" si="50"/>
        <v>7244.4</v>
      </c>
      <c r="V133" s="319">
        <f t="shared" si="51"/>
        <v>52481331.359999992</v>
      </c>
      <c r="X133" s="345">
        <f t="shared" si="44"/>
        <v>17.655877357687597</v>
      </c>
      <c r="Y133" s="346">
        <f t="shared" si="45"/>
        <v>-6.5377522617631376</v>
      </c>
      <c r="AA133" s="345">
        <f t="shared" si="46"/>
        <v>29.612599468968636</v>
      </c>
      <c r="AB133" s="346">
        <f t="shared" si="47"/>
        <v>-85.381522224766954</v>
      </c>
      <c r="AD133">
        <f t="shared" si="52"/>
        <v>0</v>
      </c>
      <c r="AE133">
        <f t="shared" si="53"/>
        <v>0</v>
      </c>
    </row>
    <row r="134" spans="1:31" x14ac:dyDescent="0.2">
      <c r="A134" s="347">
        <v>7328.75</v>
      </c>
      <c r="B134" s="364">
        <f t="shared" si="49"/>
        <v>7.3287500000000003</v>
      </c>
      <c r="C134" s="337">
        <f t="shared" si="27"/>
        <v>8.170918010277898</v>
      </c>
      <c r="D134" s="338">
        <f t="shared" si="28"/>
        <v>1.448103462272446</v>
      </c>
      <c r="E134" s="338">
        <f t="shared" si="29"/>
        <v>1.000169618300133</v>
      </c>
      <c r="F134" s="339">
        <f t="shared" si="30"/>
        <v>1.8417075136737873E-2</v>
      </c>
      <c r="G134" s="338">
        <f t="shared" si="31"/>
        <v>1</v>
      </c>
      <c r="H134" s="339">
        <f t="shared" si="32"/>
        <v>0</v>
      </c>
      <c r="I134" s="337">
        <f t="shared" si="33"/>
        <v>114946.92989805441</v>
      </c>
      <c r="J134" s="340">
        <f t="shared" si="34"/>
        <v>1.5707876271280077</v>
      </c>
      <c r="K134" s="348">
        <f t="shared" si="35"/>
        <v>11.429632314602841</v>
      </c>
      <c r="L134" s="349">
        <f t="shared" si="36"/>
        <v>1.4831924396272993</v>
      </c>
      <c r="M134" s="337">
        <f t="shared" si="37"/>
        <v>1.0003327117705501</v>
      </c>
      <c r="N134" s="340">
        <f t="shared" si="38"/>
        <v>2.5792229416277058E-2</v>
      </c>
      <c r="O134" s="341">
        <f t="shared" si="39"/>
        <v>1.0013534630847925</v>
      </c>
      <c r="P134" s="342">
        <f t="shared" si="40"/>
        <v>6.2421851553767109E-2</v>
      </c>
      <c r="Q134" s="343">
        <f t="shared" si="41"/>
        <v>-1.7055790613425437</v>
      </c>
      <c r="R134" s="344">
        <f t="shared" si="42"/>
        <v>-91.988125197951078</v>
      </c>
      <c r="S134" s="346">
        <f t="shared" si="43"/>
        <v>88.011874802048922</v>
      </c>
      <c r="U134" s="319">
        <f t="shared" si="50"/>
        <v>7328.75</v>
      </c>
      <c r="V134" s="319">
        <f t="shared" si="51"/>
        <v>53710576.5625</v>
      </c>
      <c r="X134" s="345">
        <f t="shared" si="44"/>
        <v>17.655032650392513</v>
      </c>
      <c r="Y134" s="346">
        <f t="shared" si="45"/>
        <v>-6.4966204466570128</v>
      </c>
      <c r="AA134" s="345">
        <f t="shared" si="46"/>
        <v>29.513338272919199</v>
      </c>
      <c r="AB134" s="346">
        <f t="shared" si="47"/>
        <v>-85.491504751294073</v>
      </c>
      <c r="AD134">
        <f t="shared" si="52"/>
        <v>0</v>
      </c>
      <c r="AE134">
        <f t="shared" si="53"/>
        <v>0</v>
      </c>
    </row>
    <row r="135" spans="1:31" x14ac:dyDescent="0.2">
      <c r="A135" s="347">
        <v>7413.1</v>
      </c>
      <c r="B135" s="364">
        <f t="shared" si="49"/>
        <v>7.4131</v>
      </c>
      <c r="C135" s="337">
        <f t="shared" si="27"/>
        <v>8.2635602204966379</v>
      </c>
      <c r="D135" s="338">
        <f t="shared" si="28"/>
        <v>1.4494857901064913</v>
      </c>
      <c r="E135" s="338">
        <f t="shared" si="29"/>
        <v>1.0001735448605749</v>
      </c>
      <c r="F135" s="339">
        <f t="shared" si="30"/>
        <v>1.862899708030449E-2</v>
      </c>
      <c r="G135" s="338">
        <f t="shared" si="31"/>
        <v>1</v>
      </c>
      <c r="H135" s="339">
        <f t="shared" si="32"/>
        <v>0</v>
      </c>
      <c r="I135" s="337">
        <f t="shared" si="33"/>
        <v>116269.9076959287</v>
      </c>
      <c r="J135" s="340">
        <f t="shared" si="34"/>
        <v>1.5707877261172163</v>
      </c>
      <c r="K135" s="348">
        <f t="shared" si="35"/>
        <v>11.560179981580593</v>
      </c>
      <c r="L135" s="349">
        <f t="shared" si="36"/>
        <v>1.484184234903787</v>
      </c>
      <c r="M135" s="337">
        <f t="shared" si="37"/>
        <v>1.0003404132032507</v>
      </c>
      <c r="N135" s="340">
        <f t="shared" si="38"/>
        <v>2.6088950292022864E-2</v>
      </c>
      <c r="O135" s="341">
        <f t="shared" si="39"/>
        <v>1.0013847801964877</v>
      </c>
      <c r="P135" s="342">
        <f t="shared" si="40"/>
        <v>6.3139267271529659E-2</v>
      </c>
      <c r="Q135" s="343">
        <f t="shared" si="41"/>
        <v>-1.8045626580069989</v>
      </c>
      <c r="R135" s="344">
        <f t="shared" si="42"/>
        <v>-92.056470250708799</v>
      </c>
      <c r="S135" s="346">
        <f t="shared" si="43"/>
        <v>87.943529749291201</v>
      </c>
      <c r="U135" s="319">
        <f t="shared" si="50"/>
        <v>7413.1</v>
      </c>
      <c r="V135" s="319">
        <f t="shared" si="51"/>
        <v>54954051.610000007</v>
      </c>
      <c r="X135" s="345">
        <f t="shared" si="44"/>
        <v>17.654213472697979</v>
      </c>
      <c r="Y135" s="346">
        <f t="shared" si="45"/>
        <v>-6.4568012886652877</v>
      </c>
      <c r="AA135" s="345">
        <f t="shared" si="46"/>
        <v>29.415173853949277</v>
      </c>
      <c r="AB135" s="346">
        <f t="shared" si="47"/>
        <v>-85.599668962043481</v>
      </c>
      <c r="AD135">
        <f t="shared" si="52"/>
        <v>0</v>
      </c>
      <c r="AE135">
        <f t="shared" si="53"/>
        <v>0</v>
      </c>
    </row>
    <row r="136" spans="1:31" x14ac:dyDescent="0.2">
      <c r="A136" s="347">
        <v>7499.45</v>
      </c>
      <c r="B136" s="364">
        <f t="shared" si="49"/>
        <v>7.4994499999999995</v>
      </c>
      <c r="C136" s="337">
        <f t="shared" si="27"/>
        <v>8.3584150344690613</v>
      </c>
      <c r="D136" s="338">
        <f t="shared" si="28"/>
        <v>1.4508691501536326</v>
      </c>
      <c r="E136" s="338">
        <f t="shared" si="29"/>
        <v>1.0001776110511706</v>
      </c>
      <c r="F136" s="339">
        <f t="shared" si="30"/>
        <v>1.8845942114050721E-2</v>
      </c>
      <c r="G136" s="338">
        <f t="shared" si="31"/>
        <v>1</v>
      </c>
      <c r="H136" s="339">
        <f t="shared" si="32"/>
        <v>0</v>
      </c>
      <c r="I136" s="337">
        <f t="shared" si="33"/>
        <v>117624.25426198138</v>
      </c>
      <c r="J136" s="340">
        <f t="shared" si="34"/>
        <v>1.5707878251469476</v>
      </c>
      <c r="K136" s="348">
        <f t="shared" si="35"/>
        <v>11.693834541695995</v>
      </c>
      <c r="L136" s="349">
        <f t="shared" si="36"/>
        <v>1.4851766071404242</v>
      </c>
      <c r="M136" s="337">
        <f t="shared" si="37"/>
        <v>1.0003483884715376</v>
      </c>
      <c r="N136" s="340">
        <f t="shared" si="38"/>
        <v>2.6392701876048013E-2</v>
      </c>
      <c r="O136" s="341">
        <f t="shared" si="39"/>
        <v>1.0014172102562056</v>
      </c>
      <c r="P136" s="342">
        <f t="shared" si="40"/>
        <v>6.3873657009990897E-2</v>
      </c>
      <c r="Q136" s="343">
        <f t="shared" si="41"/>
        <v>-1.9047567271387389</v>
      </c>
      <c r="R136" s="344">
        <f t="shared" si="42"/>
        <v>-92.125928957653329</v>
      </c>
      <c r="S136" s="346">
        <f t="shared" si="43"/>
        <v>87.874071042346671</v>
      </c>
      <c r="U136" s="319">
        <f t="shared" si="50"/>
        <v>7499.45</v>
      </c>
      <c r="V136" s="319">
        <f t="shared" si="51"/>
        <v>56241750.302499995</v>
      </c>
      <c r="X136" s="345">
        <f t="shared" si="44"/>
        <v>17.653400096072581</v>
      </c>
      <c r="Y136" s="346">
        <f t="shared" si="45"/>
        <v>-6.4173519055256358</v>
      </c>
      <c r="AA136" s="345">
        <f t="shared" si="46"/>
        <v>29.315793161442937</v>
      </c>
      <c r="AB136" s="346">
        <f t="shared" si="47"/>
        <v>-85.708577052127708</v>
      </c>
      <c r="AD136">
        <f t="shared" si="52"/>
        <v>0</v>
      </c>
      <c r="AE136">
        <f t="shared" si="53"/>
        <v>0</v>
      </c>
    </row>
    <row r="137" spans="1:31" x14ac:dyDescent="0.2">
      <c r="A137" s="347">
        <v>7585.8</v>
      </c>
      <c r="B137" s="364">
        <f t="shared" si="49"/>
        <v>7.5857999999999999</v>
      </c>
      <c r="C137" s="337">
        <f t="shared" si="27"/>
        <v>8.4532854848274503</v>
      </c>
      <c r="D137" s="338">
        <f t="shared" si="28"/>
        <v>1.4522214620937501</v>
      </c>
      <c r="E137" s="338">
        <f t="shared" si="29"/>
        <v>1.0001817243148894</v>
      </c>
      <c r="F137" s="339">
        <f t="shared" si="30"/>
        <v>1.9062885373627343E-2</v>
      </c>
      <c r="G137" s="338">
        <f t="shared" si="31"/>
        <v>1</v>
      </c>
      <c r="H137" s="339">
        <f t="shared" si="32"/>
        <v>0</v>
      </c>
      <c r="I137" s="337">
        <f t="shared" si="33"/>
        <v>118978.60082803517</v>
      </c>
      <c r="J137" s="340">
        <f t="shared" si="34"/>
        <v>1.5707879219221459</v>
      </c>
      <c r="K137" s="348">
        <f t="shared" si="35"/>
        <v>11.827500357652481</v>
      </c>
      <c r="L137" s="349">
        <f t="shared" si="36"/>
        <v>1.4861465501743021</v>
      </c>
      <c r="M137" s="337">
        <f t="shared" si="37"/>
        <v>1.0003564560355169</v>
      </c>
      <c r="N137" s="340">
        <f t="shared" si="38"/>
        <v>2.6696448588773708E-2</v>
      </c>
      <c r="O137" s="341">
        <f t="shared" si="39"/>
        <v>1.0014500150230512</v>
      </c>
      <c r="P137" s="342">
        <f t="shared" si="40"/>
        <v>6.460800947112974E-2</v>
      </c>
      <c r="Q137" s="343">
        <f t="shared" si="41"/>
        <v>-2.0038266517043577</v>
      </c>
      <c r="R137" s="344">
        <f t="shared" si="42"/>
        <v>-92.194891395298029</v>
      </c>
      <c r="S137" s="346">
        <f t="shared" si="43"/>
        <v>87.805108604701971</v>
      </c>
      <c r="U137" s="319">
        <f t="shared" si="50"/>
        <v>7585.8</v>
      </c>
      <c r="V137" s="319">
        <f t="shared" si="51"/>
        <v>57544361.640000001</v>
      </c>
      <c r="X137" s="345">
        <f t="shared" si="44"/>
        <v>17.652611064084262</v>
      </c>
      <c r="Y137" s="346">
        <f t="shared" si="45"/>
        <v>-6.3791872127632958</v>
      </c>
      <c r="AA137" s="345">
        <f t="shared" si="46"/>
        <v>29.217512268865633</v>
      </c>
      <c r="AB137" s="346">
        <f t="shared" si="47"/>
        <v>-85.815704182534745</v>
      </c>
      <c r="AD137">
        <f t="shared" si="52"/>
        <v>0</v>
      </c>
      <c r="AE137">
        <f t="shared" si="53"/>
        <v>0</v>
      </c>
    </row>
    <row r="138" spans="1:31" x14ac:dyDescent="0.2">
      <c r="A138" s="347">
        <v>7674.15</v>
      </c>
      <c r="B138" s="364">
        <f t="shared" si="49"/>
        <v>7.67415</v>
      </c>
      <c r="C138" s="337">
        <f t="shared" si="27"/>
        <v>8.5503689230014395</v>
      </c>
      <c r="D138" s="338">
        <f t="shared" si="28"/>
        <v>1.4535740334096221</v>
      </c>
      <c r="E138" s="338">
        <f t="shared" si="29"/>
        <v>1.0001859815687522</v>
      </c>
      <c r="F138" s="339">
        <f t="shared" si="30"/>
        <v>1.9284851518193483E-2</v>
      </c>
      <c r="G138" s="338">
        <f t="shared" si="31"/>
        <v>1</v>
      </c>
      <c r="H138" s="339">
        <f t="shared" si="32"/>
        <v>0</v>
      </c>
      <c r="I138" s="337">
        <f t="shared" si="33"/>
        <v>120364.31616226735</v>
      </c>
      <c r="J138" s="340">
        <f t="shared" si="34"/>
        <v>1.5707880186847201</v>
      </c>
      <c r="K138" s="348">
        <f t="shared" si="35"/>
        <v>11.964273337770607</v>
      </c>
      <c r="L138" s="349">
        <f t="shared" si="36"/>
        <v>1.4871165263300223</v>
      </c>
      <c r="M138" s="337">
        <f t="shared" si="37"/>
        <v>1.0003648059814838</v>
      </c>
      <c r="N138" s="340">
        <f t="shared" si="38"/>
        <v>2.7007225446546095E-2</v>
      </c>
      <c r="O138" s="341">
        <f t="shared" si="39"/>
        <v>1.0014839673941225</v>
      </c>
      <c r="P138" s="342">
        <f t="shared" si="40"/>
        <v>6.5359331649589458E-2</v>
      </c>
      <c r="Q138" s="343">
        <f t="shared" si="41"/>
        <v>-2.1040537801413168</v>
      </c>
      <c r="R138" s="344">
        <f t="shared" si="42"/>
        <v>-92.264954096326619</v>
      </c>
      <c r="S138" s="346">
        <f t="shared" si="43"/>
        <v>87.735045903673381</v>
      </c>
      <c r="U138" s="319">
        <f t="shared" si="50"/>
        <v>7674.15</v>
      </c>
      <c r="V138" s="319">
        <f t="shared" si="51"/>
        <v>58892578.222499996</v>
      </c>
      <c r="X138" s="345">
        <f t="shared" si="44"/>
        <v>17.651827787115778</v>
      </c>
      <c r="Y138" s="346">
        <f t="shared" si="45"/>
        <v>-6.3414234191768584</v>
      </c>
      <c r="AA138" s="345">
        <f t="shared" si="46"/>
        <v>29.118068417397161</v>
      </c>
      <c r="AB138" s="346">
        <f t="shared" si="47"/>
        <v>-85.923530677149756</v>
      </c>
      <c r="AD138">
        <f t="shared" si="52"/>
        <v>0</v>
      </c>
      <c r="AE138">
        <f t="shared" si="53"/>
        <v>0</v>
      </c>
    </row>
    <row r="139" spans="1:31" x14ac:dyDescent="0.2">
      <c r="A139" s="347">
        <v>7762.5</v>
      </c>
      <c r="B139" s="364">
        <f t="shared" si="49"/>
        <v>7.7625000000000002</v>
      </c>
      <c r="C139" s="337">
        <f t="shared" si="27"/>
        <v>8.6474676523944058</v>
      </c>
      <c r="D139" s="338">
        <f t="shared" si="28"/>
        <v>1.4548962322054368</v>
      </c>
      <c r="E139" s="338">
        <f t="shared" si="29"/>
        <v>1.0001902881003266</v>
      </c>
      <c r="F139" s="339">
        <f t="shared" si="30"/>
        <v>1.9506815762250808E-2</v>
      </c>
      <c r="G139" s="338">
        <f t="shared" si="31"/>
        <v>1</v>
      </c>
      <c r="H139" s="339">
        <f t="shared" si="32"/>
        <v>0</v>
      </c>
      <c r="I139" s="337">
        <f t="shared" si="33"/>
        <v>121750.03149650065</v>
      </c>
      <c r="J139" s="340">
        <f t="shared" si="34"/>
        <v>1.5707881132446599</v>
      </c>
      <c r="K139" s="348">
        <f t="shared" si="35"/>
        <v>12.101057320056388</v>
      </c>
      <c r="L139" s="349">
        <f t="shared" si="36"/>
        <v>1.4880645751611989</v>
      </c>
      <c r="M139" s="337">
        <f t="shared" si="37"/>
        <v>1.0003732525433215</v>
      </c>
      <c r="N139" s="340">
        <f t="shared" si="38"/>
        <v>2.731799708630004E-2</v>
      </c>
      <c r="O139" s="341">
        <f t="shared" si="39"/>
        <v>1.0015183119677973</v>
      </c>
      <c r="P139" s="342">
        <f t="shared" si="40"/>
        <v>6.6110613904841534E-2</v>
      </c>
      <c r="Q139" s="343">
        <f t="shared" si="41"/>
        <v>-2.2031561913528237</v>
      </c>
      <c r="R139" s="344">
        <f t="shared" si="42"/>
        <v>-92.334530319582328</v>
      </c>
      <c r="S139" s="346">
        <f t="shared" si="43"/>
        <v>87.665469680417672</v>
      </c>
      <c r="U139" s="319">
        <f t="shared" si="50"/>
        <v>7762.5</v>
      </c>
      <c r="V139" s="319">
        <f t="shared" si="51"/>
        <v>60256406.25</v>
      </c>
      <c r="X139" s="345">
        <f t="shared" si="44"/>
        <v>17.651067692412155</v>
      </c>
      <c r="Y139" s="346">
        <f t="shared" si="45"/>
        <v>-6.3049155435721369</v>
      </c>
      <c r="AA139" s="345">
        <f t="shared" si="46"/>
        <v>29.019726100889276</v>
      </c>
      <c r="AB139" s="346">
        <f t="shared" si="47"/>
        <v>-86.029614776010163</v>
      </c>
      <c r="AD139">
        <f t="shared" si="52"/>
        <v>0</v>
      </c>
      <c r="AE139">
        <f t="shared" si="53"/>
        <v>0</v>
      </c>
    </row>
    <row r="140" spans="1:31" x14ac:dyDescent="0.2">
      <c r="A140" s="347">
        <v>7852.9</v>
      </c>
      <c r="B140" s="364">
        <f t="shared" si="49"/>
        <v>7.8529</v>
      </c>
      <c r="C140" s="337">
        <f t="shared" si="27"/>
        <v>8.7468346763956735</v>
      </c>
      <c r="D140" s="338">
        <f t="shared" si="28"/>
        <v>1.4562187227316601</v>
      </c>
      <c r="E140" s="338">
        <f t="shared" si="29"/>
        <v>1.0001947455624931</v>
      </c>
      <c r="F140" s="339">
        <f t="shared" si="30"/>
        <v>1.9733928290267155E-2</v>
      </c>
      <c r="G140" s="338">
        <f t="shared" si="31"/>
        <v>1</v>
      </c>
      <c r="H140" s="339">
        <f t="shared" si="32"/>
        <v>0</v>
      </c>
      <c r="I140" s="337">
        <f t="shared" si="33"/>
        <v>123167.89981811681</v>
      </c>
      <c r="J140" s="340">
        <f t="shared" si="34"/>
        <v>1.5707882077963469</v>
      </c>
      <c r="K140" s="348">
        <f t="shared" si="35"/>
        <v>12.241026127574937</v>
      </c>
      <c r="L140" s="349">
        <f t="shared" si="36"/>
        <v>1.4890126903091228</v>
      </c>
      <c r="M140" s="337">
        <f t="shared" si="37"/>
        <v>1.0003819950941808</v>
      </c>
      <c r="N140" s="340">
        <f t="shared" si="38"/>
        <v>2.7635974149487638E-2</v>
      </c>
      <c r="O140" s="341">
        <f t="shared" si="39"/>
        <v>1.0015538593692486</v>
      </c>
      <c r="P140" s="342">
        <f t="shared" si="40"/>
        <v>6.6879286491911633E-2</v>
      </c>
      <c r="Q140" s="343">
        <f t="shared" si="41"/>
        <v>-2.303420057664828</v>
      </c>
      <c r="R140" s="344">
        <f t="shared" si="42"/>
        <v>-92.405233715645124</v>
      </c>
      <c r="S140" s="346">
        <f t="shared" si="43"/>
        <v>87.594766284354876</v>
      </c>
      <c r="U140" s="319">
        <f t="shared" si="50"/>
        <v>7852.9</v>
      </c>
      <c r="V140" s="319">
        <f t="shared" si="51"/>
        <v>61668038.409999996</v>
      </c>
      <c r="X140" s="345">
        <f t="shared" si="44"/>
        <v>17.65031284169493</v>
      </c>
      <c r="Y140" s="346">
        <f t="shared" si="45"/>
        <v>-6.2688167081776518</v>
      </c>
      <c r="AA140" s="345">
        <f t="shared" si="46"/>
        <v>28.920217085294496</v>
      </c>
      <c r="AB140" s="346">
        <f t="shared" si="47"/>
        <v>-86.136417007467472</v>
      </c>
      <c r="AD140">
        <f t="shared" si="52"/>
        <v>0</v>
      </c>
      <c r="AE140">
        <f t="shared" si="53"/>
        <v>0</v>
      </c>
    </row>
    <row r="141" spans="1:31" x14ac:dyDescent="0.2">
      <c r="A141" s="347">
        <v>7943.3</v>
      </c>
      <c r="B141" s="364">
        <f t="shared" si="49"/>
        <v>7.9432999999999998</v>
      </c>
      <c r="C141" s="337">
        <f t="shared" ref="C141:C204" si="54">SQRT(1+(A141/pole1)^2)</f>
        <v>8.8462166547536452</v>
      </c>
      <c r="D141" s="338">
        <f t="shared" ref="D141:D204" si="55">ATAN(A141/pole1)</f>
        <v>1.4575115006891002</v>
      </c>
      <c r="E141" s="338">
        <f t="shared" ref="E141:E204" si="56">SQRT(1+(A141/Zero1)^2)</f>
        <v>1.0001992546143439</v>
      </c>
      <c r="F141" s="339">
        <f t="shared" ref="F141:F204" si="57">ATAN(A141/Zero1)</f>
        <v>1.996103878228149E-2</v>
      </c>
      <c r="G141" s="338">
        <f t="shared" ref="G141:G204" si="58">IF(VIN_nom&gt;Vout, 1, SQRT(1+(A141/z_RHP)^2))</f>
        <v>1</v>
      </c>
      <c r="H141" s="339">
        <f t="shared" ref="H141:H204" si="59">IF(VIN_nom&gt;Vout, 0, -ATAN(A141/z_RHP))</f>
        <v>0</v>
      </c>
      <c r="I141" s="337">
        <f t="shared" ref="I141:I204" si="60">SQRT(1+(A141/Pole2)^2)</f>
        <v>124585.76813973406</v>
      </c>
      <c r="J141" s="340">
        <f t="shared" ref="J141:J204" si="61">ATAN(A141/Pole2)</f>
        <v>1.5707883001959122</v>
      </c>
      <c r="K141" s="348">
        <f t="shared" ref="K141:K147" si="62">SQRT(1+(A141/Zero2)^2)</f>
        <v>12.381005690022457</v>
      </c>
      <c r="L141" s="349">
        <f t="shared" ref="L141:L147" si="63">ATAN(A141/Zero2)</f>
        <v>1.4899393675081674</v>
      </c>
      <c r="M141" s="337">
        <f t="shared" ref="M141:M204" si="64">SQRT(1+(A141/pole4)^2)</f>
        <v>1.0003908387913021</v>
      </c>
      <c r="N141" s="340">
        <f t="shared" ref="N141:N204" si="65">ATAN(A141/pole4)</f>
        <v>2.795394562283629E-2</v>
      </c>
      <c r="O141" s="341">
        <f t="shared" ref="O141:O204" si="66">SQRT((1-(V141/pterm2))^2+(A141/pterm1)^2)</f>
        <v>1.0015898173159625</v>
      </c>
      <c r="P141" s="342">
        <f t="shared" ref="P141:P204" si="67">IF((ATAN((A141/pterm1)/(1-A141^2/pterm2))&gt;0),ATAN((A141/pterm1)/(1-A141^2/pterm2)),PI()+ATAN((A141/pterm1)/(1-A141^2/pterm2)))</f>
        <v>6.7647916319217849E-2</v>
      </c>
      <c r="Q141" s="343">
        <f t="shared" ref="Q141:Q204" si="68">20*LOG10(((E141*K141*G141)/(C141*I141*O141*M141))*Adc)</f>
        <v>-2.4025585886850758</v>
      </c>
      <c r="R141" s="344">
        <f t="shared" ref="R141:R204" si="69">((F141+L141+H141)-(D141+J141+P141+N141))*radconv</f>
        <v>-92.475460234028461</v>
      </c>
      <c r="S141" s="346">
        <f t="shared" ref="S141:S204" si="70">IF(R141&gt;0,R141,R141+180)</f>
        <v>87.524539765971539</v>
      </c>
      <c r="U141" s="319">
        <f t="shared" si="50"/>
        <v>7943.3</v>
      </c>
      <c r="V141" s="319">
        <f t="shared" si="51"/>
        <v>63096014.890000001</v>
      </c>
      <c r="X141" s="345">
        <f t="shared" ref="X141:X204" si="71">20*LOG10((K141/(I141*M141))*AEA)</f>
        <v>17.649580060911493</v>
      </c>
      <c r="Y141" s="346">
        <f t="shared" ref="Y141:Y204" si="72">(L141-(J141+N141))*radconv</f>
        <v>-6.2339457331951094</v>
      </c>
      <c r="AA141" s="345">
        <f t="shared" ref="AA141:AA204" si="73">20*LOG10((E141*G141/(C141*O141))*Acs*Am)</f>
        <v>28.821811335057689</v>
      </c>
      <c r="AB141" s="346">
        <f t="shared" ref="AB141:AB204" si="74">(F141+H141-(D141+P141))*radconv</f>
        <v>-86.241514500833375</v>
      </c>
      <c r="AD141">
        <f t="shared" si="52"/>
        <v>0</v>
      </c>
      <c r="AE141">
        <f t="shared" si="53"/>
        <v>0</v>
      </c>
    </row>
    <row r="142" spans="1:31" x14ac:dyDescent="0.2">
      <c r="A142" s="347">
        <v>8035.8</v>
      </c>
      <c r="B142" s="364">
        <f t="shared" ref="B142:B205" si="75">A142/1000</f>
        <v>8.0358000000000001</v>
      </c>
      <c r="C142" s="337">
        <f t="shared" si="54"/>
        <v>8.9479222449694209</v>
      </c>
      <c r="D142" s="338">
        <f t="shared" si="55"/>
        <v>1.4588045823647622</v>
      </c>
      <c r="E142" s="338">
        <f t="shared" si="56"/>
        <v>1.0002039218123933</v>
      </c>
      <c r="F142" s="339">
        <f t="shared" si="57"/>
        <v>2.0193422939217543E-2</v>
      </c>
      <c r="G142" s="338">
        <f t="shared" si="58"/>
        <v>1</v>
      </c>
      <c r="H142" s="339">
        <f t="shared" si="59"/>
        <v>0</v>
      </c>
      <c r="I142" s="337">
        <f t="shared" si="60"/>
        <v>126036.57366793862</v>
      </c>
      <c r="J142" s="340">
        <f t="shared" si="61"/>
        <v>1.5707883925899995</v>
      </c>
      <c r="K142" s="348">
        <f t="shared" si="62"/>
        <v>12.524247746514151</v>
      </c>
      <c r="L142" s="349">
        <f t="shared" si="63"/>
        <v>1.4908661289456828</v>
      </c>
      <c r="M142" s="337">
        <f t="shared" si="64"/>
        <v>1.0003999926235003</v>
      </c>
      <c r="N142" s="340">
        <f t="shared" si="65"/>
        <v>2.8279297748608885E-2</v>
      </c>
      <c r="O142" s="341">
        <f t="shared" si="66"/>
        <v>1.0016270354933787</v>
      </c>
      <c r="P142" s="342">
        <f t="shared" si="67"/>
        <v>6.8434356716770367E-2</v>
      </c>
      <c r="Q142" s="343">
        <f t="shared" si="68"/>
        <v>-2.5028614349191343</v>
      </c>
      <c r="R142" s="344">
        <f t="shared" si="69"/>
        <v>-92.546840519359876</v>
      </c>
      <c r="S142" s="346">
        <f t="shared" si="70"/>
        <v>87.453159480640124</v>
      </c>
      <c r="U142" s="319">
        <f t="shared" ref="U142:U205" si="76">IF(Q142&lt;0,A142,1000000000)</f>
        <v>8035.8</v>
      </c>
      <c r="V142" s="319">
        <f t="shared" ref="V142:V205" si="77">A142^2</f>
        <v>64574081.640000001</v>
      </c>
      <c r="X142" s="345">
        <f t="shared" si="71"/>
        <v>17.648852037294358</v>
      </c>
      <c r="Y142" s="346">
        <f t="shared" si="72"/>
        <v>-6.1994928116242516</v>
      </c>
      <c r="AA142" s="345">
        <f t="shared" si="73"/>
        <v>28.722236512440766</v>
      </c>
      <c r="AB142" s="346">
        <f t="shared" si="74"/>
        <v>-86.347347707735651</v>
      </c>
      <c r="AD142">
        <f t="shared" ref="AD142:AD205" si="78">SUM((Q143&lt;0)*(Q142&gt;0))*A142</f>
        <v>0</v>
      </c>
      <c r="AE142">
        <f t="shared" si="53"/>
        <v>0</v>
      </c>
    </row>
    <row r="143" spans="1:31" x14ac:dyDescent="0.2">
      <c r="A143" s="347">
        <v>8128.3</v>
      </c>
      <c r="B143" s="364">
        <f t="shared" si="75"/>
        <v>8.1282999999999994</v>
      </c>
      <c r="C143" s="337">
        <f t="shared" si="54"/>
        <v>9.0496424603428789</v>
      </c>
      <c r="D143" s="338">
        <f t="shared" si="55"/>
        <v>1.4600685969999949</v>
      </c>
      <c r="E143" s="338">
        <f t="shared" si="56"/>
        <v>1.0002086430233457</v>
      </c>
      <c r="F143" s="339">
        <f t="shared" si="57"/>
        <v>2.0425804914891148E-2</v>
      </c>
      <c r="G143" s="338">
        <f t="shared" si="58"/>
        <v>1</v>
      </c>
      <c r="H143" s="339">
        <f t="shared" si="59"/>
        <v>0</v>
      </c>
      <c r="I143" s="337">
        <f t="shared" si="60"/>
        <v>127487.37919614422</v>
      </c>
      <c r="J143" s="340">
        <f t="shared" si="61"/>
        <v>1.5707884828811984</v>
      </c>
      <c r="K143" s="348">
        <f t="shared" si="62"/>
        <v>12.667500316636293</v>
      </c>
      <c r="L143" s="349">
        <f t="shared" si="63"/>
        <v>1.4917719302696149</v>
      </c>
      <c r="M143" s="337">
        <f t="shared" si="64"/>
        <v>1.0004092523501003</v>
      </c>
      <c r="N143" s="340">
        <f t="shared" si="65"/>
        <v>2.8604643885941552E-2</v>
      </c>
      <c r="O143" s="341">
        <f t="shared" si="66"/>
        <v>1.0016646834357921</v>
      </c>
      <c r="P143" s="342">
        <f t="shared" si="67"/>
        <v>6.9220751314694087E-2</v>
      </c>
      <c r="Q143" s="343">
        <f t="shared" si="68"/>
        <v>-2.6020383150302373</v>
      </c>
      <c r="R143" s="344">
        <f t="shared" si="69"/>
        <v>-92.617753349250449</v>
      </c>
      <c r="S143" s="346">
        <f t="shared" si="70"/>
        <v>87.382246650749551</v>
      </c>
      <c r="U143" s="319">
        <f t="shared" si="76"/>
        <v>8128.3</v>
      </c>
      <c r="V143" s="319">
        <f t="shared" si="77"/>
        <v>66069260.890000001</v>
      </c>
      <c r="X143" s="345">
        <f t="shared" si="71"/>
        <v>17.648145018122037</v>
      </c>
      <c r="Y143" s="346">
        <f t="shared" si="72"/>
        <v>-6.1662403525022622</v>
      </c>
      <c r="AA143" s="345">
        <f t="shared" si="73"/>
        <v>28.623766651501981</v>
      </c>
      <c r="AB143" s="346">
        <f t="shared" si="74"/>
        <v>-86.451512996748193</v>
      </c>
      <c r="AD143">
        <f t="shared" si="78"/>
        <v>0</v>
      </c>
      <c r="AE143">
        <f t="shared" si="53"/>
        <v>0</v>
      </c>
    </row>
    <row r="144" spans="1:31" x14ac:dyDescent="0.2">
      <c r="A144" s="347">
        <v>8222.9500000000007</v>
      </c>
      <c r="B144" s="364">
        <f t="shared" si="75"/>
        <v>8.2229500000000009</v>
      </c>
      <c r="C144" s="337">
        <f t="shared" si="54"/>
        <v>9.1537416138336365</v>
      </c>
      <c r="D144" s="338">
        <f t="shared" si="55"/>
        <v>1.4613329098159902</v>
      </c>
      <c r="E144" s="338">
        <f t="shared" si="56"/>
        <v>1.0002135298804002</v>
      </c>
      <c r="F144" s="339">
        <f t="shared" si="57"/>
        <v>2.0663585917301032E-2</v>
      </c>
      <c r="G144" s="338">
        <f t="shared" si="58"/>
        <v>1</v>
      </c>
      <c r="H144" s="339">
        <f t="shared" si="59"/>
        <v>0</v>
      </c>
      <c r="I144" s="337">
        <f t="shared" si="60"/>
        <v>128971.90615014161</v>
      </c>
      <c r="J144" s="340">
        <f t="shared" si="61"/>
        <v>1.5707885731683133</v>
      </c>
      <c r="K144" s="348">
        <f t="shared" si="62"/>
        <v>12.814093056295899</v>
      </c>
      <c r="L144" s="349">
        <f t="shared" si="63"/>
        <v>1.4926778205774098</v>
      </c>
      <c r="M144" s="337">
        <f t="shared" si="64"/>
        <v>1.0004188369147113</v>
      </c>
      <c r="N144" s="340">
        <f t="shared" si="65"/>
        <v>2.8937545852165129E-2</v>
      </c>
      <c r="O144" s="341">
        <f t="shared" si="66"/>
        <v>1.0017036512625925</v>
      </c>
      <c r="P144" s="342">
        <f t="shared" si="67"/>
        <v>7.0025376321606506E-2</v>
      </c>
      <c r="Q144" s="343">
        <f t="shared" si="68"/>
        <v>-2.7023810691757717</v>
      </c>
      <c r="R144" s="344">
        <f t="shared" si="69"/>
        <v>-92.689846266162334</v>
      </c>
      <c r="S144" s="346">
        <f t="shared" si="70"/>
        <v>87.310153733837666</v>
      </c>
      <c r="U144" s="319">
        <f t="shared" si="76"/>
        <v>8222.9500000000007</v>
      </c>
      <c r="V144" s="319">
        <f t="shared" si="77"/>
        <v>67616906.702500015</v>
      </c>
      <c r="X144" s="345">
        <f t="shared" si="71"/>
        <v>17.64744229012183</v>
      </c>
      <c r="Y144" s="346">
        <f t="shared" si="72"/>
        <v>-6.1334157118531483</v>
      </c>
      <c r="AA144" s="345">
        <f t="shared" si="73"/>
        <v>28.524126625356651</v>
      </c>
      <c r="AB144" s="346">
        <f t="shared" si="74"/>
        <v>-86.556430554309202</v>
      </c>
      <c r="AD144">
        <f t="shared" si="78"/>
        <v>0</v>
      </c>
      <c r="AE144">
        <f t="shared" si="53"/>
        <v>0</v>
      </c>
    </row>
    <row r="145" spans="1:31" x14ac:dyDescent="0.2">
      <c r="A145" s="347">
        <v>8270.2750000000015</v>
      </c>
      <c r="B145" s="364">
        <f t="shared" si="75"/>
        <v>8.2702750000000016</v>
      </c>
      <c r="C145" s="337">
        <f t="shared" si="54"/>
        <v>9.2057965845563103</v>
      </c>
      <c r="D145" s="338">
        <f t="shared" si="55"/>
        <v>1.4619543430904445</v>
      </c>
      <c r="E145" s="338">
        <f t="shared" si="56"/>
        <v>1.0002159945157263</v>
      </c>
      <c r="F145" s="339">
        <f t="shared" si="57"/>
        <v>2.0782475543831846E-2</v>
      </c>
      <c r="G145" s="338">
        <f t="shared" si="58"/>
        <v>1</v>
      </c>
      <c r="H145" s="339">
        <f t="shared" si="59"/>
        <v>0</v>
      </c>
      <c r="I145" s="337">
        <f t="shared" si="60"/>
        <v>129714.1696271407</v>
      </c>
      <c r="J145" s="340">
        <f t="shared" si="61"/>
        <v>1.5707886175368959</v>
      </c>
      <c r="K145" s="348">
        <f t="shared" si="62"/>
        <v>12.887393302237049</v>
      </c>
      <c r="L145" s="349">
        <f t="shared" si="63"/>
        <v>1.4931230372438564</v>
      </c>
      <c r="M145" s="337">
        <f t="shared" si="64"/>
        <v>1.0004236707727192</v>
      </c>
      <c r="N145" s="340">
        <f t="shared" si="65"/>
        <v>2.9103994434026829E-2</v>
      </c>
      <c r="O145" s="341">
        <f t="shared" si="66"/>
        <v>1.0017233038882856</v>
      </c>
      <c r="P145" s="342">
        <f t="shared" si="67"/>
        <v>7.0427670463836634E-2</v>
      </c>
      <c r="Q145" s="343">
        <f t="shared" si="68"/>
        <v>-2.7521283862241481</v>
      </c>
      <c r="R145" s="344">
        <f t="shared" si="69"/>
        <v>-92.725719960145909</v>
      </c>
      <c r="S145" s="346">
        <f t="shared" si="70"/>
        <v>87.274280039854091</v>
      </c>
      <c r="U145" s="319">
        <f t="shared" si="76"/>
        <v>8270.2750000000015</v>
      </c>
      <c r="V145" s="319">
        <f t="shared" si="77"/>
        <v>68397448.575625017</v>
      </c>
      <c r="X145" s="345">
        <f t="shared" si="71"/>
        <v>17.64709847924474</v>
      </c>
      <c r="Y145" s="346">
        <f t="shared" si="72"/>
        <v>-6.1174460192577564</v>
      </c>
      <c r="AA145" s="345">
        <f t="shared" si="73"/>
        <v>28.47472311918537</v>
      </c>
      <c r="AB145" s="346">
        <f t="shared" si="74"/>
        <v>-86.608273940888182</v>
      </c>
      <c r="AD145">
        <f t="shared" si="78"/>
        <v>0</v>
      </c>
      <c r="AE145">
        <f t="shared" si="53"/>
        <v>0</v>
      </c>
    </row>
    <row r="146" spans="1:31" x14ac:dyDescent="0.2">
      <c r="A146" s="347">
        <v>8317.6</v>
      </c>
      <c r="B146" s="364">
        <f t="shared" si="75"/>
        <v>8.3176000000000005</v>
      </c>
      <c r="C146" s="337">
        <f t="shared" si="54"/>
        <v>9.2578550703873734</v>
      </c>
      <c r="D146" s="338">
        <f t="shared" si="55"/>
        <v>1.4625687877510223</v>
      </c>
      <c r="E146" s="338">
        <f t="shared" si="56"/>
        <v>1.0002184732887787</v>
      </c>
      <c r="F146" s="339">
        <f t="shared" si="57"/>
        <v>2.0901364582771056E-2</v>
      </c>
      <c r="G146" s="338">
        <f t="shared" si="58"/>
        <v>1</v>
      </c>
      <c r="H146" s="339">
        <f t="shared" si="59"/>
        <v>0</v>
      </c>
      <c r="I146" s="337">
        <f t="shared" si="60"/>
        <v>130456.43310414</v>
      </c>
      <c r="J146" s="340">
        <f t="shared" si="61"/>
        <v>1.5707886614005866</v>
      </c>
      <c r="K146" s="348">
        <f t="shared" si="62"/>
        <v>12.960696073795194</v>
      </c>
      <c r="L146" s="349">
        <f t="shared" si="63"/>
        <v>1.4935632179067881</v>
      </c>
      <c r="M146" s="337">
        <f t="shared" si="64"/>
        <v>1.0004285323473272</v>
      </c>
      <c r="N146" s="340">
        <f t="shared" si="65"/>
        <v>2.9270441402788769E-2</v>
      </c>
      <c r="O146" s="341">
        <f t="shared" si="66"/>
        <v>1.0017430689817477</v>
      </c>
      <c r="P146" s="342">
        <f t="shared" si="67"/>
        <v>7.0829952272344218E-2</v>
      </c>
      <c r="Q146" s="343">
        <f t="shared" si="68"/>
        <v>-2.8015972435991183</v>
      </c>
      <c r="R146" s="344">
        <f t="shared" si="69"/>
        <v>-92.761480983440947</v>
      </c>
      <c r="S146" s="346">
        <f t="shared" si="70"/>
        <v>87.238519016559053</v>
      </c>
      <c r="U146" s="319">
        <f t="shared" si="76"/>
        <v>8317.6</v>
      </c>
      <c r="V146" s="319">
        <f t="shared" si="77"/>
        <v>69182469.760000005</v>
      </c>
      <c r="X146" s="345">
        <f t="shared" si="71"/>
        <v>17.646759545024349</v>
      </c>
      <c r="Y146" s="346">
        <f t="shared" si="72"/>
        <v>-6.1017647470577323</v>
      </c>
      <c r="AA146" s="345">
        <f t="shared" si="73"/>
        <v>28.425593196030789</v>
      </c>
      <c r="AB146" s="346">
        <f t="shared" si="74"/>
        <v>-86.65971623638319</v>
      </c>
      <c r="AD146">
        <f t="shared" si="78"/>
        <v>0</v>
      </c>
      <c r="AE146">
        <f t="shared" si="53"/>
        <v>0</v>
      </c>
    </row>
    <row r="147" spans="1:31" x14ac:dyDescent="0.2">
      <c r="A147" s="347">
        <v>8366.0499999999993</v>
      </c>
      <c r="B147" s="364">
        <f t="shared" si="75"/>
        <v>8.3660499999999995</v>
      </c>
      <c r="C147" s="337">
        <f t="shared" si="54"/>
        <v>9.3111546595339263</v>
      </c>
      <c r="D147" s="338">
        <f t="shared" si="55"/>
        <v>1.4631907209897397</v>
      </c>
      <c r="E147" s="338">
        <f t="shared" si="56"/>
        <v>1.0002210256324353</v>
      </c>
      <c r="F147" s="339">
        <f t="shared" si="57"/>
        <v>2.1023079214858832E-2</v>
      </c>
      <c r="G147" s="338">
        <f t="shared" si="58"/>
        <v>1</v>
      </c>
      <c r="H147" s="339">
        <f t="shared" si="59"/>
        <v>0</v>
      </c>
      <c r="I147" s="337">
        <f t="shared" si="60"/>
        <v>131216.3415132394</v>
      </c>
      <c r="J147" s="340">
        <f t="shared" si="61"/>
        <v>1.5707887057929049</v>
      </c>
      <c r="K147" s="348">
        <f t="shared" si="62"/>
        <v>13.035743955405472</v>
      </c>
      <c r="L147" s="349">
        <f t="shared" si="63"/>
        <v>1.4940087339834076</v>
      </c>
      <c r="M147" s="337">
        <f t="shared" si="64"/>
        <v>1.0004335382025886</v>
      </c>
      <c r="N147" s="340">
        <f t="shared" si="65"/>
        <v>2.9440843433392604E-2</v>
      </c>
      <c r="O147" s="341">
        <f t="shared" si="66"/>
        <v>1.0017634204311709</v>
      </c>
      <c r="P147" s="342">
        <f t="shared" si="67"/>
        <v>7.1241784190115384E-2</v>
      </c>
      <c r="Q147" s="343">
        <f t="shared" si="68"/>
        <v>-2.8519568530626054</v>
      </c>
      <c r="R147" s="344">
        <f t="shared" si="69"/>
        <v>-92.797977299004486</v>
      </c>
      <c r="S147" s="346">
        <f t="shared" si="70"/>
        <v>87.202022700995514</v>
      </c>
      <c r="U147" s="319">
        <f t="shared" si="76"/>
        <v>8366.0499999999993</v>
      </c>
      <c r="V147" s="319">
        <f t="shared" si="77"/>
        <v>69990792.602499992</v>
      </c>
      <c r="X147" s="345">
        <f t="shared" si="71"/>
        <v>17.646417485706422</v>
      </c>
      <c r="Y147" s="346">
        <f t="shared" si="72"/>
        <v>-6.0860044168107441</v>
      </c>
      <c r="AA147" s="345">
        <f t="shared" si="73"/>
        <v>28.375575645885235</v>
      </c>
      <c r="AB147" s="346">
        <f t="shared" si="74"/>
        <v>-86.711972882193777</v>
      </c>
      <c r="AD147">
        <f t="shared" si="78"/>
        <v>0</v>
      </c>
      <c r="AE147">
        <f t="shared" si="53"/>
        <v>0</v>
      </c>
    </row>
    <row r="148" spans="1:31" x14ac:dyDescent="0.2">
      <c r="A148" s="350">
        <v>8414.5</v>
      </c>
      <c r="B148" s="364">
        <f t="shared" si="75"/>
        <v>8.4145000000000003</v>
      </c>
      <c r="C148" s="337">
        <f t="shared" si="54"/>
        <v>9.3644578092452093</v>
      </c>
      <c r="D148" s="338">
        <f t="shared" si="55"/>
        <v>1.4638055742889255</v>
      </c>
      <c r="E148" s="338">
        <f t="shared" si="56"/>
        <v>1.0002235927937426</v>
      </c>
      <c r="F148" s="339">
        <f t="shared" si="57"/>
        <v>2.1144793223967232E-2</v>
      </c>
      <c r="G148" s="338">
        <f t="shared" si="58"/>
        <v>1</v>
      </c>
      <c r="H148" s="339">
        <f t="shared" si="59"/>
        <v>0</v>
      </c>
      <c r="I148" s="337">
        <f t="shared" si="60"/>
        <v>131976.24992233908</v>
      </c>
      <c r="J148" s="340">
        <f t="shared" si="61"/>
        <v>1.5707887496740085</v>
      </c>
      <c r="K148" s="348">
        <f t="shared" ref="K148:K157" si="79">SQRT(1+(A148/Zero2)^2)</f>
        <v>13.110794394788389</v>
      </c>
      <c r="L148" s="349">
        <f t="shared" ref="L148:L157" si="80">ATAN(A148/Zero2)</f>
        <v>1.4944491495895742</v>
      </c>
      <c r="M148" s="337">
        <f t="shared" si="64"/>
        <v>1.0004385731069998</v>
      </c>
      <c r="N148" s="340">
        <f t="shared" si="65"/>
        <v>2.9611243753780644E-2</v>
      </c>
      <c r="O148" s="341">
        <f t="shared" si="66"/>
        <v>1.0017838897476432</v>
      </c>
      <c r="P148" s="342">
        <f t="shared" si="67"/>
        <v>7.1653603033064908E-2</v>
      </c>
      <c r="Q148" s="343">
        <f t="shared" si="68"/>
        <v>-2.9020311659876334</v>
      </c>
      <c r="R148" s="344">
        <f t="shared" si="69"/>
        <v>-92.834359358627495</v>
      </c>
      <c r="S148" s="346">
        <f t="shared" si="70"/>
        <v>87.165640641372505</v>
      </c>
      <c r="U148" s="319">
        <f t="shared" si="76"/>
        <v>8414.5</v>
      </c>
      <c r="V148" s="319">
        <f t="shared" si="77"/>
        <v>70803810.25</v>
      </c>
      <c r="X148" s="345">
        <f t="shared" si="71"/>
        <v>17.646080297434988</v>
      </c>
      <c r="Y148" s="346">
        <f t="shared" si="72"/>
        <v>-6.0705361947159728</v>
      </c>
      <c r="AA148" s="345">
        <f t="shared" si="73"/>
        <v>28.325838521231631</v>
      </c>
      <c r="AB148" s="346">
        <f t="shared" si="74"/>
        <v>-86.763823163911511</v>
      </c>
      <c r="AD148">
        <f t="shared" si="78"/>
        <v>0</v>
      </c>
      <c r="AE148">
        <f t="shared" si="53"/>
        <v>0</v>
      </c>
    </row>
    <row r="149" spans="1:31" x14ac:dyDescent="0.2">
      <c r="A149" s="350">
        <v>8462.9500000000007</v>
      </c>
      <c r="B149" s="364">
        <f t="shared" si="75"/>
        <v>8.4629500000000011</v>
      </c>
      <c r="C149" s="337">
        <f t="shared" si="54"/>
        <v>9.4177644590644132</v>
      </c>
      <c r="D149" s="338">
        <f t="shared" si="55"/>
        <v>1.4644134674018194</v>
      </c>
      <c r="E149" s="338">
        <f t="shared" si="56"/>
        <v>1.000226174772586</v>
      </c>
      <c r="F149" s="339">
        <f t="shared" si="57"/>
        <v>2.1266506606494862E-2</v>
      </c>
      <c r="G149" s="338">
        <f t="shared" si="58"/>
        <v>1</v>
      </c>
      <c r="H149" s="339">
        <f t="shared" si="59"/>
        <v>0</v>
      </c>
      <c r="I149" s="337">
        <f t="shared" si="60"/>
        <v>132736.15833143902</v>
      </c>
      <c r="J149" s="340">
        <f t="shared" si="61"/>
        <v>1.5707887930526776</v>
      </c>
      <c r="K149" s="348">
        <f t="shared" si="79"/>
        <v>13.185847348269402</v>
      </c>
      <c r="L149" s="349">
        <f t="shared" si="80"/>
        <v>1.494884551647562</v>
      </c>
      <c r="M149" s="337">
        <f t="shared" si="64"/>
        <v>1.0004436370601215</v>
      </c>
      <c r="N149" s="340">
        <f t="shared" si="65"/>
        <v>2.9781642354083204E-2</v>
      </c>
      <c r="O149" s="341">
        <f t="shared" si="66"/>
        <v>1.0018044769253514</v>
      </c>
      <c r="P149" s="342">
        <f t="shared" si="67"/>
        <v>7.2065408726480651E-2</v>
      </c>
      <c r="Q149" s="343">
        <f t="shared" si="68"/>
        <v>-2.9518234175835136</v>
      </c>
      <c r="R149" s="344">
        <f t="shared" si="69"/>
        <v>-92.870629039248826</v>
      </c>
      <c r="S149" s="346">
        <f t="shared" si="70"/>
        <v>87.129370960751174</v>
      </c>
      <c r="U149" s="319">
        <f t="shared" si="76"/>
        <v>8462.9500000000007</v>
      </c>
      <c r="V149" s="319">
        <f t="shared" si="77"/>
        <v>71621522.702500015</v>
      </c>
      <c r="X149" s="345">
        <f t="shared" si="71"/>
        <v>17.645747863801024</v>
      </c>
      <c r="Y149" s="346">
        <f t="shared" si="72"/>
        <v>-6.0553551004315507</v>
      </c>
      <c r="AA149" s="345">
        <f t="shared" si="73"/>
        <v>28.276378703269721</v>
      </c>
      <c r="AB149" s="346">
        <f t="shared" si="74"/>
        <v>-86.815273938817285</v>
      </c>
      <c r="AD149">
        <f t="shared" si="78"/>
        <v>0</v>
      </c>
      <c r="AE149">
        <f t="shared" si="53"/>
        <v>0</v>
      </c>
    </row>
    <row r="150" spans="1:31" x14ac:dyDescent="0.2">
      <c r="A150" s="350">
        <v>8511.4</v>
      </c>
      <c r="B150" s="364">
        <f t="shared" si="75"/>
        <v>8.5114000000000001</v>
      </c>
      <c r="C150" s="337">
        <f t="shared" si="54"/>
        <v>9.4710745498919024</v>
      </c>
      <c r="D150" s="338">
        <f t="shared" si="55"/>
        <v>1.4650145174062712</v>
      </c>
      <c r="E150" s="338">
        <f t="shared" si="56"/>
        <v>1.0002287715688507</v>
      </c>
      <c r="F150" s="339">
        <f t="shared" si="57"/>
        <v>2.1388219358840416E-2</v>
      </c>
      <c r="G150" s="338">
        <f t="shared" si="58"/>
        <v>1</v>
      </c>
      <c r="H150" s="339">
        <f t="shared" si="59"/>
        <v>0</v>
      </c>
      <c r="I150" s="337">
        <f t="shared" si="60"/>
        <v>133496.06674053916</v>
      </c>
      <c r="J150" s="340">
        <f t="shared" si="61"/>
        <v>1.5707888359374922</v>
      </c>
      <c r="K150" s="348">
        <f t="shared" si="79"/>
        <v>13.260902773161254</v>
      </c>
      <c r="L150" s="349">
        <f t="shared" si="80"/>
        <v>1.4953150251194616</v>
      </c>
      <c r="M150" s="337">
        <f t="shared" si="64"/>
        <v>1.0004487300615132</v>
      </c>
      <c r="N150" s="340">
        <f t="shared" si="65"/>
        <v>2.9952039224431192E-2</v>
      </c>
      <c r="O150" s="341">
        <f t="shared" si="66"/>
        <v>1.0018251819584483</v>
      </c>
      <c r="P150" s="342">
        <f t="shared" si="67"/>
        <v>7.247720119566782E-2</v>
      </c>
      <c r="Q150" s="343">
        <f t="shared" si="68"/>
        <v>-3.0013367888337719</v>
      </c>
      <c r="R150" s="344">
        <f t="shared" si="69"/>
        <v>-92.906788176818807</v>
      </c>
      <c r="S150" s="346">
        <f t="shared" si="70"/>
        <v>87.093211823181193</v>
      </c>
      <c r="U150" s="319">
        <f t="shared" si="76"/>
        <v>8511.4</v>
      </c>
      <c r="V150" s="319">
        <f t="shared" si="77"/>
        <v>72443929.959999993</v>
      </c>
      <c r="X150" s="345">
        <f t="shared" si="71"/>
        <v>17.645420071680562</v>
      </c>
      <c r="Y150" s="346">
        <f t="shared" si="72"/>
        <v>-6.0404562659144023</v>
      </c>
      <c r="AA150" s="345">
        <f t="shared" si="73"/>
        <v>28.227193124139923</v>
      </c>
      <c r="AB150" s="346">
        <f t="shared" si="74"/>
        <v>-86.866331910904407</v>
      </c>
      <c r="AD150">
        <f t="shared" si="78"/>
        <v>0</v>
      </c>
      <c r="AE150">
        <f t="shared" si="53"/>
        <v>0</v>
      </c>
    </row>
    <row r="151" spans="1:31" x14ac:dyDescent="0.2">
      <c r="A151" s="350">
        <v>8560.9500000000007</v>
      </c>
      <c r="B151" s="364">
        <f t="shared" si="75"/>
        <v>8.5609500000000001</v>
      </c>
      <c r="C151" s="337">
        <f t="shared" si="54"/>
        <v>9.5255984822124553</v>
      </c>
      <c r="D151" s="338">
        <f t="shared" si="55"/>
        <v>1.4656222549072817</v>
      </c>
      <c r="E151" s="338">
        <f t="shared" si="56"/>
        <v>1.0002314426480443</v>
      </c>
      <c r="F151" s="339">
        <f t="shared" si="57"/>
        <v>2.1512694799849734E-2</v>
      </c>
      <c r="G151" s="338">
        <f t="shared" si="58"/>
        <v>1</v>
      </c>
      <c r="H151" s="339">
        <f t="shared" si="59"/>
        <v>0</v>
      </c>
      <c r="I151" s="337">
        <f t="shared" si="60"/>
        <v>134273.22797213722</v>
      </c>
      <c r="J151" s="340">
        <f t="shared" si="61"/>
        <v>1.5707888792938935</v>
      </c>
      <c r="K151" s="348">
        <f t="shared" si="79"/>
        <v>13.337664755520441</v>
      </c>
      <c r="L151" s="349">
        <f t="shared" si="80"/>
        <v>1.4957502608257855</v>
      </c>
      <c r="M151" s="337">
        <f t="shared" si="64"/>
        <v>1.0004539687380374</v>
      </c>
      <c r="N151" s="340">
        <f t="shared" si="65"/>
        <v>3.0126302954774649E-2</v>
      </c>
      <c r="O151" s="341">
        <f t="shared" si="66"/>
        <v>1.0018464789681434</v>
      </c>
      <c r="P151" s="342">
        <f t="shared" si="67"/>
        <v>7.2898329170459519E-2</v>
      </c>
      <c r="Q151" s="343">
        <f t="shared" si="68"/>
        <v>-3.0516891124409211</v>
      </c>
      <c r="R151" s="344">
        <f t="shared" si="69"/>
        <v>-92.943655800232207</v>
      </c>
      <c r="S151" s="346">
        <f t="shared" si="70"/>
        <v>87.056344199767793</v>
      </c>
      <c r="U151" s="319">
        <f t="shared" si="76"/>
        <v>8560.9500000000007</v>
      </c>
      <c r="V151" s="319">
        <f t="shared" si="77"/>
        <v>73289864.902500018</v>
      </c>
      <c r="X151" s="345">
        <f t="shared" si="71"/>
        <v>17.645089523642749</v>
      </c>
      <c r="Y151" s="346">
        <f t="shared" si="72"/>
        <v>-6.0255061572412592</v>
      </c>
      <c r="AA151" s="345">
        <f t="shared" si="73"/>
        <v>28.177171348570585</v>
      </c>
      <c r="AB151" s="346">
        <f t="shared" si="74"/>
        <v>-86.91814964299094</v>
      </c>
      <c r="AD151">
        <f t="shared" si="78"/>
        <v>0</v>
      </c>
      <c r="AE151">
        <f t="shared" si="53"/>
        <v>0</v>
      </c>
    </row>
    <row r="152" spans="1:31" x14ac:dyDescent="0.2">
      <c r="A152" s="350">
        <v>8610.5</v>
      </c>
      <c r="B152" s="364">
        <f t="shared" si="75"/>
        <v>8.6105</v>
      </c>
      <c r="C152" s="337">
        <f t="shared" si="54"/>
        <v>9.5801258927161577</v>
      </c>
      <c r="D152" s="338">
        <f t="shared" si="55"/>
        <v>1.4662230744826477</v>
      </c>
      <c r="E152" s="338">
        <f t="shared" si="56"/>
        <v>1.0002341292248766</v>
      </c>
      <c r="F152" s="339">
        <f t="shared" si="57"/>
        <v>2.1637169574118556E-2</v>
      </c>
      <c r="G152" s="338">
        <f t="shared" si="58"/>
        <v>1</v>
      </c>
      <c r="H152" s="339">
        <f t="shared" si="59"/>
        <v>0</v>
      </c>
      <c r="I152" s="337">
        <f t="shared" si="60"/>
        <v>135050.38920373551</v>
      </c>
      <c r="J152" s="340">
        <f t="shared" si="61"/>
        <v>1.5707889221512972</v>
      </c>
      <c r="K152" s="348">
        <f t="shared" si="79"/>
        <v>13.414429235519144</v>
      </c>
      <c r="L152" s="349">
        <f t="shared" si="80"/>
        <v>1.4961805153136574</v>
      </c>
      <c r="M152" s="337">
        <f t="shared" si="64"/>
        <v>1.0004592377958765</v>
      </c>
      <c r="N152" s="340">
        <f t="shared" si="65"/>
        <v>3.030056485484163E-2</v>
      </c>
      <c r="O152" s="341">
        <f t="shared" si="66"/>
        <v>1.0018678992330372</v>
      </c>
      <c r="P152" s="342">
        <f t="shared" si="67"/>
        <v>7.3319443155757225E-2</v>
      </c>
      <c r="Q152" s="343">
        <f t="shared" si="68"/>
        <v>-3.1017563098378531</v>
      </c>
      <c r="R152" s="344">
        <f t="shared" si="69"/>
        <v>-92.980411561702027</v>
      </c>
      <c r="S152" s="346">
        <f t="shared" si="70"/>
        <v>87.019588438297973</v>
      </c>
      <c r="U152" s="319">
        <f t="shared" si="76"/>
        <v>8610.5</v>
      </c>
      <c r="V152" s="319">
        <f t="shared" si="77"/>
        <v>74140710.25</v>
      </c>
      <c r="X152" s="345">
        <f t="shared" si="71"/>
        <v>17.644763600993496</v>
      </c>
      <c r="Y152" s="346">
        <f t="shared" si="72"/>
        <v>-6.010841317904994</v>
      </c>
      <c r="AA152" s="345">
        <f t="shared" si="73"/>
        <v>28.127430073822907</v>
      </c>
      <c r="AB152" s="346">
        <f t="shared" si="74"/>
        <v>-86.969570243797051</v>
      </c>
      <c r="AD152">
        <f t="shared" si="78"/>
        <v>0</v>
      </c>
      <c r="AE152">
        <f t="shared" si="53"/>
        <v>0</v>
      </c>
    </row>
    <row r="153" spans="1:31" x14ac:dyDescent="0.2">
      <c r="A153" s="350">
        <v>8660.0499999999993</v>
      </c>
      <c r="B153" s="364">
        <f t="shared" si="75"/>
        <v>8.66005</v>
      </c>
      <c r="C153" s="337">
        <f t="shared" si="54"/>
        <v>9.6346567223486055</v>
      </c>
      <c r="D153" s="338">
        <f t="shared" si="55"/>
        <v>1.4668170931583897</v>
      </c>
      <c r="E153" s="338">
        <f t="shared" si="56"/>
        <v>1.0002368312992223</v>
      </c>
      <c r="F153" s="339">
        <f t="shared" si="57"/>
        <v>2.176164367779505E-2</v>
      </c>
      <c r="G153" s="338">
        <f t="shared" si="58"/>
        <v>1</v>
      </c>
      <c r="H153" s="339">
        <f t="shared" si="59"/>
        <v>0</v>
      </c>
      <c r="I153" s="337">
        <f t="shared" si="60"/>
        <v>135827.55043533404</v>
      </c>
      <c r="J153" s="340">
        <f t="shared" si="61"/>
        <v>1.5707889645182687</v>
      </c>
      <c r="K153" s="348">
        <f t="shared" si="79"/>
        <v>13.491196170522898</v>
      </c>
      <c r="L153" s="349">
        <f t="shared" si="80"/>
        <v>1.4966058734540515</v>
      </c>
      <c r="M153" s="337">
        <f t="shared" si="64"/>
        <v>1.0004645372345506</v>
      </c>
      <c r="N153" s="340">
        <f t="shared" si="65"/>
        <v>3.047482491407744E-2</v>
      </c>
      <c r="O153" s="341">
        <f t="shared" si="66"/>
        <v>1.0018894427467688</v>
      </c>
      <c r="P153" s="342">
        <f t="shared" si="67"/>
        <v>7.374054307171915E-2</v>
      </c>
      <c r="Q153" s="343">
        <f t="shared" si="68"/>
        <v>-3.1515416153508897</v>
      </c>
      <c r="R153" s="344">
        <f t="shared" si="69"/>
        <v>-93.017057299108927</v>
      </c>
      <c r="S153" s="346">
        <f t="shared" si="70"/>
        <v>86.982942700891073</v>
      </c>
      <c r="U153" s="319">
        <f t="shared" si="76"/>
        <v>8660.0499999999993</v>
      </c>
      <c r="V153" s="319">
        <f t="shared" si="77"/>
        <v>74996466.002499983</v>
      </c>
      <c r="X153" s="345">
        <f t="shared" si="71"/>
        <v>17.644442192684014</v>
      </c>
      <c r="Y153" s="346">
        <f t="shared" si="72"/>
        <v>-5.9964568850430107</v>
      </c>
      <c r="AA153" s="345">
        <f t="shared" si="73"/>
        <v>28.077966176619356</v>
      </c>
      <c r="AB153" s="346">
        <f t="shared" si="74"/>
        <v>-87.020600414065925</v>
      </c>
      <c r="AD153">
        <f t="shared" si="78"/>
        <v>0</v>
      </c>
      <c r="AE153">
        <f t="shared" si="53"/>
        <v>0</v>
      </c>
    </row>
    <row r="154" spans="1:31" x14ac:dyDescent="0.2">
      <c r="A154" s="350">
        <v>8709.6</v>
      </c>
      <c r="B154" s="364">
        <f t="shared" si="75"/>
        <v>8.7096</v>
      </c>
      <c r="C154" s="337">
        <f t="shared" si="54"/>
        <v>9.6891909133811627</v>
      </c>
      <c r="D154" s="338">
        <f t="shared" si="55"/>
        <v>1.4674044253453198</v>
      </c>
      <c r="E154" s="338">
        <f t="shared" si="56"/>
        <v>1.0002395488709563</v>
      </c>
      <c r="F154" s="339">
        <f t="shared" si="57"/>
        <v>2.1886117107027522E-2</v>
      </c>
      <c r="G154" s="338">
        <f t="shared" si="58"/>
        <v>1</v>
      </c>
      <c r="H154" s="339">
        <f t="shared" si="59"/>
        <v>0</v>
      </c>
      <c r="I154" s="337">
        <f t="shared" si="60"/>
        <v>136604.71166693282</v>
      </c>
      <c r="J154" s="340">
        <f t="shared" si="61"/>
        <v>1.570789006403178</v>
      </c>
      <c r="K154" s="348">
        <f t="shared" si="79"/>
        <v>13.567965518860779</v>
      </c>
      <c r="L154" s="349">
        <f t="shared" si="80"/>
        <v>1.497026418204277</v>
      </c>
      <c r="M154" s="337">
        <f t="shared" si="64"/>
        <v>1.0004698670535772</v>
      </c>
      <c r="N154" s="340">
        <f t="shared" si="65"/>
        <v>3.0649083121928065E-2</v>
      </c>
      <c r="O154" s="341">
        <f t="shared" si="66"/>
        <v>1.0019111095029409</v>
      </c>
      <c r="P154" s="342">
        <f t="shared" si="67"/>
        <v>7.4161628838522828E-2</v>
      </c>
      <c r="Q154" s="343">
        <f t="shared" si="68"/>
        <v>-3.2010482090756804</v>
      </c>
      <c r="R154" s="344">
        <f t="shared" si="69"/>
        <v>-93.05359481012789</v>
      </c>
      <c r="S154" s="346">
        <f t="shared" si="70"/>
        <v>86.94640518987211</v>
      </c>
      <c r="U154" s="319">
        <f t="shared" si="76"/>
        <v>8709.6</v>
      </c>
      <c r="V154" s="319">
        <f t="shared" si="77"/>
        <v>75857132.160000011</v>
      </c>
      <c r="X154" s="345">
        <f t="shared" si="71"/>
        <v>17.644125190798388</v>
      </c>
      <c r="Y154" s="346">
        <f t="shared" si="72"/>
        <v>-5.9823481054264782</v>
      </c>
      <c r="AA154" s="345">
        <f t="shared" si="73"/>
        <v>28.028776584780189</v>
      </c>
      <c r="AB154" s="346">
        <f t="shared" si="74"/>
        <v>-87.071246704701409</v>
      </c>
      <c r="AD154">
        <f t="shared" si="78"/>
        <v>0</v>
      </c>
      <c r="AE154">
        <f t="shared" ref="AE154:AE217" si="81">IF(AD154&gt;0,S154,0)</f>
        <v>0</v>
      </c>
    </row>
    <row r="155" spans="1:31" x14ac:dyDescent="0.2">
      <c r="A155" s="350">
        <v>8760.3250000000007</v>
      </c>
      <c r="B155" s="364">
        <f t="shared" si="75"/>
        <v>8.7603249999999999</v>
      </c>
      <c r="C155" s="337">
        <f t="shared" si="54"/>
        <v>9.745021719626088</v>
      </c>
      <c r="D155" s="338">
        <f t="shared" si="55"/>
        <v>1.4679988757586202</v>
      </c>
      <c r="E155" s="338">
        <f t="shared" si="56"/>
        <v>1.0002423469384696</v>
      </c>
      <c r="F155" s="339">
        <f t="shared" si="57"/>
        <v>2.2013541524419266E-2</v>
      </c>
      <c r="G155" s="338">
        <f t="shared" si="58"/>
        <v>1</v>
      </c>
      <c r="H155" s="339">
        <f t="shared" si="59"/>
        <v>0</v>
      </c>
      <c r="I155" s="337">
        <f t="shared" si="60"/>
        <v>137400.30204983617</v>
      </c>
      <c r="J155" s="340">
        <f t="shared" si="61"/>
        <v>1.5707890487905176</v>
      </c>
      <c r="K155" s="348">
        <f t="shared" si="79"/>
        <v>13.646557788391974</v>
      </c>
      <c r="L155" s="349">
        <f t="shared" si="80"/>
        <v>1.4974520342100652</v>
      </c>
      <c r="M155" s="337">
        <f t="shared" si="64"/>
        <v>1.0004753547298653</v>
      </c>
      <c r="N155" s="340">
        <f t="shared" si="65"/>
        <v>3.0827471659209207E-2</v>
      </c>
      <c r="O155" s="341">
        <f t="shared" si="66"/>
        <v>1.0019334177061445</v>
      </c>
      <c r="P155" s="342">
        <f t="shared" si="67"/>
        <v>7.4592685249560975E-2</v>
      </c>
      <c r="Q155" s="343">
        <f t="shared" si="68"/>
        <v>-3.2514433339783055</v>
      </c>
      <c r="R155" s="344">
        <f t="shared" si="69"/>
        <v>-93.090888479834021</v>
      </c>
      <c r="S155" s="346">
        <f t="shared" si="70"/>
        <v>86.909111520165979</v>
      </c>
      <c r="U155" s="319">
        <f t="shared" si="76"/>
        <v>8760.3250000000007</v>
      </c>
      <c r="V155" s="319">
        <f t="shared" si="77"/>
        <v>76743294.105625018</v>
      </c>
      <c r="X155" s="345">
        <f t="shared" si="71"/>
        <v>17.64380512662418</v>
      </c>
      <c r="Y155" s="346">
        <f t="shared" si="72"/>
        <v>-5.9681854435007926</v>
      </c>
      <c r="AA155" s="345">
        <f t="shared" si="73"/>
        <v>27.978701524051772</v>
      </c>
      <c r="AB155" s="346">
        <f t="shared" si="74"/>
        <v>-87.122703036333206</v>
      </c>
      <c r="AD155">
        <f t="shared" si="78"/>
        <v>0</v>
      </c>
      <c r="AE155">
        <f t="shared" si="81"/>
        <v>0</v>
      </c>
    </row>
    <row r="156" spans="1:31" x14ac:dyDescent="0.2">
      <c r="A156" s="350">
        <v>8811.0499999999993</v>
      </c>
      <c r="B156" s="364">
        <f t="shared" si="75"/>
        <v>8.8110499999999998</v>
      </c>
      <c r="C156" s="337">
        <f t="shared" si="54"/>
        <v>9.8008559302480194</v>
      </c>
      <c r="D156" s="338">
        <f t="shared" si="55"/>
        <v>1.4685865533631386</v>
      </c>
      <c r="E156" s="338">
        <f t="shared" si="56"/>
        <v>1.0002451612468093</v>
      </c>
      <c r="F156" s="339">
        <f t="shared" si="57"/>
        <v>2.2140965226832572E-2</v>
      </c>
      <c r="G156" s="338">
        <f t="shared" si="58"/>
        <v>1</v>
      </c>
      <c r="H156" s="339">
        <f t="shared" si="59"/>
        <v>0</v>
      </c>
      <c r="I156" s="337">
        <f t="shared" si="60"/>
        <v>138195.89243273973</v>
      </c>
      <c r="J156" s="340">
        <f t="shared" si="61"/>
        <v>1.5707890906898112</v>
      </c>
      <c r="K156" s="348">
        <f t="shared" si="79"/>
        <v>13.725152501672223</v>
      </c>
      <c r="L156" s="349">
        <f t="shared" si="80"/>
        <v>1.4978727758583739</v>
      </c>
      <c r="M156" s="337">
        <f t="shared" si="64"/>
        <v>1.0004808742434008</v>
      </c>
      <c r="N156" s="340">
        <f t="shared" si="65"/>
        <v>3.1005858233877595E-2</v>
      </c>
      <c r="O156" s="341">
        <f t="shared" si="66"/>
        <v>1.0019558550524084</v>
      </c>
      <c r="P156" s="342">
        <f t="shared" si="67"/>
        <v>7.502372666320746E-2</v>
      </c>
      <c r="Q156" s="343">
        <f t="shared" si="68"/>
        <v>-3.3015529474138381</v>
      </c>
      <c r="R156" s="344">
        <f t="shared" si="69"/>
        <v>-93.128072417558386</v>
      </c>
      <c r="S156" s="346">
        <f t="shared" si="70"/>
        <v>86.871927582441614</v>
      </c>
      <c r="U156" s="319">
        <f t="shared" si="76"/>
        <v>8811.0499999999993</v>
      </c>
      <c r="V156" s="319">
        <f t="shared" si="77"/>
        <v>77634602.102499992</v>
      </c>
      <c r="X156" s="345">
        <f t="shared" si="71"/>
        <v>17.643489461071709</v>
      </c>
      <c r="Y156" s="346">
        <f t="shared" si="72"/>
        <v>-5.9543019212744541</v>
      </c>
      <c r="AA156" s="345">
        <f t="shared" si="73"/>
        <v>27.928907576168704</v>
      </c>
      <c r="AB156" s="346">
        <f t="shared" si="74"/>
        <v>-87.173770496283922</v>
      </c>
      <c r="AD156">
        <f t="shared" si="78"/>
        <v>0</v>
      </c>
      <c r="AE156">
        <f t="shared" si="81"/>
        <v>0</v>
      </c>
    </row>
    <row r="157" spans="1:31" x14ac:dyDescent="0.2">
      <c r="A157" s="350">
        <v>8861.7749999999996</v>
      </c>
      <c r="B157" s="364">
        <f t="shared" si="75"/>
        <v>8.8617749999999997</v>
      </c>
      <c r="C157" s="337">
        <f t="shared" si="54"/>
        <v>9.8566934873936738</v>
      </c>
      <c r="D157" s="338">
        <f t="shared" si="55"/>
        <v>1.4691675728520848</v>
      </c>
      <c r="E157" s="338">
        <f t="shared" si="56"/>
        <v>1.0002479917958378</v>
      </c>
      <c r="F157" s="339">
        <f t="shared" si="57"/>
        <v>2.2268388210135586E-2</v>
      </c>
      <c r="G157" s="338">
        <f t="shared" si="58"/>
        <v>1</v>
      </c>
      <c r="H157" s="339">
        <f t="shared" si="59"/>
        <v>0</v>
      </c>
      <c r="I157" s="337">
        <f t="shared" si="60"/>
        <v>138991.48281564357</v>
      </c>
      <c r="J157" s="340">
        <f t="shared" si="61"/>
        <v>1.57078913210944</v>
      </c>
      <c r="K157" s="348">
        <f t="shared" si="79"/>
        <v>13.803749616959445</v>
      </c>
      <c r="L157" s="349">
        <f t="shared" si="80"/>
        <v>1.4982887262612075</v>
      </c>
      <c r="M157" s="337">
        <f t="shared" si="64"/>
        <v>1.0004864255936565</v>
      </c>
      <c r="N157" s="340">
        <f t="shared" si="65"/>
        <v>3.1184242834612672E-2</v>
      </c>
      <c r="O157" s="341">
        <f t="shared" si="66"/>
        <v>1.0019784215347518</v>
      </c>
      <c r="P157" s="342">
        <f t="shared" si="67"/>
        <v>7.5454752993889346E-2</v>
      </c>
      <c r="Q157" s="343">
        <f t="shared" si="68"/>
        <v>-3.3513802922520668</v>
      </c>
      <c r="R157" s="344">
        <f t="shared" si="69"/>
        <v>-93.16514842793606</v>
      </c>
      <c r="S157" s="346">
        <f t="shared" si="70"/>
        <v>86.83485157206394</v>
      </c>
      <c r="U157" s="319">
        <f t="shared" si="76"/>
        <v>8861.7749999999996</v>
      </c>
      <c r="V157" s="319">
        <f t="shared" si="77"/>
        <v>78531056.15062499</v>
      </c>
      <c r="X157" s="345">
        <f t="shared" si="71"/>
        <v>17.643178087892387</v>
      </c>
      <c r="Y157" s="346">
        <f t="shared" si="72"/>
        <v>-5.9406927766119377</v>
      </c>
      <c r="AA157" s="345">
        <f t="shared" si="73"/>
        <v>27.879391604509799</v>
      </c>
      <c r="AB157" s="346">
        <f t="shared" si="74"/>
        <v>-87.224455651324149</v>
      </c>
      <c r="AD157">
        <f t="shared" si="78"/>
        <v>0</v>
      </c>
      <c r="AE157">
        <f t="shared" si="81"/>
        <v>0</v>
      </c>
    </row>
    <row r="158" spans="1:31" x14ac:dyDescent="0.2">
      <c r="A158" s="347">
        <v>8912.5</v>
      </c>
      <c r="B158" s="364">
        <f t="shared" si="75"/>
        <v>8.9124999999999996</v>
      </c>
      <c r="C158" s="337">
        <f t="shared" si="54"/>
        <v>9.9125343345098909</v>
      </c>
      <c r="D158" s="338">
        <f t="shared" si="55"/>
        <v>1.4697420463524511</v>
      </c>
      <c r="E158" s="338">
        <f t="shared" si="56"/>
        <v>1.0002508385854176</v>
      </c>
      <c r="F158" s="339">
        <f t="shared" si="57"/>
        <v>2.2395810470196589E-2</v>
      </c>
      <c r="G158" s="338">
        <f t="shared" si="58"/>
        <v>1</v>
      </c>
      <c r="H158" s="339">
        <f t="shared" si="59"/>
        <v>0</v>
      </c>
      <c r="I158" s="337">
        <f t="shared" si="60"/>
        <v>139787.07319854762</v>
      </c>
      <c r="J158" s="340">
        <f t="shared" si="61"/>
        <v>1.5707891730575936</v>
      </c>
      <c r="K158" s="348">
        <f t="shared" ref="K158:K214" si="82">SQRT(1+(A158/Zero2)^2)</f>
        <v>13.882349093455611</v>
      </c>
      <c r="L158" s="349">
        <f t="shared" ref="L158:L214" si="83">ATAN(A158/Zero2)</f>
        <v>1.498699966655026</v>
      </c>
      <c r="M158" s="337">
        <f t="shared" si="64"/>
        <v>1.0004920087801028</v>
      </c>
      <c r="N158" s="340">
        <f t="shared" si="65"/>
        <v>3.1362625450094606E-2</v>
      </c>
      <c r="O158" s="341">
        <f t="shared" si="66"/>
        <v>1.0020011171461554</v>
      </c>
      <c r="P158" s="342">
        <f t="shared" si="67"/>
        <v>7.5885764156055538E-2</v>
      </c>
      <c r="Q158" s="343">
        <f t="shared" si="68"/>
        <v>-3.4009285569178171</v>
      </c>
      <c r="R158" s="344">
        <f t="shared" si="69"/>
        <v>-93.202118276019945</v>
      </c>
      <c r="S158" s="346">
        <f t="shared" si="70"/>
        <v>86.797881723980055</v>
      </c>
      <c r="U158" s="319">
        <f t="shared" si="76"/>
        <v>8912.5</v>
      </c>
      <c r="V158" s="319">
        <f t="shared" si="77"/>
        <v>79432656.25</v>
      </c>
      <c r="X158" s="345">
        <f t="shared" si="71"/>
        <v>17.642870903837085</v>
      </c>
      <c r="Y158" s="346">
        <f t="shared" si="72"/>
        <v>-5.9273533548275799</v>
      </c>
      <c r="AA158" s="345">
        <f t="shared" si="73"/>
        <v>27.830150523899352</v>
      </c>
      <c r="AB158" s="346">
        <f t="shared" si="74"/>
        <v>-87.274764921192357</v>
      </c>
      <c r="AD158">
        <f t="shared" si="78"/>
        <v>0</v>
      </c>
      <c r="AE158">
        <f t="shared" si="81"/>
        <v>0</v>
      </c>
    </row>
    <row r="159" spans="1:31" x14ac:dyDescent="0.2">
      <c r="A159" s="347">
        <v>8964.4</v>
      </c>
      <c r="B159" s="364">
        <f t="shared" si="75"/>
        <v>8.9643999999999995</v>
      </c>
      <c r="C159" s="337">
        <f t="shared" si="54"/>
        <v>9.9696720332314808</v>
      </c>
      <c r="D159" s="338">
        <f t="shared" si="55"/>
        <v>1.4703231661651914</v>
      </c>
      <c r="E159" s="338">
        <f t="shared" si="56"/>
        <v>1.0002537681274342</v>
      </c>
      <c r="F159" s="339">
        <f t="shared" si="57"/>
        <v>2.2526183601937765E-2</v>
      </c>
      <c r="G159" s="338">
        <f t="shared" si="58"/>
        <v>1</v>
      </c>
      <c r="H159" s="339">
        <f t="shared" si="59"/>
        <v>0</v>
      </c>
      <c r="I159" s="337">
        <f t="shared" si="60"/>
        <v>140601.09273275625</v>
      </c>
      <c r="J159" s="340">
        <f t="shared" si="61"/>
        <v>1.5707892144746396</v>
      </c>
      <c r="K159" s="348">
        <f t="shared" si="82"/>
        <v>13.96277165997267</v>
      </c>
      <c r="L159" s="349">
        <f t="shared" si="83"/>
        <v>1.4991159409612413</v>
      </c>
      <c r="M159" s="337">
        <f t="shared" si="64"/>
        <v>1.0004977542465132</v>
      </c>
      <c r="N159" s="340">
        <f t="shared" si="65"/>
        <v>3.1545138075361613E-2</v>
      </c>
      <c r="O159" s="341">
        <f t="shared" si="66"/>
        <v>1.0020244721245133</v>
      </c>
      <c r="P159" s="342">
        <f t="shared" si="67"/>
        <v>7.6326743523773291E-2</v>
      </c>
      <c r="Q159" s="343">
        <f t="shared" si="68"/>
        <v>-3.4513389812312085</v>
      </c>
      <c r="R159" s="344">
        <f t="shared" si="69"/>
        <v>-93.239836419161961</v>
      </c>
      <c r="S159" s="346">
        <f t="shared" si="70"/>
        <v>86.760163580838039</v>
      </c>
      <c r="U159" s="319">
        <f t="shared" si="76"/>
        <v>8964.4</v>
      </c>
      <c r="V159" s="319">
        <f t="shared" si="77"/>
        <v>80360467.359999999</v>
      </c>
      <c r="X159" s="345">
        <f t="shared" si="71"/>
        <v>17.642560835288077</v>
      </c>
      <c r="Y159" s="346">
        <f t="shared" si="72"/>
        <v>-5.9139793588378673</v>
      </c>
      <c r="AA159" s="345">
        <f t="shared" si="73"/>
        <v>27.78005016813497</v>
      </c>
      <c r="AB159" s="346">
        <f t="shared" si="74"/>
        <v>-87.325857060324111</v>
      </c>
      <c r="AD159">
        <f t="shared" si="78"/>
        <v>0</v>
      </c>
      <c r="AE159">
        <f t="shared" si="81"/>
        <v>0</v>
      </c>
    </row>
    <row r="160" spans="1:31" x14ac:dyDescent="0.2">
      <c r="A160" s="347">
        <v>9016.2999999999993</v>
      </c>
      <c r="B160" s="364">
        <f t="shared" si="75"/>
        <v>9.0162999999999993</v>
      </c>
      <c r="C160" s="337">
        <f t="shared" si="54"/>
        <v>10.026813060342109</v>
      </c>
      <c r="D160" s="338">
        <f t="shared" si="55"/>
        <v>1.4708976627728609</v>
      </c>
      <c r="E160" s="338">
        <f t="shared" si="56"/>
        <v>1.0002567146708181</v>
      </c>
      <c r="F160" s="339">
        <f t="shared" si="57"/>
        <v>2.2656555967791904E-2</v>
      </c>
      <c r="G160" s="338">
        <f t="shared" si="58"/>
        <v>1</v>
      </c>
      <c r="H160" s="339">
        <f t="shared" si="59"/>
        <v>0</v>
      </c>
      <c r="I160" s="337">
        <f t="shared" si="60"/>
        <v>141415.11226696512</v>
      </c>
      <c r="J160" s="340">
        <f t="shared" si="61"/>
        <v>1.5707892554148724</v>
      </c>
      <c r="K160" s="348">
        <f t="shared" si="82"/>
        <v>14.043196614860037</v>
      </c>
      <c r="L160" s="349">
        <f t="shared" si="83"/>
        <v>1.4995271507938293</v>
      </c>
      <c r="M160" s="337">
        <f t="shared" si="64"/>
        <v>1.0005035330399792</v>
      </c>
      <c r="N160" s="340">
        <f t="shared" si="65"/>
        <v>3.1727648598364223E-2</v>
      </c>
      <c r="O160" s="341">
        <f t="shared" si="66"/>
        <v>1.0020479622685465</v>
      </c>
      <c r="P160" s="342">
        <f t="shared" si="67"/>
        <v>7.6767706830980442E-2</v>
      </c>
      <c r="Q160" s="343">
        <f t="shared" si="68"/>
        <v>-3.5014638299782637</v>
      </c>
      <c r="R160" s="344">
        <f t="shared" si="69"/>
        <v>-93.277447040749308</v>
      </c>
      <c r="S160" s="346">
        <f t="shared" si="70"/>
        <v>86.722552959250692</v>
      </c>
      <c r="U160" s="319">
        <f t="shared" si="76"/>
        <v>9016.2999999999993</v>
      </c>
      <c r="V160" s="319">
        <f t="shared" si="77"/>
        <v>81293665.689999983</v>
      </c>
      <c r="X160" s="345">
        <f t="shared" si="71"/>
        <v>17.642254942690862</v>
      </c>
      <c r="Y160" s="346">
        <f t="shared" si="72"/>
        <v>-5.9008781993086563</v>
      </c>
      <c r="AA160" s="345">
        <f t="shared" si="73"/>
        <v>27.730231211985128</v>
      </c>
      <c r="AB160" s="346">
        <f t="shared" si="74"/>
        <v>-87.37656884144063</v>
      </c>
      <c r="AD160">
        <f t="shared" si="78"/>
        <v>0</v>
      </c>
      <c r="AE160">
        <f t="shared" si="81"/>
        <v>0</v>
      </c>
    </row>
    <row r="161" spans="1:31" x14ac:dyDescent="0.2">
      <c r="A161" s="347">
        <v>9068.2000000000007</v>
      </c>
      <c r="B161" s="364">
        <f t="shared" si="75"/>
        <v>9.0682000000000009</v>
      </c>
      <c r="C161" s="337">
        <f t="shared" si="54"/>
        <v>10.083957359260552</v>
      </c>
      <c r="D161" s="338">
        <f t="shared" si="55"/>
        <v>1.4714656483911568</v>
      </c>
      <c r="E161" s="338">
        <f t="shared" si="56"/>
        <v>1.0002596782154187</v>
      </c>
      <c r="F161" s="339">
        <f t="shared" si="57"/>
        <v>2.278692756333392E-2</v>
      </c>
      <c r="G161" s="338">
        <f t="shared" si="58"/>
        <v>1</v>
      </c>
      <c r="H161" s="339">
        <f t="shared" si="59"/>
        <v>0</v>
      </c>
      <c r="I161" s="337">
        <f t="shared" si="60"/>
        <v>142229.13180117426</v>
      </c>
      <c r="J161" s="340">
        <f t="shared" si="61"/>
        <v>1.5707892958864791</v>
      </c>
      <c r="K161" s="348">
        <f t="shared" si="82"/>
        <v>14.123623917317017</v>
      </c>
      <c r="L161" s="349">
        <f t="shared" si="83"/>
        <v>1.4999336774067373</v>
      </c>
      <c r="M161" s="337">
        <f t="shared" si="64"/>
        <v>1.0005093451599232</v>
      </c>
      <c r="N161" s="340">
        <f t="shared" si="65"/>
        <v>3.1910157006980112E-2</v>
      </c>
      <c r="O161" s="341">
        <f t="shared" si="66"/>
        <v>1.0020715875706079</v>
      </c>
      <c r="P161" s="342">
        <f t="shared" si="67"/>
        <v>7.7208653986113512E-2</v>
      </c>
      <c r="Q161" s="343">
        <f t="shared" si="68"/>
        <v>-3.55130634912233</v>
      </c>
      <c r="R161" s="344">
        <f t="shared" si="69"/>
        <v>-93.314951909541307</v>
      </c>
      <c r="S161" s="346">
        <f t="shared" si="70"/>
        <v>86.685048090458693</v>
      </c>
      <c r="U161" s="319">
        <f t="shared" si="76"/>
        <v>9068.2000000000007</v>
      </c>
      <c r="V161" s="319">
        <f t="shared" si="77"/>
        <v>82232251.24000001</v>
      </c>
      <c r="X161" s="345">
        <f t="shared" si="71"/>
        <v>17.641953124558547</v>
      </c>
      <c r="Y161" s="346">
        <f t="shared" si="72"/>
        <v>-5.8880452205062133</v>
      </c>
      <c r="AA161" s="345">
        <f t="shared" si="73"/>
        <v>27.680690510973371</v>
      </c>
      <c r="AB161" s="346">
        <f t="shared" si="74"/>
        <v>-87.426906689035093</v>
      </c>
      <c r="AD161">
        <f t="shared" si="78"/>
        <v>0</v>
      </c>
      <c r="AE161">
        <f t="shared" si="81"/>
        <v>0</v>
      </c>
    </row>
    <row r="162" spans="1:31" x14ac:dyDescent="0.2">
      <c r="A162" s="347">
        <v>9120.1</v>
      </c>
      <c r="B162" s="364">
        <f t="shared" si="75"/>
        <v>9.1201000000000008</v>
      </c>
      <c r="C162" s="337">
        <f t="shared" si="54"/>
        <v>10.141104874677694</v>
      </c>
      <c r="D162" s="338">
        <f t="shared" si="55"/>
        <v>1.4720272327233503</v>
      </c>
      <c r="E162" s="338">
        <f t="shared" si="56"/>
        <v>1.000262658761085</v>
      </c>
      <c r="F162" s="339">
        <f t="shared" si="57"/>
        <v>2.2917298384138887E-2</v>
      </c>
      <c r="G162" s="338">
        <f t="shared" si="58"/>
        <v>1</v>
      </c>
      <c r="H162" s="339">
        <f t="shared" si="59"/>
        <v>0</v>
      </c>
      <c r="I162" s="337">
        <f t="shared" si="60"/>
        <v>143043.15133538359</v>
      </c>
      <c r="J162" s="340">
        <f t="shared" si="61"/>
        <v>1.5707893358974598</v>
      </c>
      <c r="K162" s="348">
        <f t="shared" si="82"/>
        <v>14.204053527465828</v>
      </c>
      <c r="L162" s="349">
        <f t="shared" si="83"/>
        <v>1.5003356002198034</v>
      </c>
      <c r="M162" s="337">
        <f t="shared" si="64"/>
        <v>1.0005151906057645</v>
      </c>
      <c r="N162" s="340">
        <f t="shared" si="65"/>
        <v>3.209266328908774E-2</v>
      </c>
      <c r="O162" s="341">
        <f t="shared" si="66"/>
        <v>1.0020953480230068</v>
      </c>
      <c r="P162" s="342">
        <f t="shared" si="67"/>
        <v>7.7649584897633392E-2</v>
      </c>
      <c r="Q162" s="343">
        <f t="shared" si="68"/>
        <v>-3.6008697300898529</v>
      </c>
      <c r="R162" s="344">
        <f t="shared" si="69"/>
        <v>-93.352352755423595</v>
      </c>
      <c r="S162" s="346">
        <f t="shared" si="70"/>
        <v>86.647647244576405</v>
      </c>
      <c r="U162" s="319">
        <f t="shared" si="76"/>
        <v>9120.1</v>
      </c>
      <c r="V162" s="319">
        <f t="shared" si="77"/>
        <v>83176224.010000005</v>
      </c>
      <c r="X162" s="345">
        <f t="shared" si="71"/>
        <v>17.641655282269632</v>
      </c>
      <c r="Y162" s="346">
        <f t="shared" si="72"/>
        <v>-5.8754758717728528</v>
      </c>
      <c r="AA162" s="345">
        <f t="shared" si="73"/>
        <v>27.631424972294774</v>
      </c>
      <c r="AB162" s="346">
        <f t="shared" si="74"/>
        <v>-87.476876883650732</v>
      </c>
      <c r="AD162">
        <f t="shared" si="78"/>
        <v>0</v>
      </c>
      <c r="AE162">
        <f t="shared" si="81"/>
        <v>0</v>
      </c>
    </row>
    <row r="163" spans="1:31" x14ac:dyDescent="0.2">
      <c r="A163" s="347">
        <v>9173.2000000000007</v>
      </c>
      <c r="B163" s="364">
        <f t="shared" si="75"/>
        <v>9.1732000000000014</v>
      </c>
      <c r="C163" s="337">
        <f t="shared" si="54"/>
        <v>10.199576992458132</v>
      </c>
      <c r="D163" s="338">
        <f t="shared" si="55"/>
        <v>1.4725952885076885</v>
      </c>
      <c r="E163" s="338">
        <f t="shared" si="56"/>
        <v>1.0002657258161858</v>
      </c>
      <c r="F163" s="339">
        <f t="shared" si="57"/>
        <v>2.3050682752753796E-2</v>
      </c>
      <c r="G163" s="338">
        <f t="shared" si="58"/>
        <v>1</v>
      </c>
      <c r="H163" s="339">
        <f t="shared" si="59"/>
        <v>0</v>
      </c>
      <c r="I163" s="337">
        <f t="shared" si="60"/>
        <v>143875.99213049971</v>
      </c>
      <c r="J163" s="340">
        <f t="shared" si="61"/>
        <v>1.5707893763649798</v>
      </c>
      <c r="K163" s="348">
        <f t="shared" si="82"/>
        <v>14.286345129475395</v>
      </c>
      <c r="L163" s="349">
        <f t="shared" si="83"/>
        <v>1.5007421323053329</v>
      </c>
      <c r="M163" s="337">
        <f t="shared" si="64"/>
        <v>1.0005212056964308</v>
      </c>
      <c r="N163" s="340">
        <f t="shared" si="65"/>
        <v>3.2279387156156282E-2</v>
      </c>
      <c r="O163" s="341">
        <f t="shared" si="66"/>
        <v>1.0021197977157192</v>
      </c>
      <c r="P163" s="342">
        <f t="shared" si="67"/>
        <v>7.8100693836763546E-2</v>
      </c>
      <c r="Q163" s="343">
        <f t="shared" si="68"/>
        <v>-3.6512934637898873</v>
      </c>
      <c r="R163" s="344">
        <f t="shared" si="69"/>
        <v>-93.390512466773913</v>
      </c>
      <c r="S163" s="346">
        <f t="shared" si="70"/>
        <v>86.609487533226087</v>
      </c>
      <c r="U163" s="319">
        <f t="shared" si="76"/>
        <v>9173.2000000000007</v>
      </c>
      <c r="V163" s="319">
        <f t="shared" si="77"/>
        <v>84147598.24000001</v>
      </c>
      <c r="X163" s="345">
        <f t="shared" si="71"/>
        <v>17.64135456829958</v>
      </c>
      <c r="Y163" s="346">
        <f t="shared" si="72"/>
        <v>-5.8628841071564626</v>
      </c>
      <c r="AA163" s="345">
        <f t="shared" si="73"/>
        <v>27.58130195256479</v>
      </c>
      <c r="AB163" s="346">
        <f t="shared" si="74"/>
        <v>-87.527628359617424</v>
      </c>
      <c r="AD163">
        <f t="shared" si="78"/>
        <v>0</v>
      </c>
      <c r="AE163">
        <f t="shared" si="81"/>
        <v>0</v>
      </c>
    </row>
    <row r="164" spans="1:31" x14ac:dyDescent="0.2">
      <c r="A164" s="347">
        <v>9226.2999999999993</v>
      </c>
      <c r="B164" s="364">
        <f t="shared" si="75"/>
        <v>9.2262999999999984</v>
      </c>
      <c r="C164" s="337">
        <f t="shared" si="54"/>
        <v>10.258052363991357</v>
      </c>
      <c r="D164" s="338">
        <f t="shared" si="55"/>
        <v>1.4731568681401765</v>
      </c>
      <c r="E164" s="338">
        <f t="shared" si="56"/>
        <v>1.0002688106672948</v>
      </c>
      <c r="F164" s="339">
        <f t="shared" si="57"/>
        <v>2.3184066301021086E-2</v>
      </c>
      <c r="G164" s="338">
        <f t="shared" si="58"/>
        <v>1</v>
      </c>
      <c r="H164" s="339">
        <f t="shared" si="59"/>
        <v>0</v>
      </c>
      <c r="I164" s="337">
        <f t="shared" si="60"/>
        <v>144708.83292561607</v>
      </c>
      <c r="J164" s="340">
        <f t="shared" si="61"/>
        <v>1.5707894163666956</v>
      </c>
      <c r="K164" s="348">
        <f t="shared" si="82"/>
        <v>14.36863906552062</v>
      </c>
      <c r="L164" s="349">
        <f t="shared" si="83"/>
        <v>1.5011440077699152</v>
      </c>
      <c r="M164" s="337">
        <f t="shared" si="64"/>
        <v>1.0005272556706515</v>
      </c>
      <c r="N164" s="340">
        <f t="shared" si="65"/>
        <v>3.24661087715764E-2</v>
      </c>
      <c r="O164" s="341">
        <f t="shared" si="66"/>
        <v>1.0021443888643218</v>
      </c>
      <c r="P164" s="342">
        <f t="shared" si="67"/>
        <v>7.8551785578668154E-2</v>
      </c>
      <c r="Q164" s="343">
        <f t="shared" si="68"/>
        <v>-3.7014315909991922</v>
      </c>
      <c r="R164" s="344">
        <f t="shared" si="69"/>
        <v>-93.428566832658106</v>
      </c>
      <c r="S164" s="346">
        <f t="shared" si="70"/>
        <v>86.571433167341894</v>
      </c>
      <c r="U164" s="319">
        <f t="shared" si="76"/>
        <v>9226.2999999999993</v>
      </c>
      <c r="V164" s="319">
        <f t="shared" si="77"/>
        <v>85124611.689999983</v>
      </c>
      <c r="X164" s="345">
        <f t="shared" si="71"/>
        <v>17.6410578160691</v>
      </c>
      <c r="Y164" s="346">
        <f t="shared" si="72"/>
        <v>-5.8505589915688772</v>
      </c>
      <c r="AA164" s="345">
        <f t="shared" si="73"/>
        <v>27.53146057758596</v>
      </c>
      <c r="AB164" s="346">
        <f t="shared" si="74"/>
        <v>-87.578007841089217</v>
      </c>
      <c r="AD164">
        <f t="shared" si="78"/>
        <v>0</v>
      </c>
      <c r="AE164">
        <f t="shared" si="81"/>
        <v>0</v>
      </c>
    </row>
    <row r="165" spans="1:31" x14ac:dyDescent="0.2">
      <c r="A165" s="347">
        <v>9279.4</v>
      </c>
      <c r="B165" s="364">
        <f t="shared" si="75"/>
        <v>9.279399999999999</v>
      </c>
      <c r="C165" s="337">
        <f t="shared" si="54"/>
        <v>10.316530933949352</v>
      </c>
      <c r="D165" s="338">
        <f t="shared" si="55"/>
        <v>1.4737120813924651</v>
      </c>
      <c r="E165" s="338">
        <f t="shared" si="56"/>
        <v>1.000271913314247</v>
      </c>
      <c r="F165" s="339">
        <f t="shared" si="57"/>
        <v>2.331744902420229E-2</v>
      </c>
      <c r="G165" s="338">
        <f t="shared" si="58"/>
        <v>1</v>
      </c>
      <c r="H165" s="339">
        <f t="shared" si="59"/>
        <v>0</v>
      </c>
      <c r="I165" s="337">
        <f t="shared" si="60"/>
        <v>145541.67372073268</v>
      </c>
      <c r="J165" s="340">
        <f t="shared" si="61"/>
        <v>1.5707894559106033</v>
      </c>
      <c r="K165" s="348">
        <f t="shared" si="82"/>
        <v>14.450935295726516</v>
      </c>
      <c r="L165" s="349">
        <f t="shared" si="83"/>
        <v>1.5015413060392035</v>
      </c>
      <c r="M165" s="337">
        <f t="shared" si="64"/>
        <v>1.0005333405277941</v>
      </c>
      <c r="N165" s="340">
        <f t="shared" si="65"/>
        <v>3.2652828122369006E-2</v>
      </c>
      <c r="O165" s="341">
        <f t="shared" si="66"/>
        <v>1.0021691214604371</v>
      </c>
      <c r="P165" s="342">
        <f t="shared" si="67"/>
        <v>7.900286002539085E-2</v>
      </c>
      <c r="Q165" s="343">
        <f t="shared" si="68"/>
        <v>-3.7512873602137327</v>
      </c>
      <c r="R165" s="344">
        <f t="shared" si="69"/>
        <v>-93.466517586147262</v>
      </c>
      <c r="S165" s="346">
        <f t="shared" si="70"/>
        <v>86.533482413852738</v>
      </c>
      <c r="U165" s="319">
        <f t="shared" si="76"/>
        <v>9279.4</v>
      </c>
      <c r="V165" s="319">
        <f t="shared" si="77"/>
        <v>86107264.359999999</v>
      </c>
      <c r="X165" s="345">
        <f t="shared" si="71"/>
        <v>17.640764928652931</v>
      </c>
      <c r="Y165" s="346">
        <f t="shared" si="72"/>
        <v>-5.8384959739698816</v>
      </c>
      <c r="AA165" s="345">
        <f t="shared" si="73"/>
        <v>27.481897695787595</v>
      </c>
      <c r="AB165" s="346">
        <f t="shared" si="74"/>
        <v>-87.628021612177392</v>
      </c>
      <c r="AD165">
        <f t="shared" si="78"/>
        <v>0</v>
      </c>
      <c r="AE165">
        <f t="shared" si="81"/>
        <v>0</v>
      </c>
    </row>
    <row r="166" spans="1:31" x14ac:dyDescent="0.2">
      <c r="A166" s="347">
        <v>9332.5</v>
      </c>
      <c r="B166" s="364">
        <f t="shared" si="75"/>
        <v>9.3324999999999996</v>
      </c>
      <c r="C166" s="337">
        <f t="shared" si="54"/>
        <v>10.375012648248529</v>
      </c>
      <c r="D166" s="338">
        <f t="shared" si="55"/>
        <v>1.4742610355770711</v>
      </c>
      <c r="E166" s="338">
        <f t="shared" si="56"/>
        <v>1.0002750337568773</v>
      </c>
      <c r="F166" s="339">
        <f t="shared" si="57"/>
        <v>2.3450830917559076E-2</v>
      </c>
      <c r="G166" s="338">
        <f t="shared" si="58"/>
        <v>1</v>
      </c>
      <c r="H166" s="339">
        <f t="shared" si="59"/>
        <v>0</v>
      </c>
      <c r="I166" s="337">
        <f t="shared" si="60"/>
        <v>146374.5145158495</v>
      </c>
      <c r="J166" s="340">
        <f t="shared" si="61"/>
        <v>1.5707894950045176</v>
      </c>
      <c r="K166" s="348">
        <f t="shared" si="82"/>
        <v>14.533233781120179</v>
      </c>
      <c r="L166" s="349">
        <f t="shared" si="83"/>
        <v>1.5019341047456274</v>
      </c>
      <c r="M166" s="337">
        <f t="shared" si="64"/>
        <v>1.0005394602672222</v>
      </c>
      <c r="N166" s="340">
        <f t="shared" si="65"/>
        <v>3.2839545195555923E-2</v>
      </c>
      <c r="O166" s="341">
        <f t="shared" si="66"/>
        <v>1.0021939954956411</v>
      </c>
      <c r="P166" s="342">
        <f t="shared" si="67"/>
        <v>7.9453917079002637E-2</v>
      </c>
      <c r="Q166" s="343">
        <f t="shared" si="68"/>
        <v>-3.800863965313948</v>
      </c>
      <c r="R166" s="344">
        <f t="shared" si="69"/>
        <v>-93.504366422149886</v>
      </c>
      <c r="S166" s="346">
        <f t="shared" si="70"/>
        <v>86.495633577850114</v>
      </c>
      <c r="U166" s="319">
        <f t="shared" si="76"/>
        <v>9332.5</v>
      </c>
      <c r="V166" s="319">
        <f t="shared" si="77"/>
        <v>87095556.25</v>
      </c>
      <c r="X166" s="345">
        <f t="shared" si="71"/>
        <v>17.640475811862625</v>
      </c>
      <c r="Y166" s="346">
        <f t="shared" si="72"/>
        <v>-5.8266906060530452</v>
      </c>
      <c r="AA166" s="345">
        <f t="shared" si="73"/>
        <v>27.43261020747768</v>
      </c>
      <c r="AB166" s="346">
        <f t="shared" si="74"/>
        <v>-87.677675816096851</v>
      </c>
      <c r="AD166">
        <f t="shared" si="78"/>
        <v>0</v>
      </c>
      <c r="AE166">
        <f t="shared" si="81"/>
        <v>0</v>
      </c>
    </row>
    <row r="167" spans="1:31" x14ac:dyDescent="0.2">
      <c r="A167" s="347">
        <v>9386.85</v>
      </c>
      <c r="B167" s="364">
        <f t="shared" si="75"/>
        <v>9.3868500000000008</v>
      </c>
      <c r="C167" s="337">
        <f t="shared" si="54"/>
        <v>10.434874251800894</v>
      </c>
      <c r="D167" s="338">
        <f t="shared" si="55"/>
        <v>1.474816540091592</v>
      </c>
      <c r="E167" s="338">
        <f t="shared" si="56"/>
        <v>1.0002782460850683</v>
      </c>
      <c r="F167" s="339">
        <f t="shared" si="57"/>
        <v>2.3587351821693584E-2</v>
      </c>
      <c r="G167" s="338">
        <f t="shared" si="58"/>
        <v>1</v>
      </c>
      <c r="H167" s="339">
        <f t="shared" si="59"/>
        <v>0</v>
      </c>
      <c r="I167" s="337">
        <f t="shared" si="60"/>
        <v>147226.96079107764</v>
      </c>
      <c r="J167" s="340">
        <f t="shared" si="61"/>
        <v>1.5707895345606846</v>
      </c>
      <c r="K167" s="348">
        <f t="shared" si="82"/>
        <v>14.617471908845564</v>
      </c>
      <c r="L167" s="349">
        <f t="shared" si="83"/>
        <v>1.502331569629878</v>
      </c>
      <c r="M167" s="337">
        <f t="shared" si="64"/>
        <v>1.0005457601913144</v>
      </c>
      <c r="N167" s="340">
        <f t="shared" si="65"/>
        <v>3.3030655307865003E-2</v>
      </c>
      <c r="O167" s="341">
        <f t="shared" si="66"/>
        <v>1.0022196015415674</v>
      </c>
      <c r="P167" s="342">
        <f t="shared" si="67"/>
        <v>7.9915574122238264E-2</v>
      </c>
      <c r="Q167" s="343">
        <f t="shared" si="68"/>
        <v>-3.8513218064562005</v>
      </c>
      <c r="R167" s="344">
        <f t="shared" si="69"/>
        <v>-93.543002423801013</v>
      </c>
      <c r="S167" s="346">
        <f t="shared" si="70"/>
        <v>86.456997576198987</v>
      </c>
      <c r="U167" s="319">
        <f t="shared" si="76"/>
        <v>9386.85</v>
      </c>
      <c r="V167" s="319">
        <f t="shared" si="77"/>
        <v>88112952.922499999</v>
      </c>
      <c r="X167" s="345">
        <f t="shared" si="71"/>
        <v>17.64018369840602</v>
      </c>
      <c r="Y167" s="346">
        <f t="shared" si="72"/>
        <v>-5.8148696149263266</v>
      </c>
      <c r="AA167" s="345">
        <f t="shared" si="73"/>
        <v>27.382444479792039</v>
      </c>
      <c r="AB167" s="346">
        <f t="shared" si="74"/>
        <v>-87.72813280887469</v>
      </c>
      <c r="AD167">
        <f t="shared" si="78"/>
        <v>0</v>
      </c>
      <c r="AE167">
        <f t="shared" si="81"/>
        <v>0</v>
      </c>
    </row>
    <row r="168" spans="1:31" x14ac:dyDescent="0.2">
      <c r="A168" s="347">
        <v>9441.2000000000007</v>
      </c>
      <c r="B168" s="364">
        <f t="shared" si="75"/>
        <v>9.4412000000000003</v>
      </c>
      <c r="C168" s="337">
        <f t="shared" si="54"/>
        <v>10.494739038667053</v>
      </c>
      <c r="D168" s="338">
        <f t="shared" si="55"/>
        <v>1.4753657072825392</v>
      </c>
      <c r="E168" s="338">
        <f t="shared" si="56"/>
        <v>1.0002814770562825</v>
      </c>
      <c r="F168" s="339">
        <f t="shared" si="57"/>
        <v>2.3723871846430555E-2</v>
      </c>
      <c r="G168" s="338">
        <f t="shared" si="58"/>
        <v>1</v>
      </c>
      <c r="H168" s="339">
        <f t="shared" si="59"/>
        <v>0</v>
      </c>
      <c r="I168" s="337">
        <f t="shared" si="60"/>
        <v>148079.40706630595</v>
      </c>
      <c r="J168" s="340">
        <f t="shared" si="61"/>
        <v>1.570789573661427</v>
      </c>
      <c r="K168" s="348">
        <f t="shared" si="82"/>
        <v>14.701712319351508</v>
      </c>
      <c r="L168" s="349">
        <f t="shared" si="83"/>
        <v>1.5027244796497219</v>
      </c>
      <c r="M168" s="337">
        <f t="shared" si="64"/>
        <v>1.0005520966579535</v>
      </c>
      <c r="N168" s="340">
        <f t="shared" si="65"/>
        <v>3.3221763006564556E-2</v>
      </c>
      <c r="O168" s="341">
        <f t="shared" si="66"/>
        <v>1.0022453557460418</v>
      </c>
      <c r="P168" s="342">
        <f t="shared" si="67"/>
        <v>8.037721273632524E-2</v>
      </c>
      <c r="Q168" s="343">
        <f t="shared" si="68"/>
        <v>-3.9014937862008852</v>
      </c>
      <c r="R168" s="344">
        <f t="shared" si="69"/>
        <v>-93.581535128154414</v>
      </c>
      <c r="S168" s="346">
        <f t="shared" si="70"/>
        <v>86.418464871845586</v>
      </c>
      <c r="U168" s="319">
        <f t="shared" si="76"/>
        <v>9441.2000000000007</v>
      </c>
      <c r="V168" s="319">
        <f t="shared" si="77"/>
        <v>89136257.440000013</v>
      </c>
      <c r="X168" s="345">
        <f t="shared" si="71"/>
        <v>17.639895343905756</v>
      </c>
      <c r="Y168" s="346">
        <f t="shared" si="72"/>
        <v>-5.803309433923121</v>
      </c>
      <c r="AA168" s="345">
        <f t="shared" si="73"/>
        <v>27.332560854547616</v>
      </c>
      <c r="AB168" s="346">
        <f t="shared" si="74"/>
        <v>-87.778225694231253</v>
      </c>
      <c r="AD168">
        <f t="shared" si="78"/>
        <v>0</v>
      </c>
      <c r="AE168">
        <f t="shared" si="81"/>
        <v>0</v>
      </c>
    </row>
    <row r="169" spans="1:31" x14ac:dyDescent="0.2">
      <c r="A169" s="347">
        <v>9495.5499999999993</v>
      </c>
      <c r="B169" s="364">
        <f t="shared" si="75"/>
        <v>9.4955499999999997</v>
      </c>
      <c r="C169" s="337">
        <f t="shared" si="54"/>
        <v>10.55460695468059</v>
      </c>
      <c r="D169" s="338">
        <f t="shared" si="55"/>
        <v>1.4759086446556557</v>
      </c>
      <c r="E169" s="338">
        <f t="shared" si="56"/>
        <v>1.0002847266703394</v>
      </c>
      <c r="F169" s="339">
        <f t="shared" si="57"/>
        <v>2.386039098668969E-2</v>
      </c>
      <c r="G169" s="338">
        <f t="shared" si="58"/>
        <v>1</v>
      </c>
      <c r="H169" s="339">
        <f t="shared" si="59"/>
        <v>0</v>
      </c>
      <c r="I169" s="337">
        <f t="shared" si="60"/>
        <v>148931.85334153447</v>
      </c>
      <c r="J169" s="340">
        <f t="shared" si="61"/>
        <v>1.570789612314565</v>
      </c>
      <c r="K169" s="348">
        <f t="shared" si="82"/>
        <v>14.785954973620772</v>
      </c>
      <c r="L169" s="349">
        <f t="shared" si="83"/>
        <v>1.5031129125365168</v>
      </c>
      <c r="M169" s="337">
        <f t="shared" si="64"/>
        <v>1.0005584696664451</v>
      </c>
      <c r="N169" s="340">
        <f t="shared" si="65"/>
        <v>3.3412868277741224E-2</v>
      </c>
      <c r="O169" s="341">
        <f t="shared" si="66"/>
        <v>1.0022712580998772</v>
      </c>
      <c r="P169" s="342">
        <f t="shared" si="67"/>
        <v>8.0838832816344477E-2</v>
      </c>
      <c r="Q169" s="343">
        <f t="shared" si="68"/>
        <v>-3.9513831593968751</v>
      </c>
      <c r="R169" s="344">
        <f t="shared" si="69"/>
        <v>-93.619966235087134</v>
      </c>
      <c r="S169" s="346">
        <f t="shared" si="70"/>
        <v>86.380033764912866</v>
      </c>
      <c r="U169" s="319">
        <f t="shared" si="76"/>
        <v>9495.5499999999993</v>
      </c>
      <c r="V169" s="319">
        <f t="shared" si="77"/>
        <v>90165469.80249998</v>
      </c>
      <c r="X169" s="345">
        <f t="shared" si="71"/>
        <v>17.639610655681835</v>
      </c>
      <c r="Y169" s="346">
        <f t="shared" si="72"/>
        <v>-5.7920056090155763</v>
      </c>
      <c r="AA169" s="345">
        <f t="shared" si="73"/>
        <v>27.282956169575549</v>
      </c>
      <c r="AB169" s="346">
        <f t="shared" si="74"/>
        <v>-87.827960626071572</v>
      </c>
      <c r="AD169">
        <f t="shared" si="78"/>
        <v>0</v>
      </c>
      <c r="AE169">
        <f t="shared" si="81"/>
        <v>0</v>
      </c>
    </row>
    <row r="170" spans="1:31" x14ac:dyDescent="0.2">
      <c r="A170" s="347">
        <v>9549.9</v>
      </c>
      <c r="B170" s="364">
        <f t="shared" si="75"/>
        <v>9.5498999999999992</v>
      </c>
      <c r="C170" s="337">
        <f t="shared" si="54"/>
        <v>10.614477946894336</v>
      </c>
      <c r="D170" s="338">
        <f t="shared" si="55"/>
        <v>1.4764454573060211</v>
      </c>
      <c r="E170" s="338">
        <f t="shared" si="56"/>
        <v>1.0002879949270569</v>
      </c>
      <c r="F170" s="339">
        <f t="shared" si="57"/>
        <v>2.3996909237390899E-2</v>
      </c>
      <c r="G170" s="338">
        <f t="shared" si="58"/>
        <v>1</v>
      </c>
      <c r="H170" s="339">
        <f t="shared" si="59"/>
        <v>0</v>
      </c>
      <c r="I170" s="337">
        <f t="shared" si="60"/>
        <v>149784.29961676322</v>
      </c>
      <c r="J170" s="340">
        <f t="shared" si="61"/>
        <v>1.5707896505277408</v>
      </c>
      <c r="K170" s="348">
        <f t="shared" si="82"/>
        <v>14.870199833519257</v>
      </c>
      <c r="L170" s="349">
        <f t="shared" si="83"/>
        <v>1.5034969442655945</v>
      </c>
      <c r="M170" s="337">
        <f t="shared" si="64"/>
        <v>1.0005648792160913</v>
      </c>
      <c r="N170" s="340">
        <f t="shared" si="65"/>
        <v>3.3603971107482741E-2</v>
      </c>
      <c r="O170" s="341">
        <f t="shared" si="66"/>
        <v>1.0022973085938343</v>
      </c>
      <c r="P170" s="342">
        <f t="shared" si="67"/>
        <v>8.1300434257407656E-2</v>
      </c>
      <c r="Q170" s="343">
        <f t="shared" si="68"/>
        <v>-4.0009931261141949</v>
      </c>
      <c r="R170" s="344">
        <f t="shared" si="69"/>
        <v>-93.658297406960131</v>
      </c>
      <c r="S170" s="346">
        <f t="shared" si="70"/>
        <v>86.341702593039869</v>
      </c>
      <c r="U170" s="319">
        <f t="shared" si="76"/>
        <v>9549.9</v>
      </c>
      <c r="V170" s="319">
        <f t="shared" si="77"/>
        <v>91200590.00999999</v>
      </c>
      <c r="X170" s="345">
        <f t="shared" si="71"/>
        <v>17.639329543672428</v>
      </c>
      <c r="Y170" s="346">
        <f t="shared" si="72"/>
        <v>-5.7809537867785643</v>
      </c>
      <c r="AA170" s="345">
        <f t="shared" si="73"/>
        <v>27.233627314867629</v>
      </c>
      <c r="AB170" s="346">
        <f t="shared" si="74"/>
        <v>-87.877343620181563</v>
      </c>
      <c r="AD170">
        <f t="shared" si="78"/>
        <v>0</v>
      </c>
      <c r="AE170">
        <f t="shared" si="81"/>
        <v>0</v>
      </c>
    </row>
    <row r="171" spans="1:31" x14ac:dyDescent="0.2">
      <c r="A171" s="347">
        <v>9605.5249999999996</v>
      </c>
      <c r="B171" s="364">
        <f t="shared" si="75"/>
        <v>9.6055250000000001</v>
      </c>
      <c r="C171" s="337">
        <f t="shared" si="54"/>
        <v>10.675756587688875</v>
      </c>
      <c r="D171" s="338">
        <f t="shared" si="55"/>
        <v>1.4769886283623257</v>
      </c>
      <c r="E171" s="338">
        <f t="shared" si="56"/>
        <v>1.0002913591576195</v>
      </c>
      <c r="F171" s="339">
        <f t="shared" si="57"/>
        <v>2.4136629151743774E-2</v>
      </c>
      <c r="G171" s="338">
        <f t="shared" si="58"/>
        <v>1</v>
      </c>
      <c r="H171" s="339">
        <f t="shared" si="59"/>
        <v>0</v>
      </c>
      <c r="I171" s="337">
        <f t="shared" si="60"/>
        <v>150656.74348170549</v>
      </c>
      <c r="J171" s="340">
        <f t="shared" si="61"/>
        <v>1.5707896891895901</v>
      </c>
      <c r="K171" s="348">
        <f t="shared" si="82"/>
        <v>14.956423243733447</v>
      </c>
      <c r="L171" s="349">
        <f t="shared" si="83"/>
        <v>1.5038855052728979</v>
      </c>
      <c r="M171" s="337">
        <f t="shared" si="64"/>
        <v>1.0005714769640659</v>
      </c>
      <c r="N171" s="340">
        <f t="shared" si="65"/>
        <v>3.3799554487751474E-2</v>
      </c>
      <c r="O171" s="341">
        <f t="shared" si="66"/>
        <v>1.0023241235919658</v>
      </c>
      <c r="P171" s="342">
        <f t="shared" si="67"/>
        <v>8.1772845025740157E-2</v>
      </c>
      <c r="Q171" s="343">
        <f t="shared" si="68"/>
        <v>-4.0514808640674431</v>
      </c>
      <c r="R171" s="344">
        <f t="shared" si="69"/>
        <v>-93.697426009491622</v>
      </c>
      <c r="S171" s="346">
        <f t="shared" si="70"/>
        <v>86.302573990508378</v>
      </c>
      <c r="U171" s="319">
        <f t="shared" si="76"/>
        <v>9605.5249999999996</v>
      </c>
      <c r="V171" s="319">
        <f t="shared" si="77"/>
        <v>92266110.52562499</v>
      </c>
      <c r="X171" s="345">
        <f t="shared" si="71"/>
        <v>17.63904544874989</v>
      </c>
      <c r="Y171" s="346">
        <f t="shared" si="72"/>
        <v>-5.7698991983571908</v>
      </c>
      <c r="AA171" s="345">
        <f t="shared" si="73"/>
        <v>27.183423671836927</v>
      </c>
      <c r="AB171" s="346">
        <f t="shared" si="74"/>
        <v>-87.927526811134456</v>
      </c>
      <c r="AD171">
        <f t="shared" si="78"/>
        <v>0</v>
      </c>
      <c r="AE171">
        <f t="shared" si="81"/>
        <v>0</v>
      </c>
    </row>
    <row r="172" spans="1:31" x14ac:dyDescent="0.2">
      <c r="A172" s="347">
        <v>9661.15</v>
      </c>
      <c r="B172" s="364">
        <f t="shared" si="75"/>
        <v>9.6611499999999992</v>
      </c>
      <c r="C172" s="337">
        <f t="shared" si="54"/>
        <v>10.73703834225026</v>
      </c>
      <c r="D172" s="338">
        <f t="shared" si="55"/>
        <v>1.4775255992669947</v>
      </c>
      <c r="E172" s="338">
        <f t="shared" si="56"/>
        <v>1.0002947429153928</v>
      </c>
      <c r="F172" s="339">
        <f t="shared" si="57"/>
        <v>2.4276348123546097E-2</v>
      </c>
      <c r="G172" s="338">
        <f t="shared" si="58"/>
        <v>1</v>
      </c>
      <c r="H172" s="339">
        <f t="shared" si="59"/>
        <v>0</v>
      </c>
      <c r="I172" s="337">
        <f t="shared" si="60"/>
        <v>151529.18734664802</v>
      </c>
      <c r="J172" s="340">
        <f t="shared" si="61"/>
        <v>1.5707897274062408</v>
      </c>
      <c r="K172" s="348">
        <f t="shared" si="82"/>
        <v>15.042648886176362</v>
      </c>
      <c r="L172" s="349">
        <f t="shared" si="83"/>
        <v>1.5042696118133432</v>
      </c>
      <c r="M172" s="337">
        <f t="shared" si="64"/>
        <v>1.0005781129862539</v>
      </c>
      <c r="N172" s="340">
        <f t="shared" si="65"/>
        <v>3.3995135281210141E-2</v>
      </c>
      <c r="O172" s="341">
        <f t="shared" si="66"/>
        <v>1.0023510937424531</v>
      </c>
      <c r="P172" s="342">
        <f t="shared" si="67"/>
        <v>8.2245236048141407E-2</v>
      </c>
      <c r="Q172" s="343">
        <f t="shared" si="68"/>
        <v>-4.101682544591946</v>
      </c>
      <c r="R172" s="344">
        <f t="shared" si="69"/>
        <v>-93.736453340577299</v>
      </c>
      <c r="S172" s="346">
        <f t="shared" si="70"/>
        <v>86.263546659422701</v>
      </c>
      <c r="U172" s="319">
        <f t="shared" si="76"/>
        <v>9661.15</v>
      </c>
      <c r="V172" s="319">
        <f t="shared" si="77"/>
        <v>93337819.32249999</v>
      </c>
      <c r="X172" s="345">
        <f t="shared" si="71"/>
        <v>17.638764916936001</v>
      </c>
      <c r="Y172" s="346">
        <f t="shared" si="72"/>
        <v>-5.7590996583657681</v>
      </c>
      <c r="AA172" s="345">
        <f t="shared" si="73"/>
        <v>27.13350252312631</v>
      </c>
      <c r="AB172" s="346">
        <f t="shared" si="74"/>
        <v>-87.977353682211515</v>
      </c>
      <c r="AD172">
        <f t="shared" si="78"/>
        <v>0</v>
      </c>
      <c r="AE172">
        <f t="shared" si="81"/>
        <v>0</v>
      </c>
    </row>
    <row r="173" spans="1:31" x14ac:dyDescent="0.2">
      <c r="A173" s="347">
        <v>9716.7749999999996</v>
      </c>
      <c r="B173" s="364">
        <f t="shared" si="75"/>
        <v>9.7167750000000002</v>
      </c>
      <c r="C173" s="337">
        <f t="shared" si="54"/>
        <v>10.798323157565513</v>
      </c>
      <c r="D173" s="338">
        <f t="shared" si="55"/>
        <v>1.4780564752727456</v>
      </c>
      <c r="E173" s="338">
        <f t="shared" si="56"/>
        <v>1.0002981462001783</v>
      </c>
      <c r="F173" s="339">
        <f t="shared" si="57"/>
        <v>2.4416066147352453E-2</v>
      </c>
      <c r="G173" s="338">
        <f t="shared" si="58"/>
        <v>1</v>
      </c>
      <c r="H173" s="339">
        <f t="shared" si="59"/>
        <v>0</v>
      </c>
      <c r="I173" s="337">
        <f t="shared" si="60"/>
        <v>152401.63121159072</v>
      </c>
      <c r="J173" s="340">
        <f t="shared" si="61"/>
        <v>1.5707897651853386</v>
      </c>
      <c r="K173" s="348">
        <f t="shared" si="82"/>
        <v>15.128876722680854</v>
      </c>
      <c r="L173" s="349">
        <f t="shared" si="83"/>
        <v>1.504649339938021</v>
      </c>
      <c r="M173" s="337">
        <f t="shared" si="64"/>
        <v>1.0005847872818943</v>
      </c>
      <c r="N173" s="340">
        <f t="shared" si="65"/>
        <v>3.4190713472947706E-2</v>
      </c>
      <c r="O173" s="341">
        <f t="shared" si="66"/>
        <v>1.0023782190352224</v>
      </c>
      <c r="P173" s="342">
        <f t="shared" si="67"/>
        <v>8.2717607212267605E-2</v>
      </c>
      <c r="Q173" s="343">
        <f t="shared" si="68"/>
        <v>-4.1516014279029338</v>
      </c>
      <c r="R173" s="344">
        <f t="shared" si="69"/>
        <v>-93.775381066805934</v>
      </c>
      <c r="S173" s="346">
        <f t="shared" si="70"/>
        <v>86.224618933194066</v>
      </c>
      <c r="U173" s="319">
        <f t="shared" si="76"/>
        <v>9716.7749999999996</v>
      </c>
      <c r="V173" s="319">
        <f t="shared" si="77"/>
        <v>94415716.40062499</v>
      </c>
      <c r="X173" s="345">
        <f t="shared" si="71"/>
        <v>17.638487859635752</v>
      </c>
      <c r="Y173" s="346">
        <f t="shared" si="72"/>
        <v>-5.7485508089814816</v>
      </c>
      <c r="AA173" s="345">
        <f t="shared" si="73"/>
        <v>27.083860697115568</v>
      </c>
      <c r="AB173" s="346">
        <f t="shared" si="74"/>
        <v>-88.026830257824443</v>
      </c>
      <c r="AD173">
        <f t="shared" si="78"/>
        <v>0</v>
      </c>
      <c r="AE173">
        <f t="shared" si="81"/>
        <v>0</v>
      </c>
    </row>
    <row r="174" spans="1:31" x14ac:dyDescent="0.2">
      <c r="A174" s="347">
        <v>9772.4</v>
      </c>
      <c r="B174" s="364">
        <f t="shared" si="75"/>
        <v>9.7723999999999993</v>
      </c>
      <c r="C174" s="337">
        <f t="shared" si="54"/>
        <v>10.85961098181572</v>
      </c>
      <c r="D174" s="338">
        <f t="shared" si="55"/>
        <v>1.4785813592701802</v>
      </c>
      <c r="E174" s="338">
        <f t="shared" si="56"/>
        <v>1.0003015690117776</v>
      </c>
      <c r="F174" s="339">
        <f t="shared" si="57"/>
        <v>2.455578321771763E-2</v>
      </c>
      <c r="G174" s="338">
        <f t="shared" si="58"/>
        <v>1</v>
      </c>
      <c r="H174" s="339">
        <f t="shared" si="59"/>
        <v>0</v>
      </c>
      <c r="I174" s="337">
        <f t="shared" si="60"/>
        <v>153274.07507653363</v>
      </c>
      <c r="J174" s="340">
        <f t="shared" si="61"/>
        <v>1.5707898025343554</v>
      </c>
      <c r="K174" s="348">
        <f t="shared" si="82"/>
        <v>15.215106715944023</v>
      </c>
      <c r="L174" s="349">
        <f t="shared" si="83"/>
        <v>1.5050247639790926</v>
      </c>
      <c r="M174" s="337">
        <f t="shared" si="64"/>
        <v>1.0005914998502208</v>
      </c>
      <c r="N174" s="340">
        <f t="shared" si="65"/>
        <v>3.4386289048054325E-2</v>
      </c>
      <c r="O174" s="341">
        <f t="shared" si="66"/>
        <v>1.0024054994601443</v>
      </c>
      <c r="P174" s="342">
        <f t="shared" si="67"/>
        <v>8.3189958405809422E-2</v>
      </c>
      <c r="Q174" s="343">
        <f t="shared" si="68"/>
        <v>-4.2012407192960941</v>
      </c>
      <c r="R174" s="344">
        <f t="shared" si="69"/>
        <v>-93.814210817906655</v>
      </c>
      <c r="S174" s="346">
        <f t="shared" si="70"/>
        <v>86.185789182093345</v>
      </c>
      <c r="U174" s="319">
        <f t="shared" si="76"/>
        <v>9772.4</v>
      </c>
      <c r="V174" s="319">
        <f t="shared" si="77"/>
        <v>95499801.75999999</v>
      </c>
      <c r="X174" s="345">
        <f t="shared" si="71"/>
        <v>17.638214190757893</v>
      </c>
      <c r="Y174" s="346">
        <f t="shared" si="72"/>
        <v>-5.7382483908590443</v>
      </c>
      <c r="AA174" s="345">
        <f t="shared" si="73"/>
        <v>27.034495074600269</v>
      </c>
      <c r="AB174" s="346">
        <f t="shared" si="74"/>
        <v>-88.0759624270476</v>
      </c>
      <c r="AD174">
        <f t="shared" si="78"/>
        <v>0</v>
      </c>
      <c r="AE174">
        <f t="shared" si="81"/>
        <v>0</v>
      </c>
    </row>
    <row r="175" spans="1:31" x14ac:dyDescent="0.2">
      <c r="A175" s="347">
        <v>9829.2999999999993</v>
      </c>
      <c r="B175" s="364">
        <f t="shared" si="75"/>
        <v>9.8292999999999999</v>
      </c>
      <c r="C175" s="337">
        <f t="shared" si="54"/>
        <v>10.922306666004747</v>
      </c>
      <c r="D175" s="338">
        <f t="shared" si="55"/>
        <v>1.4791121795778452</v>
      </c>
      <c r="E175" s="338">
        <f t="shared" si="56"/>
        <v>1.0003050904819384</v>
      </c>
      <c r="F175" s="339">
        <f t="shared" si="57"/>
        <v>2.4698701799568609E-2</v>
      </c>
      <c r="G175" s="338">
        <f t="shared" si="58"/>
        <v>1</v>
      </c>
      <c r="H175" s="339">
        <f t="shared" si="59"/>
        <v>0</v>
      </c>
      <c r="I175" s="337">
        <f t="shared" si="60"/>
        <v>154166.51653119008</v>
      </c>
      <c r="J175" s="340">
        <f t="shared" si="61"/>
        <v>1.5707898403020932</v>
      </c>
      <c r="K175" s="348">
        <f t="shared" si="82"/>
        <v>15.303315410387384</v>
      </c>
      <c r="L175" s="349">
        <f t="shared" si="83"/>
        <v>1.5054044157914472</v>
      </c>
      <c r="M175" s="337">
        <f t="shared" si="64"/>
        <v>1.0005984058774933</v>
      </c>
      <c r="N175" s="340">
        <f t="shared" si="65"/>
        <v>3.4586344756213416E-2</v>
      </c>
      <c r="O175" s="341">
        <f t="shared" si="66"/>
        <v>1.0024335656852292</v>
      </c>
      <c r="P175" s="342">
        <f t="shared" si="67"/>
        <v>8.3673115746073737E-2</v>
      </c>
      <c r="Q175" s="343">
        <f t="shared" si="68"/>
        <v>-4.2517318172597225</v>
      </c>
      <c r="R175" s="344">
        <f t="shared" si="69"/>
        <v>-93.853830891289391</v>
      </c>
      <c r="S175" s="346">
        <f t="shared" si="70"/>
        <v>86.146169108710609</v>
      </c>
      <c r="U175" s="319">
        <f t="shared" si="76"/>
        <v>9829.2999999999993</v>
      </c>
      <c r="V175" s="319">
        <f t="shared" si="77"/>
        <v>96615138.48999998</v>
      </c>
      <c r="X175" s="345">
        <f t="shared" si="71"/>
        <v>17.637937667615638</v>
      </c>
      <c r="Y175" s="346">
        <f t="shared" si="72"/>
        <v>-5.7279604559918615</v>
      </c>
      <c r="AA175" s="345">
        <f t="shared" si="73"/>
        <v>26.984280499778897</v>
      </c>
      <c r="AB175" s="346">
        <f t="shared" si="74"/>
        <v>-88.125870435297529</v>
      </c>
      <c r="AD175">
        <f t="shared" si="78"/>
        <v>0</v>
      </c>
      <c r="AE175">
        <f t="shared" si="81"/>
        <v>0</v>
      </c>
    </row>
    <row r="176" spans="1:31" x14ac:dyDescent="0.2">
      <c r="A176" s="347">
        <v>9886.2000000000007</v>
      </c>
      <c r="B176" s="364">
        <f t="shared" si="75"/>
        <v>9.8862000000000005</v>
      </c>
      <c r="C176" s="337">
        <f t="shared" si="54"/>
        <v>10.985005392643906</v>
      </c>
      <c r="D176" s="338">
        <f t="shared" si="55"/>
        <v>1.4796369405433887</v>
      </c>
      <c r="E176" s="338">
        <f t="shared" si="56"/>
        <v>1.0003086323839081</v>
      </c>
      <c r="F176" s="339">
        <f t="shared" si="57"/>
        <v>2.4841619372243922E-2</v>
      </c>
      <c r="G176" s="338">
        <f t="shared" si="58"/>
        <v>1</v>
      </c>
      <c r="H176" s="339">
        <f t="shared" si="59"/>
        <v>0</v>
      </c>
      <c r="I176" s="337">
        <f t="shared" si="60"/>
        <v>155058.95798584676</v>
      </c>
      <c r="J176" s="340">
        <f t="shared" si="61"/>
        <v>1.5707898776350868</v>
      </c>
      <c r="K176" s="348">
        <f t="shared" si="82"/>
        <v>15.391526285299282</v>
      </c>
      <c r="L176" s="349">
        <f t="shared" si="83"/>
        <v>1.5057797159877786</v>
      </c>
      <c r="M176" s="337">
        <f t="shared" si="64"/>
        <v>1.0006053519504483</v>
      </c>
      <c r="N176" s="340">
        <f t="shared" si="65"/>
        <v>3.4786397694857293E-2</v>
      </c>
      <c r="O176" s="341">
        <f t="shared" si="66"/>
        <v>1.002461794214023</v>
      </c>
      <c r="P176" s="342">
        <f t="shared" si="67"/>
        <v>8.4156251952139396E-2</v>
      </c>
      <c r="Q176" s="343">
        <f t="shared" si="68"/>
        <v>-4.3019369731692505</v>
      </c>
      <c r="R176" s="344">
        <f t="shared" si="69"/>
        <v>-93.893351782504624</v>
      </c>
      <c r="S176" s="346">
        <f t="shared" si="70"/>
        <v>86.106648217495376</v>
      </c>
      <c r="U176" s="319">
        <f t="shared" si="76"/>
        <v>9886.2000000000007</v>
      </c>
      <c r="V176" s="319">
        <f t="shared" si="77"/>
        <v>97736950.440000013</v>
      </c>
      <c r="X176" s="345">
        <f t="shared" si="71"/>
        <v>17.637664515440481</v>
      </c>
      <c r="Y176" s="346">
        <f t="shared" si="72"/>
        <v>-5.7179216667666264</v>
      </c>
      <c r="AA176" s="345">
        <f t="shared" si="73"/>
        <v>26.934348496044521</v>
      </c>
      <c r="AB176" s="346">
        <f t="shared" si="74"/>
        <v>-88.175430115737996</v>
      </c>
      <c r="AD176">
        <f t="shared" si="78"/>
        <v>0</v>
      </c>
      <c r="AE176">
        <f t="shared" si="81"/>
        <v>0</v>
      </c>
    </row>
    <row r="177" spans="1:31" x14ac:dyDescent="0.2">
      <c r="A177" s="347">
        <v>9943.1</v>
      </c>
      <c r="B177" s="364">
        <f t="shared" si="75"/>
        <v>9.9431000000000012</v>
      </c>
      <c r="C177" s="337">
        <f t="shared" si="54"/>
        <v>11.047707109933008</v>
      </c>
      <c r="D177" s="338">
        <f t="shared" si="55"/>
        <v>1.480155745045449</v>
      </c>
      <c r="E177" s="338">
        <f t="shared" si="56"/>
        <v>1.0003121947174693</v>
      </c>
      <c r="F177" s="339">
        <f t="shared" si="57"/>
        <v>2.4984535929916001E-2</v>
      </c>
      <c r="G177" s="338">
        <f t="shared" si="58"/>
        <v>1</v>
      </c>
      <c r="H177" s="339">
        <f t="shared" si="59"/>
        <v>0</v>
      </c>
      <c r="I177" s="337">
        <f t="shared" si="60"/>
        <v>155951.39944050362</v>
      </c>
      <c r="J177" s="340">
        <f t="shared" si="61"/>
        <v>1.5707899145407995</v>
      </c>
      <c r="K177" s="348">
        <f t="shared" si="82"/>
        <v>15.479739303403692</v>
      </c>
      <c r="L177" s="349">
        <f t="shared" si="83"/>
        <v>1.5061507388559556</v>
      </c>
      <c r="M177" s="337">
        <f t="shared" si="64"/>
        <v>1.0006123380682517</v>
      </c>
      <c r="N177" s="340">
        <f t="shared" si="65"/>
        <v>3.4986447848031066E-2</v>
      </c>
      <c r="O177" s="341">
        <f t="shared" si="66"/>
        <v>1.0024901850354988</v>
      </c>
      <c r="P177" s="342">
        <f t="shared" si="67"/>
        <v>8.4639366903908816E-2</v>
      </c>
      <c r="Q177" s="343">
        <f t="shared" si="68"/>
        <v>-4.3518594473123287</v>
      </c>
      <c r="R177" s="344">
        <f t="shared" si="69"/>
        <v>-93.932775122649005</v>
      </c>
      <c r="S177" s="346">
        <f t="shared" si="70"/>
        <v>86.067224877350995</v>
      </c>
      <c r="U177" s="319">
        <f t="shared" si="76"/>
        <v>9943.1</v>
      </c>
      <c r="V177" s="319">
        <f t="shared" si="77"/>
        <v>98865237.610000014</v>
      </c>
      <c r="X177" s="345">
        <f t="shared" si="71"/>
        <v>17.637394649677617</v>
      </c>
      <c r="Y177" s="346">
        <f t="shared" si="72"/>
        <v>-5.7081277663154362</v>
      </c>
      <c r="AA177" s="345">
        <f t="shared" si="73"/>
        <v>26.884695887664311</v>
      </c>
      <c r="AB177" s="346">
        <f t="shared" si="74"/>
        <v>-88.224647356333577</v>
      </c>
      <c r="AD177">
        <f t="shared" si="78"/>
        <v>0</v>
      </c>
      <c r="AE177">
        <f t="shared" si="81"/>
        <v>0</v>
      </c>
    </row>
    <row r="178" spans="1:31" x14ac:dyDescent="0.2">
      <c r="A178" s="347">
        <v>10000</v>
      </c>
      <c r="B178" s="364">
        <f t="shared" si="75"/>
        <v>10</v>
      </c>
      <c r="C178" s="337">
        <f t="shared" si="54"/>
        <v>11.110411767238773</v>
      </c>
      <c r="D178" s="338">
        <f t="shared" si="55"/>
        <v>1.4806686936531617</v>
      </c>
      <c r="E178" s="338">
        <f t="shared" si="56"/>
        <v>1.0003157774824039</v>
      </c>
      <c r="F178" s="339">
        <f t="shared" si="57"/>
        <v>2.5127451466757551E-2</v>
      </c>
      <c r="G178" s="338">
        <f t="shared" si="58"/>
        <v>1</v>
      </c>
      <c r="H178" s="339">
        <f t="shared" si="59"/>
        <v>0</v>
      </c>
      <c r="I178" s="337">
        <f t="shared" si="60"/>
        <v>156843.84089516068</v>
      </c>
      <c r="J178" s="340">
        <f t="shared" si="61"/>
        <v>1.5707899510265253</v>
      </c>
      <c r="K178" s="348">
        <f t="shared" si="82"/>
        <v>15.567954428268571</v>
      </c>
      <c r="L178" s="349">
        <f t="shared" si="83"/>
        <v>1.5065175570048239</v>
      </c>
      <c r="M178" s="337">
        <f t="shared" si="64"/>
        <v>1.0006193642300643</v>
      </c>
      <c r="N178" s="340">
        <f t="shared" si="65"/>
        <v>3.5186495199781218E-2</v>
      </c>
      <c r="O178" s="341">
        <f t="shared" si="66"/>
        <v>1.0025187381385676</v>
      </c>
      <c r="P178" s="342">
        <f t="shared" si="67"/>
        <v>8.5122460481322812E-2</v>
      </c>
      <c r="Q178" s="343">
        <f t="shared" si="68"/>
        <v>-4.4015024450356748</v>
      </c>
      <c r="R178" s="344">
        <f t="shared" si="69"/>
        <v>-93.972102506688017</v>
      </c>
      <c r="S178" s="346">
        <f t="shared" si="70"/>
        <v>86.027897493311983</v>
      </c>
      <c r="U178" s="319">
        <f t="shared" si="76"/>
        <v>10000</v>
      </c>
      <c r="V178" s="319">
        <f t="shared" si="77"/>
        <v>100000000</v>
      </c>
      <c r="X178" s="345">
        <f t="shared" si="71"/>
        <v>17.637127988161478</v>
      </c>
      <c r="Y178" s="346">
        <f t="shared" si="72"/>
        <v>-5.6985745939617116</v>
      </c>
      <c r="AA178" s="345">
        <f t="shared" si="73"/>
        <v>26.835319551457104</v>
      </c>
      <c r="AB178" s="346">
        <f t="shared" si="74"/>
        <v>-88.273527912726294</v>
      </c>
      <c r="AD178">
        <f t="shared" si="78"/>
        <v>0</v>
      </c>
      <c r="AE178">
        <f t="shared" si="81"/>
        <v>0</v>
      </c>
    </row>
    <row r="179" spans="1:31" x14ac:dyDescent="0.2">
      <c r="A179" s="347">
        <v>10058.25</v>
      </c>
      <c r="B179" s="364">
        <f t="shared" si="75"/>
        <v>10.058249999999999</v>
      </c>
      <c r="C179" s="337">
        <f t="shared" si="54"/>
        <v>11.174607138687328</v>
      </c>
      <c r="D179" s="338">
        <f t="shared" si="55"/>
        <v>1.4811878490910004</v>
      </c>
      <c r="E179" s="338">
        <f t="shared" si="56"/>
        <v>1.0003194664154491</v>
      </c>
      <c r="F179" s="339">
        <f t="shared" si="57"/>
        <v>2.5273756730484508E-2</v>
      </c>
      <c r="G179" s="338">
        <f t="shared" si="58"/>
        <v>1</v>
      </c>
      <c r="H179" s="339">
        <f t="shared" si="59"/>
        <v>0</v>
      </c>
      <c r="I179" s="337">
        <f t="shared" si="60"/>
        <v>157757.45626833796</v>
      </c>
      <c r="J179" s="340">
        <f t="shared" si="61"/>
        <v>1.5707899879502951</v>
      </c>
      <c r="K179" s="348">
        <f t="shared" si="82"/>
        <v>15.658264675767096</v>
      </c>
      <c r="L179" s="349">
        <f t="shared" si="83"/>
        <v>1.5068887967714895</v>
      </c>
      <c r="M179" s="337">
        <f t="shared" si="64"/>
        <v>1.0006265985729472</v>
      </c>
      <c r="N179" s="340">
        <f t="shared" si="65"/>
        <v>3.5391285923384412E-2</v>
      </c>
      <c r="O179" s="341">
        <f t="shared" si="66"/>
        <v>1.0025481367788678</v>
      </c>
      <c r="P179" s="342">
        <f t="shared" si="67"/>
        <v>8.5616993590779913E-2</v>
      </c>
      <c r="Q179" s="343">
        <f t="shared" si="68"/>
        <v>-4.4520370531949158</v>
      </c>
      <c r="R179" s="344">
        <f t="shared" si="69"/>
        <v>-94.01226519600732</v>
      </c>
      <c r="S179" s="346">
        <f t="shared" si="70"/>
        <v>85.98773480399268</v>
      </c>
      <c r="U179" s="319">
        <f t="shared" si="76"/>
        <v>10058.25</v>
      </c>
      <c r="V179" s="319">
        <f t="shared" si="77"/>
        <v>101168393.0625</v>
      </c>
      <c r="X179" s="345">
        <f t="shared" si="71"/>
        <v>17.63685823570038</v>
      </c>
      <c r="Y179" s="346">
        <f t="shared" si="72"/>
        <v>-5.6890398818555363</v>
      </c>
      <c r="AA179" s="345">
        <f t="shared" si="73"/>
        <v>26.785054695758959</v>
      </c>
      <c r="AB179" s="346">
        <f t="shared" si="74"/>
        <v>-88.323225314151799</v>
      </c>
      <c r="AD179">
        <f t="shared" si="78"/>
        <v>0</v>
      </c>
      <c r="AE179">
        <f t="shared" si="81"/>
        <v>0</v>
      </c>
    </row>
    <row r="180" spans="1:31" x14ac:dyDescent="0.2">
      <c r="A180" s="347">
        <v>10116.5</v>
      </c>
      <c r="B180" s="364">
        <f t="shared" si="75"/>
        <v>10.1165</v>
      </c>
      <c r="C180" s="337">
        <f t="shared" si="54"/>
        <v>11.238805487535487</v>
      </c>
      <c r="D180" s="338">
        <f t="shared" si="55"/>
        <v>1.4817010736223886</v>
      </c>
      <c r="E180" s="338">
        <f t="shared" si="56"/>
        <v>1.0003231767604046</v>
      </c>
      <c r="F180" s="339">
        <f t="shared" si="57"/>
        <v>2.5420060912007877E-2</v>
      </c>
      <c r="G180" s="338">
        <f t="shared" si="58"/>
        <v>1</v>
      </c>
      <c r="H180" s="339">
        <f t="shared" si="59"/>
        <v>0</v>
      </c>
      <c r="I180" s="337">
        <f t="shared" si="60"/>
        <v>158671.07164151547</v>
      </c>
      <c r="J180" s="340">
        <f t="shared" si="61"/>
        <v>1.5707900244488566</v>
      </c>
      <c r="K180" s="348">
        <f t="shared" si="82"/>
        <v>15.748577056521095</v>
      </c>
      <c r="L180" s="349">
        <f t="shared" si="83"/>
        <v>1.5072557787372658</v>
      </c>
      <c r="M180" s="337">
        <f t="shared" si="64"/>
        <v>1.0006338748807417</v>
      </c>
      <c r="N180" s="340">
        <f t="shared" si="65"/>
        <v>3.5596073677223374E-2</v>
      </c>
      <c r="O180" s="341">
        <f t="shared" si="66"/>
        <v>1.0025777054689262</v>
      </c>
      <c r="P180" s="342">
        <f t="shared" si="67"/>
        <v>8.6111504045092671E-2</v>
      </c>
      <c r="Q180" s="343">
        <f t="shared" si="68"/>
        <v>-4.5022853930299247</v>
      </c>
      <c r="R180" s="344">
        <f t="shared" si="69"/>
        <v>-94.052330592883109</v>
      </c>
      <c r="S180" s="346">
        <f t="shared" si="70"/>
        <v>85.947669407116891</v>
      </c>
      <c r="U180" s="319">
        <f t="shared" si="76"/>
        <v>10116.5</v>
      </c>
      <c r="V180" s="319">
        <f t="shared" si="77"/>
        <v>102343572.25</v>
      </c>
      <c r="X180" s="345">
        <f t="shared" si="71"/>
        <v>17.636591674399565</v>
      </c>
      <c r="Y180" s="346">
        <f t="shared" si="72"/>
        <v>-5.6797489292529884</v>
      </c>
      <c r="AA180" s="345">
        <f t="shared" si="73"/>
        <v>26.735072917224766</v>
      </c>
      <c r="AB180" s="346">
        <f t="shared" si="74"/>
        <v>-88.372581663630115</v>
      </c>
      <c r="AD180">
        <f t="shared" si="78"/>
        <v>0</v>
      </c>
      <c r="AE180">
        <f t="shared" si="81"/>
        <v>0</v>
      </c>
    </row>
    <row r="181" spans="1:31" x14ac:dyDescent="0.2">
      <c r="A181" s="347">
        <v>10174.75</v>
      </c>
      <c r="B181" s="364">
        <f t="shared" si="75"/>
        <v>10.17475</v>
      </c>
      <c r="C181" s="337">
        <f t="shared" si="54"/>
        <v>11.303006763050517</v>
      </c>
      <c r="D181" s="338">
        <f t="shared" si="55"/>
        <v>1.4822084680375862</v>
      </c>
      <c r="E181" s="338">
        <f t="shared" si="56"/>
        <v>1.0003269085170321</v>
      </c>
      <c r="F181" s="339">
        <f t="shared" si="57"/>
        <v>2.5566364005076486E-2</v>
      </c>
      <c r="G181" s="338">
        <f t="shared" si="58"/>
        <v>1</v>
      </c>
      <c r="H181" s="339">
        <f t="shared" si="59"/>
        <v>0</v>
      </c>
      <c r="I181" s="337">
        <f t="shared" si="60"/>
        <v>159584.68701469319</v>
      </c>
      <c r="J181" s="340">
        <f t="shared" si="61"/>
        <v>1.5707900605295129</v>
      </c>
      <c r="K181" s="348">
        <f t="shared" si="82"/>
        <v>15.838891534039492</v>
      </c>
      <c r="L181" s="349">
        <f t="shared" si="83"/>
        <v>1.507618575637294</v>
      </c>
      <c r="M181" s="337">
        <f t="shared" si="64"/>
        <v>1.0006411931525325</v>
      </c>
      <c r="N181" s="340">
        <f t="shared" si="65"/>
        <v>3.5800858444186283E-2</v>
      </c>
      <c r="O181" s="341">
        <f t="shared" si="66"/>
        <v>1.0026074441966437</v>
      </c>
      <c r="P181" s="342">
        <f t="shared" si="67"/>
        <v>8.6605991715578867E-2</v>
      </c>
      <c r="Q181" s="343">
        <f t="shared" si="68"/>
        <v>-4.5522507324532828</v>
      </c>
      <c r="R181" s="344">
        <f t="shared" si="69"/>
        <v>-94.092300297178539</v>
      </c>
      <c r="S181" s="346">
        <f t="shared" si="70"/>
        <v>85.907699702821461</v>
      </c>
      <c r="U181" s="319">
        <f t="shared" si="76"/>
        <v>10174.75</v>
      </c>
      <c r="V181" s="319">
        <f t="shared" si="77"/>
        <v>103525537.5625</v>
      </c>
      <c r="X181" s="345">
        <f t="shared" si="71"/>
        <v>17.63632822337107</v>
      </c>
      <c r="Y181" s="346">
        <f t="shared" si="72"/>
        <v>-5.6706975681754681</v>
      </c>
      <c r="AA181" s="345">
        <f t="shared" si="73"/>
        <v>26.685371028829902</v>
      </c>
      <c r="AB181" s="346">
        <f t="shared" si="74"/>
        <v>-88.421602729003041</v>
      </c>
      <c r="AD181">
        <f t="shared" si="78"/>
        <v>0</v>
      </c>
      <c r="AE181">
        <f t="shared" si="81"/>
        <v>0</v>
      </c>
    </row>
    <row r="182" spans="1:31" x14ac:dyDescent="0.2">
      <c r="A182" s="347">
        <v>10233</v>
      </c>
      <c r="B182" s="364">
        <f t="shared" si="75"/>
        <v>10.233000000000001</v>
      </c>
      <c r="C182" s="337">
        <f t="shared" si="54"/>
        <v>11.36721091564354</v>
      </c>
      <c r="D182" s="338">
        <f t="shared" si="55"/>
        <v>1.4827101308618875</v>
      </c>
      <c r="E182" s="338">
        <f t="shared" si="56"/>
        <v>1.000330661685092</v>
      </c>
      <c r="F182" s="339">
        <f t="shared" si="57"/>
        <v>2.5712666003439431E-2</v>
      </c>
      <c r="G182" s="338">
        <f t="shared" si="58"/>
        <v>1</v>
      </c>
      <c r="H182" s="339">
        <f t="shared" si="59"/>
        <v>0</v>
      </c>
      <c r="I182" s="337">
        <f t="shared" si="60"/>
        <v>160498.30238787108</v>
      </c>
      <c r="J182" s="340">
        <f t="shared" si="61"/>
        <v>1.5707900961994004</v>
      </c>
      <c r="K182" s="348">
        <f t="shared" si="82"/>
        <v>15.929208072657957</v>
      </c>
      <c r="L182" s="349">
        <f t="shared" si="83"/>
        <v>1.5079772585615847</v>
      </c>
      <c r="M182" s="337">
        <f t="shared" si="64"/>
        <v>1.000648553387399</v>
      </c>
      <c r="N182" s="340">
        <f t="shared" si="65"/>
        <v>3.6005640207162827E-2</v>
      </c>
      <c r="O182" s="341">
        <f t="shared" si="66"/>
        <v>1.0026373529498533</v>
      </c>
      <c r="P182" s="342">
        <f t="shared" si="67"/>
        <v>8.7100456473599527E-2</v>
      </c>
      <c r="Q182" s="343">
        <f t="shared" si="68"/>
        <v>-4.6019362842466212</v>
      </c>
      <c r="R182" s="344">
        <f t="shared" si="69"/>
        <v>-94.132175873235681</v>
      </c>
      <c r="S182" s="346">
        <f t="shared" si="70"/>
        <v>85.867824126764319</v>
      </c>
      <c r="U182" s="319">
        <f t="shared" si="76"/>
        <v>10233</v>
      </c>
      <c r="V182" s="319">
        <f t="shared" si="77"/>
        <v>104714289</v>
      </c>
      <c r="X182" s="345">
        <f t="shared" si="71"/>
        <v>17.636067804014008</v>
      </c>
      <c r="Y182" s="346">
        <f t="shared" si="72"/>
        <v>-5.6618817248939441</v>
      </c>
      <c r="AA182" s="345">
        <f t="shared" si="73"/>
        <v>26.635945896393626</v>
      </c>
      <c r="AB182" s="346">
        <f t="shared" si="74"/>
        <v>-88.470294148341779</v>
      </c>
      <c r="AD182">
        <f t="shared" si="78"/>
        <v>0</v>
      </c>
      <c r="AE182">
        <f t="shared" si="81"/>
        <v>0</v>
      </c>
    </row>
    <row r="183" spans="1:31" x14ac:dyDescent="0.2">
      <c r="A183" s="347">
        <v>10292.5</v>
      </c>
      <c r="B183" s="364">
        <f t="shared" si="75"/>
        <v>10.2925</v>
      </c>
      <c r="C183" s="337">
        <f t="shared" si="54"/>
        <v>11.43279575970114</v>
      </c>
      <c r="D183" s="338">
        <f t="shared" si="55"/>
        <v>1.4832167417244746</v>
      </c>
      <c r="E183" s="338">
        <f t="shared" si="56"/>
        <v>1.0003345174985598</v>
      </c>
      <c r="F183" s="339">
        <f t="shared" si="57"/>
        <v>2.5862106392969798E-2</v>
      </c>
      <c r="G183" s="338">
        <f t="shared" si="58"/>
        <v>1</v>
      </c>
      <c r="H183" s="339">
        <f t="shared" si="59"/>
        <v>0</v>
      </c>
      <c r="I183" s="337">
        <f t="shared" si="60"/>
        <v>161431.52324116029</v>
      </c>
      <c r="J183" s="340">
        <f t="shared" si="61"/>
        <v>1.5707901322179025</v>
      </c>
      <c r="K183" s="348">
        <f t="shared" si="82"/>
        <v>16.021464826097723</v>
      </c>
      <c r="L183" s="349">
        <f t="shared" si="83"/>
        <v>1.5083394634456257</v>
      </c>
      <c r="M183" s="337">
        <f t="shared" si="64"/>
        <v>1.000656114889737</v>
      </c>
      <c r="N183" s="340">
        <f t="shared" si="65"/>
        <v>3.6214813309409691E-2</v>
      </c>
      <c r="O183" s="341">
        <f t="shared" si="66"/>
        <v>1.002668079046642</v>
      </c>
      <c r="P183" s="342">
        <f t="shared" si="67"/>
        <v>8.7605508274356619E-2</v>
      </c>
      <c r="Q183" s="343">
        <f t="shared" si="68"/>
        <v>-4.6524024758274605</v>
      </c>
      <c r="R183" s="344">
        <f t="shared" si="69"/>
        <v>-94.172811559053869</v>
      </c>
      <c r="S183" s="346">
        <f t="shared" si="70"/>
        <v>85.827188440946131</v>
      </c>
      <c r="U183" s="319">
        <f t="shared" si="76"/>
        <v>10292.5</v>
      </c>
      <c r="V183" s="319">
        <f t="shared" si="77"/>
        <v>105935556.25</v>
      </c>
      <c r="X183" s="345">
        <f t="shared" si="71"/>
        <v>17.635804846794617</v>
      </c>
      <c r="Y183" s="346">
        <f t="shared" si="72"/>
        <v>-5.6531157133639143</v>
      </c>
      <c r="AA183" s="345">
        <f t="shared" si="73"/>
        <v>26.585742662032178</v>
      </c>
      <c r="AB183" s="346">
        <f t="shared" si="74"/>
        <v>-88.519695845689924</v>
      </c>
      <c r="AD183">
        <f t="shared" si="78"/>
        <v>0</v>
      </c>
      <c r="AE183">
        <f t="shared" si="81"/>
        <v>0</v>
      </c>
    </row>
    <row r="184" spans="1:31" x14ac:dyDescent="0.2">
      <c r="A184" s="347">
        <v>10352</v>
      </c>
      <c r="B184" s="364">
        <f t="shared" si="75"/>
        <v>10.352</v>
      </c>
      <c r="C184" s="337">
        <f t="shared" si="54"/>
        <v>11.498383504564268</v>
      </c>
      <c r="D184" s="338">
        <f t="shared" si="55"/>
        <v>1.4837175732125973</v>
      </c>
      <c r="E184" s="338">
        <f t="shared" si="56"/>
        <v>1.000338395651756</v>
      </c>
      <c r="F184" s="339">
        <f t="shared" si="57"/>
        <v>2.6011545627124141E-2</v>
      </c>
      <c r="G184" s="338">
        <f t="shared" si="58"/>
        <v>1</v>
      </c>
      <c r="H184" s="339">
        <f t="shared" si="59"/>
        <v>0</v>
      </c>
      <c r="I184" s="337">
        <f t="shared" si="60"/>
        <v>162364.74409444976</v>
      </c>
      <c r="J184" s="340">
        <f t="shared" si="61"/>
        <v>1.5707901678223586</v>
      </c>
      <c r="K184" s="348">
        <f t="shared" si="82"/>
        <v>16.113723657363238</v>
      </c>
      <c r="L184" s="349">
        <f t="shared" si="83"/>
        <v>1.5086975207812632</v>
      </c>
      <c r="M184" s="337">
        <f t="shared" si="64"/>
        <v>1.0006637201735062</v>
      </c>
      <c r="N184" s="340">
        <f t="shared" si="65"/>
        <v>3.6423983241277047E-2</v>
      </c>
      <c r="O184" s="341">
        <f t="shared" si="66"/>
        <v>1.0026989825185708</v>
      </c>
      <c r="P184" s="342">
        <f t="shared" si="67"/>
        <v>8.8110535897549677E-2</v>
      </c>
      <c r="Q184" s="343">
        <f t="shared" si="68"/>
        <v>-4.7025833484654758</v>
      </c>
      <c r="R184" s="344">
        <f t="shared" si="69"/>
        <v>-94.213352223679024</v>
      </c>
      <c r="S184" s="346">
        <f t="shared" si="70"/>
        <v>85.786647776320976</v>
      </c>
      <c r="U184" s="319">
        <f t="shared" si="76"/>
        <v>10352</v>
      </c>
      <c r="V184" s="319">
        <f t="shared" si="77"/>
        <v>107163904</v>
      </c>
      <c r="X184" s="345">
        <f t="shared" si="71"/>
        <v>17.635544893945699</v>
      </c>
      <c r="Y184" s="346">
        <f t="shared" si="72"/>
        <v>-5.644587133480548</v>
      </c>
      <c r="AA184" s="345">
        <f t="shared" si="73"/>
        <v>26.53582174224308</v>
      </c>
      <c r="AB184" s="346">
        <f t="shared" si="74"/>
        <v>-88.568765090198454</v>
      </c>
      <c r="AD184">
        <f t="shared" si="78"/>
        <v>0</v>
      </c>
      <c r="AE184">
        <f t="shared" si="81"/>
        <v>0</v>
      </c>
    </row>
    <row r="185" spans="1:31" x14ac:dyDescent="0.2">
      <c r="A185" s="347">
        <v>10411.5</v>
      </c>
      <c r="B185" s="364">
        <f t="shared" si="75"/>
        <v>10.4115</v>
      </c>
      <c r="C185" s="337">
        <f t="shared" si="54"/>
        <v>11.563974100875164</v>
      </c>
      <c r="D185" s="338">
        <f t="shared" si="55"/>
        <v>1.4842127234142828</v>
      </c>
      <c r="E185" s="338">
        <f t="shared" si="56"/>
        <v>1.0003422961444204</v>
      </c>
      <c r="F185" s="339">
        <f t="shared" si="57"/>
        <v>2.6160983699241355E-2</v>
      </c>
      <c r="G185" s="338">
        <f t="shared" si="58"/>
        <v>1</v>
      </c>
      <c r="H185" s="339">
        <f t="shared" si="59"/>
        <v>0</v>
      </c>
      <c r="I185" s="337">
        <f t="shared" si="60"/>
        <v>163297.96494773938</v>
      </c>
      <c r="J185" s="340">
        <f t="shared" si="61"/>
        <v>1.5707902030198677</v>
      </c>
      <c r="K185" s="348">
        <f t="shared" si="82"/>
        <v>16.20598453096801</v>
      </c>
      <c r="L185" s="349">
        <f t="shared" si="83"/>
        <v>1.5090515013120296</v>
      </c>
      <c r="M185" s="337">
        <f t="shared" si="64"/>
        <v>1.0006713692377083</v>
      </c>
      <c r="N185" s="340">
        <f t="shared" si="65"/>
        <v>3.6633149984534159E-2</v>
      </c>
      <c r="O185" s="341">
        <f t="shared" si="66"/>
        <v>1.0027300633524525</v>
      </c>
      <c r="P185" s="342">
        <f t="shared" si="67"/>
        <v>8.8615539206220437E-2</v>
      </c>
      <c r="Q185" s="343">
        <f t="shared" si="68"/>
        <v>-4.7524821559448487</v>
      </c>
      <c r="R185" s="344">
        <f t="shared" si="69"/>
        <v>-94.253799425732097</v>
      </c>
      <c r="S185" s="346">
        <f t="shared" si="70"/>
        <v>85.746200574267903</v>
      </c>
      <c r="U185" s="319">
        <f t="shared" si="76"/>
        <v>10411.5</v>
      </c>
      <c r="V185" s="319">
        <f t="shared" si="77"/>
        <v>108399332.25</v>
      </c>
      <c r="X185" s="345">
        <f t="shared" si="71"/>
        <v>17.635287868598283</v>
      </c>
      <c r="Y185" s="346">
        <f t="shared" si="72"/>
        <v>-5.6362919313002049</v>
      </c>
      <c r="AA185" s="345">
        <f t="shared" si="73"/>
        <v>26.486179960111123</v>
      </c>
      <c r="AB185" s="346">
        <f t="shared" si="74"/>
        <v>-88.617507494431877</v>
      </c>
      <c r="AD185">
        <f t="shared" si="78"/>
        <v>0</v>
      </c>
      <c r="AE185">
        <f t="shared" si="81"/>
        <v>0</v>
      </c>
    </row>
    <row r="186" spans="1:31" x14ac:dyDescent="0.2">
      <c r="A186" s="347">
        <v>10471</v>
      </c>
      <c r="B186" s="364">
        <f t="shared" si="75"/>
        <v>10.471</v>
      </c>
      <c r="C186" s="337">
        <f t="shared" si="54"/>
        <v>11.629567500387454</v>
      </c>
      <c r="D186" s="338">
        <f t="shared" si="55"/>
        <v>1.4847022882158916</v>
      </c>
      <c r="E186" s="338">
        <f t="shared" si="56"/>
        <v>1.0003462189762915</v>
      </c>
      <c r="F186" s="339">
        <f t="shared" si="57"/>
        <v>2.6310420602660648E-2</v>
      </c>
      <c r="G186" s="338">
        <f t="shared" si="58"/>
        <v>1</v>
      </c>
      <c r="H186" s="339">
        <f t="shared" si="59"/>
        <v>0</v>
      </c>
      <c r="I186" s="337">
        <f t="shared" si="60"/>
        <v>164231.18580102923</v>
      </c>
      <c r="J186" s="340">
        <f t="shared" si="61"/>
        <v>1.570790237817367</v>
      </c>
      <c r="K186" s="348">
        <f t="shared" si="82"/>
        <v>16.298247412228314</v>
      </c>
      <c r="L186" s="349">
        <f t="shared" si="83"/>
        <v>1.5094014741837074</v>
      </c>
      <c r="M186" s="337">
        <f t="shared" si="64"/>
        <v>1.0006790620813395</v>
      </c>
      <c r="N186" s="340">
        <f t="shared" si="65"/>
        <v>3.6842313520951984E-2</v>
      </c>
      <c r="O186" s="341">
        <f t="shared" si="66"/>
        <v>1.0027613215350257</v>
      </c>
      <c r="P186" s="342">
        <f t="shared" si="67"/>
        <v>8.9120518063458776E-2</v>
      </c>
      <c r="Q186" s="343">
        <f t="shared" si="68"/>
        <v>-4.8021020972171673</v>
      </c>
      <c r="R186" s="344">
        <f t="shared" si="69"/>
        <v>-94.294154689225607</v>
      </c>
      <c r="S186" s="346">
        <f t="shared" si="70"/>
        <v>85.705845310774393</v>
      </c>
      <c r="U186" s="319">
        <f t="shared" si="76"/>
        <v>10471</v>
      </c>
      <c r="V186" s="319">
        <f t="shared" si="77"/>
        <v>109641841</v>
      </c>
      <c r="X186" s="345">
        <f t="shared" si="71"/>
        <v>17.635033696053465</v>
      </c>
      <c r="Y186" s="346">
        <f t="shared" si="72"/>
        <v>-5.6282261444143868</v>
      </c>
      <c r="AA186" s="345">
        <f t="shared" si="73"/>
        <v>26.436814191383622</v>
      </c>
      <c r="AB186" s="346">
        <f t="shared" si="74"/>
        <v>-88.665928544811209</v>
      </c>
      <c r="AD186">
        <f t="shared" si="78"/>
        <v>0</v>
      </c>
      <c r="AE186">
        <f t="shared" si="81"/>
        <v>0</v>
      </c>
    </row>
    <row r="187" spans="1:31" x14ac:dyDescent="0.2">
      <c r="A187" s="347">
        <v>10532</v>
      </c>
      <c r="B187" s="364">
        <f t="shared" si="75"/>
        <v>10.532</v>
      </c>
      <c r="C187" s="337">
        <f t="shared" si="54"/>
        <v>11.696817375739974</v>
      </c>
      <c r="D187" s="338">
        <f t="shared" si="55"/>
        <v>1.4851984947244983</v>
      </c>
      <c r="E187" s="338">
        <f t="shared" si="56"/>
        <v>1.0003502638938746</v>
      </c>
      <c r="F187" s="339">
        <f t="shared" si="57"/>
        <v>2.6463623602736543E-2</v>
      </c>
      <c r="G187" s="338">
        <f t="shared" si="58"/>
        <v>1</v>
      </c>
      <c r="H187" s="339">
        <f t="shared" si="59"/>
        <v>0</v>
      </c>
      <c r="I187" s="337">
        <f t="shared" si="60"/>
        <v>165187.93323045262</v>
      </c>
      <c r="J187" s="340">
        <f t="shared" si="61"/>
        <v>1.5707902730839478</v>
      </c>
      <c r="K187" s="348">
        <f t="shared" si="82"/>
        <v>16.392838297204523</v>
      </c>
      <c r="L187" s="349">
        <f t="shared" si="83"/>
        <v>1.5097561801681285</v>
      </c>
      <c r="M187" s="337">
        <f t="shared" si="64"/>
        <v>1.0006869943100134</v>
      </c>
      <c r="N187" s="340">
        <f t="shared" si="65"/>
        <v>3.7056746739492837E-2</v>
      </c>
      <c r="O187" s="341">
        <f t="shared" si="66"/>
        <v>1.0027935518365592</v>
      </c>
      <c r="P187" s="342">
        <f t="shared" si="67"/>
        <v>8.9638201953012475E-2</v>
      </c>
      <c r="Q187" s="343">
        <f t="shared" si="68"/>
        <v>-4.8526867535670846</v>
      </c>
      <c r="R187" s="344">
        <f t="shared" si="69"/>
        <v>-94.335433427823787</v>
      </c>
      <c r="S187" s="346">
        <f t="shared" si="70"/>
        <v>85.664566572176213</v>
      </c>
      <c r="U187" s="319">
        <f t="shared" si="76"/>
        <v>10532</v>
      </c>
      <c r="V187" s="319">
        <f t="shared" si="77"/>
        <v>110923024</v>
      </c>
      <c r="X187" s="345">
        <f t="shared" si="71"/>
        <v>17.634776001395426</v>
      </c>
      <c r="Y187" s="346">
        <f t="shared" si="72"/>
        <v>-5.6201911275658825</v>
      </c>
      <c r="AA187" s="345">
        <f t="shared" si="73"/>
        <v>26.386487229691745</v>
      </c>
      <c r="AB187" s="346">
        <f t="shared" si="74"/>
        <v>-88.715242300257898</v>
      </c>
      <c r="AD187">
        <f t="shared" si="78"/>
        <v>0</v>
      </c>
      <c r="AE187">
        <f t="shared" si="81"/>
        <v>0</v>
      </c>
    </row>
    <row r="188" spans="1:31" x14ac:dyDescent="0.2">
      <c r="A188" s="347">
        <v>10593</v>
      </c>
      <c r="B188" s="364">
        <f t="shared" si="75"/>
        <v>10.593</v>
      </c>
      <c r="C188" s="337">
        <f t="shared" si="54"/>
        <v>11.764070098165645</v>
      </c>
      <c r="D188" s="338">
        <f t="shared" si="55"/>
        <v>1.4856890279355752</v>
      </c>
      <c r="E188" s="338">
        <f t="shared" si="56"/>
        <v>1.0003543322906476</v>
      </c>
      <c r="F188" s="339">
        <f t="shared" si="57"/>
        <v>2.6616825360268596E-2</v>
      </c>
      <c r="G188" s="338">
        <f t="shared" si="58"/>
        <v>1</v>
      </c>
      <c r="H188" s="339">
        <f t="shared" si="59"/>
        <v>0</v>
      </c>
      <c r="I188" s="337">
        <f t="shared" si="60"/>
        <v>166144.68065987621</v>
      </c>
      <c r="J188" s="340">
        <f t="shared" si="61"/>
        <v>1.5707903079443621</v>
      </c>
      <c r="K188" s="348">
        <f t="shared" si="82"/>
        <v>16.487431221001824</v>
      </c>
      <c r="L188" s="349">
        <f t="shared" si="83"/>
        <v>1.510106816104827</v>
      </c>
      <c r="M188" s="337">
        <f t="shared" si="64"/>
        <v>1.0006949725511509</v>
      </c>
      <c r="N188" s="340">
        <f t="shared" si="65"/>
        <v>3.7271176548669793E-2</v>
      </c>
      <c r="O188" s="341">
        <f t="shared" si="66"/>
        <v>1.0028259685129826</v>
      </c>
      <c r="P188" s="342">
        <f t="shared" si="67"/>
        <v>9.0155859851476491E-2</v>
      </c>
      <c r="Q188" s="343">
        <f t="shared" si="68"/>
        <v>-4.9029849437726085</v>
      </c>
      <c r="R188" s="344">
        <f t="shared" si="69"/>
        <v>-94.376618670373418</v>
      </c>
      <c r="S188" s="346">
        <f t="shared" si="70"/>
        <v>85.623381329626582</v>
      </c>
      <c r="U188" s="319">
        <f t="shared" si="76"/>
        <v>10593</v>
      </c>
      <c r="V188" s="319">
        <f t="shared" si="77"/>
        <v>112211649</v>
      </c>
      <c r="X188" s="345">
        <f t="shared" si="71"/>
        <v>17.634521152870693</v>
      </c>
      <c r="Y188" s="346">
        <f t="shared" si="72"/>
        <v>-5.6123890886607706</v>
      </c>
      <c r="AA188" s="345">
        <f t="shared" si="73"/>
        <v>26.336443888010955</v>
      </c>
      <c r="AB188" s="346">
        <f t="shared" si="74"/>
        <v>-88.764229581712613</v>
      </c>
      <c r="AD188">
        <f t="shared" si="78"/>
        <v>0</v>
      </c>
      <c r="AE188">
        <f t="shared" si="81"/>
        <v>0</v>
      </c>
    </row>
    <row r="189" spans="1:31" x14ac:dyDescent="0.2">
      <c r="A189" s="347">
        <v>10654</v>
      </c>
      <c r="B189" s="364">
        <f t="shared" si="75"/>
        <v>10.654</v>
      </c>
      <c r="C189" s="337">
        <f t="shared" si="54"/>
        <v>11.831325619113674</v>
      </c>
      <c r="D189" s="338">
        <f t="shared" si="55"/>
        <v>1.486173984361103</v>
      </c>
      <c r="E189" s="338">
        <f t="shared" si="56"/>
        <v>1.0003584241663244</v>
      </c>
      <c r="F189" s="339">
        <f t="shared" si="57"/>
        <v>2.6770025868080492E-2</v>
      </c>
      <c r="G189" s="338">
        <f t="shared" si="58"/>
        <v>1</v>
      </c>
      <c r="H189" s="339">
        <f t="shared" si="59"/>
        <v>0</v>
      </c>
      <c r="I189" s="337">
        <f t="shared" si="60"/>
        <v>167101.42808930003</v>
      </c>
      <c r="J189" s="340">
        <f t="shared" si="61"/>
        <v>1.5707903424055862</v>
      </c>
      <c r="K189" s="348">
        <f t="shared" si="82"/>
        <v>16.58202614872858</v>
      </c>
      <c r="L189" s="349">
        <f t="shared" si="83"/>
        <v>1.5104534515616321</v>
      </c>
      <c r="M189" s="337">
        <f t="shared" si="64"/>
        <v>1.0007029968036518</v>
      </c>
      <c r="N189" s="340">
        <f t="shared" si="65"/>
        <v>3.7485602928845625E-2</v>
      </c>
      <c r="O189" s="341">
        <f t="shared" si="66"/>
        <v>1.0028585715497638</v>
      </c>
      <c r="P189" s="342">
        <f t="shared" si="67"/>
        <v>9.0673491611482027E-2</v>
      </c>
      <c r="Q189" s="343">
        <f t="shared" si="68"/>
        <v>-4.9529999433098384</v>
      </c>
      <c r="R189" s="344">
        <f t="shared" si="69"/>
        <v>-94.417711951902703</v>
      </c>
      <c r="S189" s="346">
        <f t="shared" si="70"/>
        <v>85.582288048097297</v>
      </c>
      <c r="U189" s="319">
        <f t="shared" si="76"/>
        <v>10654</v>
      </c>
      <c r="V189" s="319">
        <f t="shared" si="77"/>
        <v>113507716</v>
      </c>
      <c r="X189" s="345">
        <f t="shared" si="71"/>
        <v>17.634269076620377</v>
      </c>
      <c r="Y189" s="346">
        <f t="shared" si="72"/>
        <v>-5.6048160410306433</v>
      </c>
      <c r="AA189" s="345">
        <f t="shared" si="73"/>
        <v>26.286680964724034</v>
      </c>
      <c r="AB189" s="346">
        <f t="shared" si="74"/>
        <v>-88.812895910872072</v>
      </c>
      <c r="AD189">
        <f t="shared" si="78"/>
        <v>0</v>
      </c>
      <c r="AE189">
        <f t="shared" si="81"/>
        <v>0</v>
      </c>
    </row>
    <row r="190" spans="1:31" x14ac:dyDescent="0.2">
      <c r="A190" s="347">
        <v>10715</v>
      </c>
      <c r="B190" s="364">
        <f t="shared" si="75"/>
        <v>10.715</v>
      </c>
      <c r="C190" s="337">
        <f t="shared" si="54"/>
        <v>11.898583891128983</v>
      </c>
      <c r="D190" s="338">
        <f t="shared" si="55"/>
        <v>1.4866534583415059</v>
      </c>
      <c r="E190" s="338">
        <f t="shared" si="56"/>
        <v>1.0003625395206168</v>
      </c>
      <c r="F190" s="339">
        <f t="shared" si="57"/>
        <v>2.6923225118996256E-2</v>
      </c>
      <c r="G190" s="338">
        <f t="shared" si="58"/>
        <v>1</v>
      </c>
      <c r="H190" s="339">
        <f t="shared" si="59"/>
        <v>0</v>
      </c>
      <c r="I190" s="337">
        <f t="shared" si="60"/>
        <v>168058.17551872402</v>
      </c>
      <c r="J190" s="340">
        <f t="shared" si="61"/>
        <v>1.5707903764744382</v>
      </c>
      <c r="K190" s="348">
        <f t="shared" si="82"/>
        <v>16.676623046284071</v>
      </c>
      <c r="L190" s="349">
        <f t="shared" si="83"/>
        <v>1.5107961545317949</v>
      </c>
      <c r="M190" s="337">
        <f t="shared" si="64"/>
        <v>1.0007110670664088</v>
      </c>
      <c r="N190" s="340">
        <f t="shared" si="65"/>
        <v>3.7700025860384963E-2</v>
      </c>
      <c r="O190" s="341">
        <f t="shared" si="66"/>
        <v>1.00289136093229</v>
      </c>
      <c r="P190" s="342">
        <f t="shared" si="67"/>
        <v>9.119109708571467E-2</v>
      </c>
      <c r="Q190" s="343">
        <f t="shared" si="68"/>
        <v>-5.002734972317926</v>
      </c>
      <c r="R190" s="344">
        <f t="shared" si="69"/>
        <v>-94.458714773229886</v>
      </c>
      <c r="S190" s="346">
        <f t="shared" si="70"/>
        <v>85.541285226770114</v>
      </c>
      <c r="U190" s="319">
        <f t="shared" si="76"/>
        <v>10715</v>
      </c>
      <c r="V190" s="319">
        <f t="shared" si="77"/>
        <v>114811225</v>
      </c>
      <c r="X190" s="345">
        <f t="shared" si="71"/>
        <v>17.634019700875019</v>
      </c>
      <c r="Y190" s="346">
        <f t="shared" si="72"/>
        <v>-5.5974680882147743</v>
      </c>
      <c r="AA190" s="345">
        <f t="shared" si="73"/>
        <v>26.23719531146131</v>
      </c>
      <c r="AB190" s="346">
        <f t="shared" si="74"/>
        <v>-88.861246685015104</v>
      </c>
      <c r="AD190">
        <f t="shared" si="78"/>
        <v>0</v>
      </c>
      <c r="AE190">
        <f t="shared" si="81"/>
        <v>0</v>
      </c>
    </row>
    <row r="191" spans="1:31" x14ac:dyDescent="0.2">
      <c r="A191" s="347">
        <v>10777.5</v>
      </c>
      <c r="B191" s="364">
        <f t="shared" si="75"/>
        <v>10.7775</v>
      </c>
      <c r="C191" s="337">
        <f t="shared" si="54"/>
        <v>11.967498859949043</v>
      </c>
      <c r="D191" s="338">
        <f t="shared" si="55"/>
        <v>1.4871391327717509</v>
      </c>
      <c r="E191" s="338">
        <f t="shared" si="56"/>
        <v>1.0003667804235712</v>
      </c>
      <c r="F191" s="339">
        <f t="shared" si="57"/>
        <v>2.7080190253466137E-2</v>
      </c>
      <c r="G191" s="338">
        <f t="shared" si="58"/>
        <v>1</v>
      </c>
      <c r="H191" s="339">
        <f t="shared" si="59"/>
        <v>0</v>
      </c>
      <c r="I191" s="337">
        <f t="shared" si="60"/>
        <v>169038.4495242816</v>
      </c>
      <c r="J191" s="340">
        <f t="shared" si="61"/>
        <v>1.5707904109810518</v>
      </c>
      <c r="K191" s="348">
        <f t="shared" si="82"/>
        <v>16.77354810528993</v>
      </c>
      <c r="L191" s="349">
        <f t="shared" si="83"/>
        <v>1.5111432753877916</v>
      </c>
      <c r="M191" s="337">
        <f t="shared" si="64"/>
        <v>1.0007193834983523</v>
      </c>
      <c r="N191" s="340">
        <f t="shared" si="65"/>
        <v>3.7919717889548732E-2</v>
      </c>
      <c r="O191" s="341">
        <f t="shared" si="66"/>
        <v>1.0029251498712344</v>
      </c>
      <c r="P191" s="342">
        <f t="shared" si="67"/>
        <v>9.1721403146147101E-2</v>
      </c>
      <c r="Q191" s="343">
        <f t="shared" si="68"/>
        <v>-5.0534059222353198</v>
      </c>
      <c r="R191" s="344">
        <f t="shared" si="69"/>
        <v>-94.500633570842894</v>
      </c>
      <c r="S191" s="346">
        <f t="shared" si="70"/>
        <v>85.499366429157106</v>
      </c>
      <c r="U191" s="319">
        <f t="shared" si="76"/>
        <v>10777.5</v>
      </c>
      <c r="V191" s="319">
        <f t="shared" si="77"/>
        <v>116154506.25</v>
      </c>
      <c r="X191" s="345">
        <f t="shared" si="71"/>
        <v>17.633766920944701</v>
      </c>
      <c r="Y191" s="346">
        <f t="shared" si="72"/>
        <v>-5.5901689313239267</v>
      </c>
      <c r="AA191" s="345">
        <f t="shared" si="73"/>
        <v>26.186777141474238</v>
      </c>
      <c r="AB191" s="346">
        <f t="shared" si="74"/>
        <v>-88.910464639518977</v>
      </c>
      <c r="AD191">
        <f t="shared" si="78"/>
        <v>0</v>
      </c>
      <c r="AE191">
        <f t="shared" si="81"/>
        <v>0</v>
      </c>
    </row>
    <row r="192" spans="1:31" x14ac:dyDescent="0.2">
      <c r="A192" s="347">
        <v>10840</v>
      </c>
      <c r="B192" s="364">
        <f t="shared" si="75"/>
        <v>10.84</v>
      </c>
      <c r="C192" s="337">
        <f t="shared" si="54"/>
        <v>12.036416619333062</v>
      </c>
      <c r="D192" s="338">
        <f t="shared" si="55"/>
        <v>1.4876192455935013</v>
      </c>
      <c r="E192" s="338">
        <f t="shared" si="56"/>
        <v>1.0003710459734068</v>
      </c>
      <c r="F192" s="339">
        <f t="shared" si="57"/>
        <v>2.7237154053214745E-2</v>
      </c>
      <c r="G192" s="338">
        <f t="shared" si="58"/>
        <v>1</v>
      </c>
      <c r="H192" s="339">
        <f t="shared" si="59"/>
        <v>0</v>
      </c>
      <c r="I192" s="337">
        <f t="shared" si="60"/>
        <v>170018.72352983936</v>
      </c>
      <c r="J192" s="340">
        <f t="shared" si="61"/>
        <v>1.570790445089757</v>
      </c>
      <c r="K192" s="348">
        <f t="shared" si="82"/>
        <v>16.870475162165551</v>
      </c>
      <c r="L192" s="349">
        <f t="shared" si="83"/>
        <v>1.5114864076119086</v>
      </c>
      <c r="M192" s="337">
        <f t="shared" si="64"/>
        <v>1.0007277482288004</v>
      </c>
      <c r="N192" s="340">
        <f t="shared" si="65"/>
        <v>3.8139406256659084E-2</v>
      </c>
      <c r="O192" s="341">
        <f t="shared" si="66"/>
        <v>1.0029591344018265</v>
      </c>
      <c r="P192" s="342">
        <f t="shared" si="67"/>
        <v>9.2251681299245547E-2</v>
      </c>
      <c r="Q192" s="343">
        <f t="shared" si="68"/>
        <v>-5.1037896345222586</v>
      </c>
      <c r="R192" s="344">
        <f t="shared" si="69"/>
        <v>-94.542460488417262</v>
      </c>
      <c r="S192" s="346">
        <f t="shared" si="70"/>
        <v>85.457539511582738</v>
      </c>
      <c r="U192" s="319">
        <f t="shared" si="76"/>
        <v>10840</v>
      </c>
      <c r="V192" s="319">
        <f t="shared" si="77"/>
        <v>117505600</v>
      </c>
      <c r="X192" s="345">
        <f t="shared" si="71"/>
        <v>17.633516829849558</v>
      </c>
      <c r="Y192" s="346">
        <f t="shared" si="72"/>
        <v>-5.5830980735874061</v>
      </c>
      <c r="AA192" s="345">
        <f t="shared" si="73"/>
        <v>26.136643520282441</v>
      </c>
      <c r="AB192" s="346">
        <f t="shared" si="74"/>
        <v>-88.959362414829855</v>
      </c>
      <c r="AD192">
        <f t="shared" si="78"/>
        <v>0</v>
      </c>
      <c r="AE192">
        <f t="shared" si="81"/>
        <v>0</v>
      </c>
    </row>
    <row r="193" spans="1:31" x14ac:dyDescent="0.2">
      <c r="A193" s="347">
        <v>10902.5</v>
      </c>
      <c r="B193" s="364">
        <f t="shared" si="75"/>
        <v>10.9025</v>
      </c>
      <c r="C193" s="337">
        <f t="shared" si="54"/>
        <v>12.105337121619559</v>
      </c>
      <c r="D193" s="338">
        <f t="shared" si="55"/>
        <v>1.4880938915768573</v>
      </c>
      <c r="E193" s="338">
        <f t="shared" si="56"/>
        <v>1.0003753361698078</v>
      </c>
      <c r="F193" s="339">
        <f t="shared" si="57"/>
        <v>2.7394116510524768E-2</v>
      </c>
      <c r="G193" s="338">
        <f t="shared" si="58"/>
        <v>1</v>
      </c>
      <c r="H193" s="339">
        <f t="shared" si="59"/>
        <v>0</v>
      </c>
      <c r="I193" s="337">
        <f t="shared" si="60"/>
        <v>170998.99753539736</v>
      </c>
      <c r="J193" s="340">
        <f t="shared" si="61"/>
        <v>1.5707904788073972</v>
      </c>
      <c r="K193" s="348">
        <f t="shared" si="82"/>
        <v>16.967404182672166</v>
      </c>
      <c r="L193" s="349">
        <f t="shared" si="83"/>
        <v>1.5118256194797446</v>
      </c>
      <c r="M193" s="337">
        <f t="shared" si="64"/>
        <v>1.0007361612565413</v>
      </c>
      <c r="N193" s="340">
        <f t="shared" si="65"/>
        <v>3.8359090940602476E-2</v>
      </c>
      <c r="O193" s="341">
        <f t="shared" si="66"/>
        <v>1.0029933145080825</v>
      </c>
      <c r="P193" s="342">
        <f t="shared" si="67"/>
        <v>9.2781931386737987E-2</v>
      </c>
      <c r="Q193" s="343">
        <f t="shared" si="68"/>
        <v>-5.1538894000022868</v>
      </c>
      <c r="R193" s="344">
        <f t="shared" si="69"/>
        <v>-94.584197034532352</v>
      </c>
      <c r="S193" s="346">
        <f t="shared" si="70"/>
        <v>85.415802965467648</v>
      </c>
      <c r="U193" s="319">
        <f t="shared" si="76"/>
        <v>10902.5</v>
      </c>
      <c r="V193" s="319">
        <f t="shared" si="77"/>
        <v>118864506.25</v>
      </c>
      <c r="X193" s="345">
        <f t="shared" si="71"/>
        <v>17.633269356766647</v>
      </c>
      <c r="Y193" s="346">
        <f t="shared" si="72"/>
        <v>-5.576251602283925</v>
      </c>
      <c r="AA193" s="345">
        <f t="shared" si="73"/>
        <v>26.086791227885321</v>
      </c>
      <c r="AB193" s="346">
        <f t="shared" si="74"/>
        <v>-89.007945432248405</v>
      </c>
      <c r="AD193">
        <f t="shared" si="78"/>
        <v>0</v>
      </c>
      <c r="AE193">
        <f t="shared" si="81"/>
        <v>0</v>
      </c>
    </row>
    <row r="194" spans="1:31" x14ac:dyDescent="0.2">
      <c r="A194" s="347">
        <v>10965</v>
      </c>
      <c r="B194" s="364">
        <f t="shared" si="75"/>
        <v>10.965</v>
      </c>
      <c r="C194" s="337">
        <f t="shared" si="54"/>
        <v>12.174260320224466</v>
      </c>
      <c r="D194" s="338">
        <f t="shared" si="55"/>
        <v>1.4885631633557799</v>
      </c>
      <c r="E194" s="338">
        <f t="shared" si="56"/>
        <v>1.0003796510124572</v>
      </c>
      <c r="F194" s="339">
        <f t="shared" si="57"/>
        <v>2.755107761767929E-2</v>
      </c>
      <c r="G194" s="338">
        <f t="shared" si="58"/>
        <v>1</v>
      </c>
      <c r="H194" s="339">
        <f t="shared" si="59"/>
        <v>0</v>
      </c>
      <c r="I194" s="337">
        <f t="shared" si="60"/>
        <v>171979.27154095552</v>
      </c>
      <c r="J194" s="340">
        <f t="shared" si="61"/>
        <v>1.5707905121406593</v>
      </c>
      <c r="K194" s="348">
        <f t="shared" si="82"/>
        <v>17.064335133348269</v>
      </c>
      <c r="L194" s="349">
        <f t="shared" si="83"/>
        <v>1.5121609777192448</v>
      </c>
      <c r="M194" s="337">
        <f t="shared" si="64"/>
        <v>1.0007446225803576</v>
      </c>
      <c r="N194" s="340">
        <f t="shared" si="65"/>
        <v>3.8578771920267506E-2</v>
      </c>
      <c r="O194" s="341">
        <f t="shared" si="66"/>
        <v>1.0030276901739283</v>
      </c>
      <c r="P194" s="342">
        <f t="shared" si="67"/>
        <v>9.3312153250413615E-2</v>
      </c>
      <c r="Q194" s="343">
        <f t="shared" si="68"/>
        <v>-5.2037084537996794</v>
      </c>
      <c r="R194" s="344">
        <f t="shared" si="69"/>
        <v>-94.625844684044338</v>
      </c>
      <c r="S194" s="346">
        <f t="shared" si="70"/>
        <v>85.374155315955662</v>
      </c>
      <c r="U194" s="319">
        <f t="shared" si="76"/>
        <v>10965</v>
      </c>
      <c r="V194" s="319">
        <f t="shared" si="77"/>
        <v>120231225</v>
      </c>
      <c r="X194" s="345">
        <f t="shared" si="71"/>
        <v>17.633024432879441</v>
      </c>
      <c r="Y194" s="346">
        <f t="shared" si="72"/>
        <v>-5.5696256933573975</v>
      </c>
      <c r="AA194" s="345">
        <f t="shared" si="73"/>
        <v>26.037217097975137</v>
      </c>
      <c r="AB194" s="346">
        <f t="shared" si="74"/>
        <v>-89.056218990686943</v>
      </c>
      <c r="AD194">
        <f t="shared" si="78"/>
        <v>0</v>
      </c>
      <c r="AE194">
        <f t="shared" si="81"/>
        <v>0</v>
      </c>
    </row>
    <row r="195" spans="1:31" x14ac:dyDescent="0.2">
      <c r="A195" s="347">
        <v>11028.75</v>
      </c>
      <c r="B195" s="364">
        <f t="shared" si="75"/>
        <v>11.02875</v>
      </c>
      <c r="C195" s="337">
        <f t="shared" si="54"/>
        <v>12.244564713329142</v>
      </c>
      <c r="D195" s="338">
        <f t="shared" si="55"/>
        <v>1.4890363779686693</v>
      </c>
      <c r="E195" s="338">
        <f t="shared" si="56"/>
        <v>1.0003840775421942</v>
      </c>
      <c r="F195" s="339">
        <f t="shared" si="57"/>
        <v>2.7711176548044166E-2</v>
      </c>
      <c r="G195" s="338">
        <f t="shared" si="58"/>
        <v>1</v>
      </c>
      <c r="H195" s="339">
        <f t="shared" si="59"/>
        <v>0</v>
      </c>
      <c r="I195" s="337">
        <f t="shared" si="60"/>
        <v>172979.15102662501</v>
      </c>
      <c r="J195" s="340">
        <f t="shared" si="61"/>
        <v>1.5707905457513773</v>
      </c>
      <c r="K195" s="348">
        <f t="shared" si="82"/>
        <v>17.163206657583796</v>
      </c>
      <c r="L195" s="349">
        <f t="shared" si="83"/>
        <v>1.5124991407495645</v>
      </c>
      <c r="M195" s="337">
        <f t="shared" si="64"/>
        <v>1.0007533028839961</v>
      </c>
      <c r="N195" s="340">
        <f t="shared" si="65"/>
        <v>3.8802842681486545E-2</v>
      </c>
      <c r="O195" s="341">
        <f t="shared" si="66"/>
        <v>1.003062954801818</v>
      </c>
      <c r="P195" s="342">
        <f t="shared" si="67"/>
        <v>9.3852950311175354E-2</v>
      </c>
      <c r="Q195" s="343">
        <f t="shared" si="68"/>
        <v>-5.2542379977922335</v>
      </c>
      <c r="R195" s="344">
        <f t="shared" si="69"/>
        <v>-94.668235200613267</v>
      </c>
      <c r="S195" s="346">
        <f t="shared" si="70"/>
        <v>85.331764799386733</v>
      </c>
      <c r="U195" s="319">
        <f t="shared" si="76"/>
        <v>11028.75</v>
      </c>
      <c r="V195" s="319">
        <f t="shared" si="77"/>
        <v>121633326.5625</v>
      </c>
      <c r="X195" s="345">
        <f t="shared" si="71"/>
        <v>17.632777167348795</v>
      </c>
      <c r="Y195" s="346">
        <f t="shared" si="72"/>
        <v>-5.5630906136076863</v>
      </c>
      <c r="AA195" s="345">
        <f t="shared" si="73"/>
        <v>25.986934819513227</v>
      </c>
      <c r="AB195" s="346">
        <f t="shared" si="74"/>
        <v>-89.105144587005583</v>
      </c>
      <c r="AD195">
        <f t="shared" si="78"/>
        <v>0</v>
      </c>
      <c r="AE195">
        <f t="shared" si="81"/>
        <v>0</v>
      </c>
    </row>
    <row r="196" spans="1:31" x14ac:dyDescent="0.2">
      <c r="A196" s="347">
        <v>11092.5</v>
      </c>
      <c r="B196" s="364">
        <f t="shared" si="75"/>
        <v>11.092499999999999</v>
      </c>
      <c r="C196" s="337">
        <f t="shared" si="54"/>
        <v>12.314871817077131</v>
      </c>
      <c r="D196" s="338">
        <f t="shared" si="55"/>
        <v>1.4895041894055514</v>
      </c>
      <c r="E196" s="338">
        <f t="shared" si="56"/>
        <v>1.0003885297132158</v>
      </c>
      <c r="F196" s="339">
        <f t="shared" si="57"/>
        <v>2.7871274057490604E-2</v>
      </c>
      <c r="G196" s="338">
        <f t="shared" si="58"/>
        <v>1</v>
      </c>
      <c r="H196" s="339">
        <f t="shared" si="59"/>
        <v>0</v>
      </c>
      <c r="I196" s="337">
        <f t="shared" si="60"/>
        <v>173979.03051229476</v>
      </c>
      <c r="J196" s="340">
        <f t="shared" si="61"/>
        <v>1.5707905789757655</v>
      </c>
      <c r="K196" s="348">
        <f t="shared" si="82"/>
        <v>17.262080122021324</v>
      </c>
      <c r="L196" s="349">
        <f t="shared" si="83"/>
        <v>1.5128334299682324</v>
      </c>
      <c r="M196" s="337">
        <f t="shared" si="64"/>
        <v>1.0007620334322893</v>
      </c>
      <c r="N196" s="340">
        <f t="shared" si="65"/>
        <v>3.9026909544413298E-2</v>
      </c>
      <c r="O196" s="341">
        <f t="shared" si="66"/>
        <v>1.0030984228558395</v>
      </c>
      <c r="P196" s="342">
        <f t="shared" si="67"/>
        <v>9.4393717675576611E-2</v>
      </c>
      <c r="Q196" s="343">
        <f t="shared" si="68"/>
        <v>-5.3044821166336966</v>
      </c>
      <c r="R196" s="344">
        <f t="shared" si="69"/>
        <v>-94.71053622550491</v>
      </c>
      <c r="S196" s="346">
        <f t="shared" si="70"/>
        <v>85.28946377449509</v>
      </c>
      <c r="U196" s="319">
        <f t="shared" si="76"/>
        <v>11092.5</v>
      </c>
      <c r="V196" s="319">
        <f t="shared" si="77"/>
        <v>123043556.25</v>
      </c>
      <c r="X196" s="345">
        <f t="shared" si="71"/>
        <v>17.632532415464294</v>
      </c>
      <c r="Y196" s="346">
        <f t="shared" si="72"/>
        <v>-5.5567772414257277</v>
      </c>
      <c r="AA196" s="345">
        <f t="shared" si="73"/>
        <v>25.936935452556259</v>
      </c>
      <c r="AB196" s="346">
        <f t="shared" si="74"/>
        <v>-89.153758984079204</v>
      </c>
      <c r="AD196">
        <f t="shared" si="78"/>
        <v>0</v>
      </c>
      <c r="AE196">
        <f t="shared" si="81"/>
        <v>0</v>
      </c>
    </row>
    <row r="197" spans="1:31" x14ac:dyDescent="0.2">
      <c r="A197" s="347">
        <v>11156.25</v>
      </c>
      <c r="B197" s="364">
        <f t="shared" si="75"/>
        <v>11.15625</v>
      </c>
      <c r="C197" s="337">
        <f t="shared" si="54"/>
        <v>12.385181585305808</v>
      </c>
      <c r="D197" s="338">
        <f t="shared" si="55"/>
        <v>1.4899666894802068</v>
      </c>
      <c r="E197" s="338">
        <f t="shared" si="56"/>
        <v>1.0003930075251801</v>
      </c>
      <c r="F197" s="339">
        <f t="shared" si="57"/>
        <v>2.8031370137830639E-2</v>
      </c>
      <c r="G197" s="338">
        <f t="shared" si="58"/>
        <v>1</v>
      </c>
      <c r="H197" s="339">
        <f t="shared" si="59"/>
        <v>0</v>
      </c>
      <c r="I197" s="337">
        <f t="shared" si="60"/>
        <v>174978.90999796463</v>
      </c>
      <c r="J197" s="340">
        <f t="shared" si="61"/>
        <v>1.5707906118204462</v>
      </c>
      <c r="K197" s="348">
        <f t="shared" si="82"/>
        <v>17.360955493511558</v>
      </c>
      <c r="L197" s="349">
        <f t="shared" si="83"/>
        <v>1.5131639114871285</v>
      </c>
      <c r="M197" s="337">
        <f t="shared" si="64"/>
        <v>1.0007708142239222</v>
      </c>
      <c r="N197" s="340">
        <f t="shared" si="65"/>
        <v>3.9250972486651117E-2</v>
      </c>
      <c r="O197" s="341">
        <f t="shared" si="66"/>
        <v>1.0031340943186478</v>
      </c>
      <c r="P197" s="342">
        <f t="shared" si="67"/>
        <v>9.4934455175921625E-2</v>
      </c>
      <c r="Q197" s="343">
        <f t="shared" si="68"/>
        <v>-5.3544440722929814</v>
      </c>
      <c r="R197" s="344">
        <f t="shared" si="69"/>
        <v>-94.752749221286848</v>
      </c>
      <c r="S197" s="346">
        <f t="shared" si="70"/>
        <v>85.247250778713152</v>
      </c>
      <c r="U197" s="319">
        <f t="shared" si="76"/>
        <v>11156.25</v>
      </c>
      <c r="V197" s="319">
        <f t="shared" si="77"/>
        <v>124461914.0625</v>
      </c>
      <c r="X197" s="345">
        <f t="shared" si="71"/>
        <v>17.63229011022101</v>
      </c>
      <c r="Y197" s="346">
        <f t="shared" si="72"/>
        <v>-5.5506817879760471</v>
      </c>
      <c r="AA197" s="345">
        <f t="shared" si="73"/>
        <v>25.887215802140261</v>
      </c>
      <c r="AB197" s="346">
        <f t="shared" si="74"/>
        <v>-89.202067433310802</v>
      </c>
      <c r="AD197">
        <f t="shared" si="78"/>
        <v>0</v>
      </c>
      <c r="AE197">
        <f t="shared" si="81"/>
        <v>0</v>
      </c>
    </row>
    <row r="198" spans="1:31" x14ac:dyDescent="0.2">
      <c r="A198" s="347">
        <v>11220</v>
      </c>
      <c r="B198" s="364">
        <f t="shared" si="75"/>
        <v>11.22</v>
      </c>
      <c r="C198" s="337">
        <f t="shared" si="54"/>
        <v>12.455493972893153</v>
      </c>
      <c r="D198" s="338">
        <f t="shared" si="55"/>
        <v>1.4904239679424343</v>
      </c>
      <c r="E198" s="338">
        <f t="shared" si="56"/>
        <v>1.0003975109777421</v>
      </c>
      <c r="F198" s="339">
        <f t="shared" si="57"/>
        <v>2.8191464780876759E-2</v>
      </c>
      <c r="G198" s="338">
        <f t="shared" si="58"/>
        <v>1</v>
      </c>
      <c r="H198" s="339">
        <f t="shared" si="59"/>
        <v>0</v>
      </c>
      <c r="I198" s="337">
        <f t="shared" si="60"/>
        <v>175978.78948363476</v>
      </c>
      <c r="J198" s="340">
        <f t="shared" si="61"/>
        <v>1.570790644291892</v>
      </c>
      <c r="K198" s="348">
        <f t="shared" si="82"/>
        <v>17.459832739655472</v>
      </c>
      <c r="L198" s="349">
        <f t="shared" si="83"/>
        <v>1.5134906499239025</v>
      </c>
      <c r="M198" s="337">
        <f t="shared" si="64"/>
        <v>1.0007796452575719</v>
      </c>
      <c r="N198" s="340">
        <f t="shared" si="65"/>
        <v>3.9475031485805667E-2</v>
      </c>
      <c r="O198" s="341">
        <f t="shared" si="66"/>
        <v>1.0031699691727995</v>
      </c>
      <c r="P198" s="342">
        <f t="shared" si="67"/>
        <v>9.5475162644582237E-2</v>
      </c>
      <c r="Q198" s="343">
        <f t="shared" si="68"/>
        <v>-5.4041270716716756</v>
      </c>
      <c r="R198" s="344">
        <f t="shared" si="69"/>
        <v>-94.794875617877523</v>
      </c>
      <c r="S198" s="346">
        <f t="shared" si="70"/>
        <v>85.205124382122477</v>
      </c>
      <c r="U198" s="319">
        <f t="shared" si="76"/>
        <v>11220</v>
      </c>
      <c r="V198" s="319">
        <f t="shared" si="77"/>
        <v>125888400</v>
      </c>
      <c r="X198" s="345">
        <f t="shared" si="71"/>
        <v>17.632050186506628</v>
      </c>
      <c r="Y198" s="346">
        <f t="shared" si="72"/>
        <v>-5.5448005500277464</v>
      </c>
      <c r="AA198" s="345">
        <f t="shared" si="73"/>
        <v>25.837772726475947</v>
      </c>
      <c r="AB198" s="346">
        <f t="shared" si="74"/>
        <v>-89.250075067849778</v>
      </c>
      <c r="AD198">
        <f t="shared" si="78"/>
        <v>0</v>
      </c>
      <c r="AE198">
        <f t="shared" si="81"/>
        <v>0</v>
      </c>
    </row>
    <row r="199" spans="1:31" x14ac:dyDescent="0.2">
      <c r="A199" s="347">
        <v>11285.5</v>
      </c>
      <c r="B199" s="364">
        <f t="shared" si="75"/>
        <v>11.285500000000001</v>
      </c>
      <c r="C199" s="337">
        <f t="shared" si="54"/>
        <v>12.527739186298284</v>
      </c>
      <c r="D199" s="338">
        <f t="shared" si="55"/>
        <v>1.4908884527708581</v>
      </c>
      <c r="E199" s="338">
        <f t="shared" si="56"/>
        <v>1.0004021647601766</v>
      </c>
      <c r="F199" s="339">
        <f t="shared" si="57"/>
        <v>2.8355952673206567E-2</v>
      </c>
      <c r="G199" s="338">
        <f t="shared" si="58"/>
        <v>1</v>
      </c>
      <c r="H199" s="339">
        <f t="shared" si="59"/>
        <v>0</v>
      </c>
      <c r="I199" s="337">
        <f t="shared" si="60"/>
        <v>177006.11664146069</v>
      </c>
      <c r="J199" s="340">
        <f t="shared" si="61"/>
        <v>1.5707906772726148</v>
      </c>
      <c r="K199" s="348">
        <f t="shared" si="82"/>
        <v>17.561426182413616</v>
      </c>
      <c r="L199" s="349">
        <f t="shared" si="83"/>
        <v>1.5138225254135931</v>
      </c>
      <c r="M199" s="337">
        <f t="shared" si="64"/>
        <v>1.0007887710400916</v>
      </c>
      <c r="N199" s="340">
        <f t="shared" si="65"/>
        <v>3.9705236993685757E-2</v>
      </c>
      <c r="O199" s="341">
        <f t="shared" si="66"/>
        <v>1.0032070406513487</v>
      </c>
      <c r="P199" s="342">
        <f t="shared" si="67"/>
        <v>9.603068160764526E-2</v>
      </c>
      <c r="Q199" s="343">
        <f t="shared" si="68"/>
        <v>-5.4548866840238119</v>
      </c>
      <c r="R199" s="344">
        <f t="shared" si="69"/>
        <v>-94.838069697050216</v>
      </c>
      <c r="S199" s="346">
        <f t="shared" si="70"/>
        <v>85.161930302949784</v>
      </c>
      <c r="U199" s="319">
        <f t="shared" si="76"/>
        <v>11285.5</v>
      </c>
      <c r="V199" s="319">
        <f t="shared" si="77"/>
        <v>127362510.25</v>
      </c>
      <c r="X199" s="345">
        <f t="shared" si="71"/>
        <v>17.631806090636896</v>
      </c>
      <c r="Y199" s="346">
        <f t="shared" si="72"/>
        <v>-5.5389771788163964</v>
      </c>
      <c r="AA199" s="345">
        <f t="shared" si="73"/>
        <v>25.787257209993548</v>
      </c>
      <c r="AB199" s="346">
        <f t="shared" si="74"/>
        <v>-89.29909251823382</v>
      </c>
      <c r="AD199">
        <f t="shared" si="78"/>
        <v>0</v>
      </c>
      <c r="AE199">
        <f t="shared" si="81"/>
        <v>0</v>
      </c>
    </row>
    <row r="200" spans="1:31" x14ac:dyDescent="0.2">
      <c r="A200" s="347">
        <v>11351</v>
      </c>
      <c r="B200" s="364">
        <f t="shared" si="75"/>
        <v>11.351000000000001</v>
      </c>
      <c r="C200" s="337">
        <f t="shared" si="54"/>
        <v>12.59998707152014</v>
      </c>
      <c r="D200" s="338">
        <f t="shared" si="55"/>
        <v>1.4913476110178747</v>
      </c>
      <c r="E200" s="338">
        <f t="shared" si="56"/>
        <v>1.0004068456095065</v>
      </c>
      <c r="F200" s="339">
        <f t="shared" si="57"/>
        <v>2.8520439030726895E-2</v>
      </c>
      <c r="G200" s="338">
        <f t="shared" si="58"/>
        <v>1</v>
      </c>
      <c r="H200" s="339">
        <f t="shared" si="59"/>
        <v>0</v>
      </c>
      <c r="I200" s="337">
        <f t="shared" si="60"/>
        <v>178033.44379928679</v>
      </c>
      <c r="J200" s="340">
        <f t="shared" si="61"/>
        <v>1.5707907098727125</v>
      </c>
      <c r="K200" s="348">
        <f t="shared" si="82"/>
        <v>17.663021537160109</v>
      </c>
      <c r="L200" s="349">
        <f t="shared" si="83"/>
        <v>1.514150583131564</v>
      </c>
      <c r="M200" s="337">
        <f t="shared" si="64"/>
        <v>1.0007979498580184</v>
      </c>
      <c r="N200" s="340">
        <f t="shared" si="65"/>
        <v>3.9935438291105664E-2</v>
      </c>
      <c r="O200" s="341">
        <f t="shared" si="66"/>
        <v>1.0032443268034459</v>
      </c>
      <c r="P200" s="342">
        <f t="shared" si="67"/>
        <v>9.658616850904328E-2</v>
      </c>
      <c r="Q200" s="343">
        <f t="shared" si="68"/>
        <v>-5.5053585049843878</v>
      </c>
      <c r="R200" s="344">
        <f t="shared" si="69"/>
        <v>-94.881175315685837</v>
      </c>
      <c r="S200" s="346">
        <f t="shared" si="70"/>
        <v>85.118824684314163</v>
      </c>
      <c r="U200" s="319">
        <f t="shared" si="76"/>
        <v>11351</v>
      </c>
      <c r="V200" s="319">
        <f t="shared" si="77"/>
        <v>128845201</v>
      </c>
      <c r="X200" s="345">
        <f t="shared" si="71"/>
        <v>17.631564375347793</v>
      </c>
      <c r="Y200" s="346">
        <f t="shared" si="72"/>
        <v>-5.5333722867621775</v>
      </c>
      <c r="AA200" s="345">
        <f t="shared" si="73"/>
        <v>25.737027104322078</v>
      </c>
      <c r="AB200" s="346">
        <f t="shared" si="74"/>
        <v>-89.347803028923664</v>
      </c>
      <c r="AD200">
        <f t="shared" si="78"/>
        <v>0</v>
      </c>
      <c r="AE200">
        <f t="shared" si="81"/>
        <v>0</v>
      </c>
    </row>
    <row r="201" spans="1:31" x14ac:dyDescent="0.2">
      <c r="A201" s="347">
        <v>11416.5</v>
      </c>
      <c r="B201" s="364">
        <f t="shared" si="75"/>
        <v>11.416499999999999</v>
      </c>
      <c r="C201" s="337">
        <f t="shared" si="54"/>
        <v>12.672237582860451</v>
      </c>
      <c r="D201" s="338">
        <f t="shared" si="55"/>
        <v>1.4918015335963983</v>
      </c>
      <c r="E201" s="338">
        <f t="shared" si="56"/>
        <v>1.0004115535253524</v>
      </c>
      <c r="F201" s="339">
        <f t="shared" si="57"/>
        <v>2.8684923844558726E-2</v>
      </c>
      <c r="G201" s="338">
        <f t="shared" si="58"/>
        <v>1</v>
      </c>
      <c r="H201" s="339">
        <f t="shared" si="59"/>
        <v>0</v>
      </c>
      <c r="I201" s="337">
        <f t="shared" si="60"/>
        <v>179060.7709571131</v>
      </c>
      <c r="J201" s="340">
        <f t="shared" si="61"/>
        <v>1.5707907420987364</v>
      </c>
      <c r="K201" s="348">
        <f t="shared" si="82"/>
        <v>17.764618771091122</v>
      </c>
      <c r="L201" s="349">
        <f t="shared" si="83"/>
        <v>1.5144748885089889</v>
      </c>
      <c r="M201" s="337">
        <f t="shared" si="64"/>
        <v>1.0008071817098938</v>
      </c>
      <c r="N201" s="340">
        <f t="shared" si="65"/>
        <v>4.0165635353783632E-2</v>
      </c>
      <c r="O201" s="341">
        <f t="shared" si="66"/>
        <v>1.003281827609853</v>
      </c>
      <c r="P201" s="342">
        <f t="shared" si="67"/>
        <v>9.7141623167186705E-2</v>
      </c>
      <c r="Q201" s="343">
        <f t="shared" si="68"/>
        <v>-5.5555458392704598</v>
      </c>
      <c r="R201" s="344">
        <f t="shared" si="69"/>
        <v>-94.924193922869136</v>
      </c>
      <c r="S201" s="346">
        <f t="shared" si="70"/>
        <v>85.075806077130864</v>
      </c>
      <c r="U201" s="319">
        <f t="shared" si="76"/>
        <v>11416.5</v>
      </c>
      <c r="V201" s="319">
        <f t="shared" si="77"/>
        <v>130336472.25</v>
      </c>
      <c r="X201" s="345">
        <f t="shared" si="71"/>
        <v>17.631324975845196</v>
      </c>
      <c r="Y201" s="346">
        <f t="shared" si="72"/>
        <v>-5.5279821239190845</v>
      </c>
      <c r="AA201" s="345">
        <f t="shared" si="73"/>
        <v>25.687079169538599</v>
      </c>
      <c r="AB201" s="346">
        <f t="shared" si="74"/>
        <v>-89.396211798950034</v>
      </c>
      <c r="AD201">
        <f t="shared" si="78"/>
        <v>0</v>
      </c>
      <c r="AE201">
        <f t="shared" si="81"/>
        <v>0</v>
      </c>
    </row>
    <row r="202" spans="1:31" x14ac:dyDescent="0.2">
      <c r="A202" s="347">
        <v>11482</v>
      </c>
      <c r="B202" s="364">
        <f t="shared" si="75"/>
        <v>11.481999999999999</v>
      </c>
      <c r="C202" s="337">
        <f t="shared" si="54"/>
        <v>12.744490675655591</v>
      </c>
      <c r="D202" s="338">
        <f t="shared" si="55"/>
        <v>1.4922503093664152</v>
      </c>
      <c r="E202" s="338">
        <f t="shared" si="56"/>
        <v>1.0004162885073313</v>
      </c>
      <c r="F202" s="339">
        <f t="shared" si="57"/>
        <v>2.8849407105823576E-2</v>
      </c>
      <c r="G202" s="338">
        <f t="shared" si="58"/>
        <v>1</v>
      </c>
      <c r="H202" s="339">
        <f t="shared" si="59"/>
        <v>0</v>
      </c>
      <c r="I202" s="337">
        <f t="shared" si="60"/>
        <v>180088.09811493961</v>
      </c>
      <c r="J202" s="340">
        <f t="shared" si="61"/>
        <v>1.5707907739570885</v>
      </c>
      <c r="K202" s="348">
        <f t="shared" si="82"/>
        <v>17.866217852148402</v>
      </c>
      <c r="L202" s="349">
        <f t="shared" si="83"/>
        <v>1.5147955054919009</v>
      </c>
      <c r="M202" s="337">
        <f t="shared" si="64"/>
        <v>1.0008164665942501</v>
      </c>
      <c r="N202" s="340">
        <f t="shared" si="65"/>
        <v>4.0395828157440576E-2</v>
      </c>
      <c r="O202" s="341">
        <f t="shared" si="66"/>
        <v>1.0033195430512247</v>
      </c>
      <c r="P202" s="342">
        <f t="shared" si="67"/>
        <v>9.7697045400562926E-2</v>
      </c>
      <c r="Q202" s="343">
        <f t="shared" si="68"/>
        <v>-5.6054519355539991</v>
      </c>
      <c r="R202" s="344">
        <f t="shared" si="69"/>
        <v>-94.967126935148926</v>
      </c>
      <c r="S202" s="346">
        <f t="shared" si="70"/>
        <v>85.032873064851074</v>
      </c>
      <c r="U202" s="319">
        <f t="shared" si="76"/>
        <v>11482</v>
      </c>
      <c r="V202" s="319">
        <f t="shared" si="77"/>
        <v>131836324</v>
      </c>
      <c r="X202" s="345">
        <f t="shared" si="71"/>
        <v>17.631087829172877</v>
      </c>
      <c r="Y202" s="346">
        <f t="shared" si="72"/>
        <v>-5.522803025425044</v>
      </c>
      <c r="AA202" s="345">
        <f t="shared" si="73"/>
        <v>25.637410219927375</v>
      </c>
      <c r="AB202" s="346">
        <f t="shared" si="74"/>
        <v>-89.444323909723877</v>
      </c>
      <c r="AD202">
        <f t="shared" si="78"/>
        <v>0</v>
      </c>
      <c r="AE202">
        <f t="shared" si="81"/>
        <v>0</v>
      </c>
    </row>
    <row r="203" spans="1:31" x14ac:dyDescent="0.2">
      <c r="A203" s="347">
        <v>11548.75</v>
      </c>
      <c r="B203" s="364">
        <f t="shared" si="75"/>
        <v>11.54875</v>
      </c>
      <c r="C203" s="337">
        <f t="shared" si="54"/>
        <v>12.818125254892312</v>
      </c>
      <c r="D203" s="338">
        <f t="shared" si="55"/>
        <v>1.4927024444073003</v>
      </c>
      <c r="E203" s="338">
        <f t="shared" si="56"/>
        <v>1.0004211416970201</v>
      </c>
      <c r="F203" s="339">
        <f t="shared" si="57"/>
        <v>2.9017027754138731E-2</v>
      </c>
      <c r="G203" s="338">
        <f t="shared" si="58"/>
        <v>1</v>
      </c>
      <c r="H203" s="339">
        <f t="shared" si="59"/>
        <v>0</v>
      </c>
      <c r="I203" s="337">
        <f t="shared" si="60"/>
        <v>181135.03075287747</v>
      </c>
      <c r="J203" s="340">
        <f t="shared" si="61"/>
        <v>1.5707908060516376</v>
      </c>
      <c r="K203" s="348">
        <f t="shared" si="82"/>
        <v>17.96975771486672</v>
      </c>
      <c r="L203" s="349">
        <f t="shared" si="83"/>
        <v>1.5151185111749634</v>
      </c>
      <c r="M203" s="337">
        <f t="shared" si="64"/>
        <v>1.0008259832297708</v>
      </c>
      <c r="N203" s="340">
        <f t="shared" si="65"/>
        <v>4.0630409546684017E-2</v>
      </c>
      <c r="O203" s="341">
        <f t="shared" si="66"/>
        <v>1.0033581990509663</v>
      </c>
      <c r="P203" s="342">
        <f t="shared" si="67"/>
        <v>9.82630337481709E-2</v>
      </c>
      <c r="Q203" s="343">
        <f t="shared" si="68"/>
        <v>-5.6560244048629027</v>
      </c>
      <c r="R203" s="344">
        <f t="shared" si="69"/>
        <v>-95.010792652715239</v>
      </c>
      <c r="S203" s="346">
        <f t="shared" si="70"/>
        <v>84.989207347284761</v>
      </c>
      <c r="U203" s="319">
        <f t="shared" si="76"/>
        <v>11548.75</v>
      </c>
      <c r="V203" s="319">
        <f t="shared" si="77"/>
        <v>133373626.5625</v>
      </c>
      <c r="X203" s="345">
        <f t="shared" si="71"/>
        <v>17.630848411195778</v>
      </c>
      <c r="Y203" s="346">
        <f t="shared" si="72"/>
        <v>-5.5177385254592037</v>
      </c>
      <c r="AA203" s="345">
        <f t="shared" si="73"/>
        <v>25.587077168595577</v>
      </c>
      <c r="AB203" s="346">
        <f t="shared" si="74"/>
        <v>-89.493054127256059</v>
      </c>
      <c r="AD203">
        <f t="shared" si="78"/>
        <v>0</v>
      </c>
      <c r="AE203">
        <f t="shared" si="81"/>
        <v>0</v>
      </c>
    </row>
    <row r="204" spans="1:31" x14ac:dyDescent="0.2">
      <c r="A204" s="347">
        <v>11615.5</v>
      </c>
      <c r="B204" s="364">
        <f t="shared" si="75"/>
        <v>11.615500000000001</v>
      </c>
      <c r="C204" s="337">
        <f t="shared" si="54"/>
        <v>12.891762424554321</v>
      </c>
      <c r="D204" s="338">
        <f t="shared" si="55"/>
        <v>1.4931494143884769</v>
      </c>
      <c r="E204" s="338">
        <f t="shared" si="56"/>
        <v>1.0004260229949502</v>
      </c>
      <c r="F204" s="339">
        <f t="shared" si="57"/>
        <v>2.9184646771447598E-2</v>
      </c>
      <c r="G204" s="338">
        <f t="shared" si="58"/>
        <v>1</v>
      </c>
      <c r="H204" s="339">
        <f t="shared" si="59"/>
        <v>0</v>
      </c>
      <c r="I204" s="337">
        <f t="shared" si="60"/>
        <v>182181.96339081554</v>
      </c>
      <c r="J204" s="340">
        <f t="shared" si="61"/>
        <v>1.5707908377773157</v>
      </c>
      <c r="K204" s="348">
        <f t="shared" si="82"/>
        <v>18.073299430936338</v>
      </c>
      <c r="L204" s="349">
        <f t="shared" si="83"/>
        <v>1.51543781589964</v>
      </c>
      <c r="M204" s="337">
        <f t="shared" si="64"/>
        <v>1.0008355549381232</v>
      </c>
      <c r="N204" s="340">
        <f t="shared" si="65"/>
        <v>4.0864986461895438E-2</v>
      </c>
      <c r="O204" s="341">
        <f t="shared" si="66"/>
        <v>1.0033970779151096</v>
      </c>
      <c r="P204" s="342">
        <f t="shared" si="67"/>
        <v>9.8828988041251314E-2</v>
      </c>
      <c r="Q204" s="343">
        <f t="shared" si="68"/>
        <v>-5.7063114392687799</v>
      </c>
      <c r="R204" s="344">
        <f t="shared" si="69"/>
        <v>-95.054372348246119</v>
      </c>
      <c r="S204" s="346">
        <f t="shared" si="70"/>
        <v>84.945627651753881</v>
      </c>
      <c r="U204" s="319">
        <f t="shared" si="76"/>
        <v>11615.5</v>
      </c>
      <c r="V204" s="319">
        <f t="shared" si="77"/>
        <v>134919840.25</v>
      </c>
      <c r="X204" s="345">
        <f t="shared" si="71"/>
        <v>17.630611206405554</v>
      </c>
      <c r="Y204" s="346">
        <f t="shared" si="72"/>
        <v>-5.5128857973113758</v>
      </c>
      <c r="AA204" s="345">
        <f t="shared" si="73"/>
        <v>25.537027338979922</v>
      </c>
      <c r="AB204" s="346">
        <f t="shared" si="74"/>
        <v>-89.541486550934763</v>
      </c>
      <c r="AD204">
        <f t="shared" si="78"/>
        <v>0</v>
      </c>
      <c r="AE204">
        <f t="shared" si="81"/>
        <v>0</v>
      </c>
    </row>
    <row r="205" spans="1:31" x14ac:dyDescent="0.2">
      <c r="A205" s="347">
        <v>11682.25</v>
      </c>
      <c r="B205" s="364">
        <f t="shared" si="75"/>
        <v>11.68225</v>
      </c>
      <c r="C205" s="337">
        <f t="shared" ref="C205:C268" si="84">SQRT(1+(A205/pole1)^2)</f>
        <v>12.965402140504551</v>
      </c>
      <c r="D205" s="338">
        <f t="shared" ref="D205:D268" si="85">ATAN(A205/pole1)</f>
        <v>1.4935913071379268</v>
      </c>
      <c r="E205" s="338">
        <f t="shared" ref="E205:E268" si="86">SQRT(1+(A205/Zero1)^2)</f>
        <v>1.0004309324007101</v>
      </c>
      <c r="F205" s="339">
        <f t="shared" ref="F205:F268" si="87">ATAN(A205/Zero1)</f>
        <v>2.9352264148355216E-2</v>
      </c>
      <c r="G205" s="338">
        <f t="shared" ref="G205:G268" si="88">IF(VIN_nom&gt;Vout, 1, SQRT(1+(A205/z_RHP)^2))</f>
        <v>1</v>
      </c>
      <c r="H205" s="339">
        <f t="shared" ref="H205:H268" si="89">IF(VIN_nom&gt;Vout, 0, -ATAN(A205/z_RHP))</f>
        <v>0</v>
      </c>
      <c r="I205" s="337">
        <f t="shared" ref="I205:I268" si="90">SQRT(1+(A205/Pole2)^2)</f>
        <v>183228.89602875378</v>
      </c>
      <c r="J205" s="340">
        <f t="shared" ref="J205:J268" si="91">ATAN(A205/Pole2)</f>
        <v>1.5707908691404453</v>
      </c>
      <c r="K205" s="348">
        <f t="shared" si="82"/>
        <v>18.176842968685239</v>
      </c>
      <c r="L205" s="349">
        <f t="shared" si="83"/>
        <v>1.5157534828472681</v>
      </c>
      <c r="M205" s="337">
        <f t="shared" ref="M205:M268" si="92">SQRT(1+(A205/pole4)^2)</f>
        <v>1.0008451817177271</v>
      </c>
      <c r="N205" s="340">
        <f t="shared" ref="N205:N268" si="93">ATAN(A205/pole4)</f>
        <v>4.1099558877387782E-2</v>
      </c>
      <c r="O205" s="341">
        <f t="shared" ref="O205:O268" si="94">SQRT((1-(V205/pterm2))^2+(A205/pterm1)^2)</f>
        <v>1.0034361796228348</v>
      </c>
      <c r="P205" s="342">
        <f t="shared" ref="P205:P268" si="95">IF((ATAN((A205/pterm1)/(1-A205^2/pterm2))&gt;0),ATAN((A205/pterm1)/(1-A205^2/pterm2)),PI()+ATAN((A205/pterm1)/(1-A205^2/pterm2)))</f>
        <v>9.9394908087949707E-2</v>
      </c>
      <c r="Q205" s="343">
        <f t="shared" ref="Q205:Q268" si="96">20*LOG10(((E205*K205*G205)/(C205*I205*O205*M205))*Adc)</f>
        <v>-5.7563163053303912</v>
      </c>
      <c r="R205" s="344">
        <f t="shared" ref="R205:R268" si="97">((F205+L205+H205)-(D205+J205+P205+N205))*radconv</f>
        <v>-95.09786742232653</v>
      </c>
      <c r="S205" s="346">
        <f t="shared" ref="S205:S268" si="98">IF(R205&gt;0,R205,R205+180)</f>
        <v>84.90213257767347</v>
      </c>
      <c r="U205" s="319">
        <f t="shared" si="76"/>
        <v>11682.25</v>
      </c>
      <c r="V205" s="319">
        <f t="shared" si="77"/>
        <v>136474965.0625</v>
      </c>
      <c r="X205" s="345">
        <f t="shared" ref="X205:X268" si="99">20*LOG10((K205/(I205*M205))*AEA)</f>
        <v>17.630376153672454</v>
      </c>
      <c r="Y205" s="346">
        <f t="shared" ref="Y205:Y268" si="100">(L205-(J205+N205))*radconv</f>
        <v>-5.5082412198480553</v>
      </c>
      <c r="AA205" s="345">
        <f t="shared" ref="AA205:AA268" si="101">20*LOG10((E205*G205/(C205*O205))*Acs*Am)</f>
        <v>25.487257525651408</v>
      </c>
      <c r="AB205" s="346">
        <f t="shared" ref="AB205:AB268" si="102">(F205+H205-(D205+P205))*radconv</f>
        <v>-89.58962620247847</v>
      </c>
      <c r="AD205">
        <f t="shared" si="78"/>
        <v>0</v>
      </c>
      <c r="AE205">
        <f t="shared" si="81"/>
        <v>0</v>
      </c>
    </row>
    <row r="206" spans="1:31" x14ac:dyDescent="0.2">
      <c r="A206" s="347">
        <v>11749</v>
      </c>
      <c r="B206" s="364">
        <f t="shared" ref="B206:B269" si="103">A206/1000</f>
        <v>11.749000000000001</v>
      </c>
      <c r="C206" s="337">
        <f t="shared" si="84"/>
        <v>13.039044359601517</v>
      </c>
      <c r="D206" s="338">
        <f t="shared" si="85"/>
        <v>1.4940282085075183</v>
      </c>
      <c r="E206" s="338">
        <f t="shared" si="86"/>
        <v>1.000435869913886</v>
      </c>
      <c r="F206" s="339">
        <f t="shared" si="87"/>
        <v>2.9519879875467198E-2</v>
      </c>
      <c r="G206" s="338">
        <f t="shared" si="88"/>
        <v>1</v>
      </c>
      <c r="H206" s="339">
        <f t="shared" si="89"/>
        <v>0</v>
      </c>
      <c r="I206" s="337">
        <f t="shared" si="90"/>
        <v>184275.82866669216</v>
      </c>
      <c r="J206" s="340">
        <f t="shared" si="91"/>
        <v>1.5707909001472065</v>
      </c>
      <c r="K206" s="348">
        <f t="shared" si="82"/>
        <v>18.280388297158414</v>
      </c>
      <c r="L206" s="349">
        <f t="shared" si="83"/>
        <v>1.516065573770615</v>
      </c>
      <c r="M206" s="337">
        <f t="shared" si="92"/>
        <v>1.0008548635669934</v>
      </c>
      <c r="N206" s="340">
        <f t="shared" si="93"/>
        <v>4.1334126767476935E-2</v>
      </c>
      <c r="O206" s="341">
        <f t="shared" si="94"/>
        <v>1.0034755041532066</v>
      </c>
      <c r="P206" s="342">
        <f t="shared" si="95"/>
        <v>9.9960793696496561E-2</v>
      </c>
      <c r="Q206" s="343">
        <f t="shared" si="96"/>
        <v>-5.8060422144047745</v>
      </c>
      <c r="R206" s="344">
        <f t="shared" si="97"/>
        <v>-95.141279244166427</v>
      </c>
      <c r="S206" s="346">
        <f t="shared" si="98"/>
        <v>84.858720755833573</v>
      </c>
      <c r="U206" s="319">
        <f t="shared" ref="U206:U269" si="104">IF(Q206&lt;0,A206,1000000000)</f>
        <v>11749</v>
      </c>
      <c r="V206" s="319">
        <f t="shared" ref="V206:V269" si="105">A206^2</f>
        <v>138039001</v>
      </c>
      <c r="X206" s="345">
        <f t="shared" si="99"/>
        <v>17.630143193593966</v>
      </c>
      <c r="Y206" s="346">
        <f t="shared" si="100"/>
        <v>-5.5038012537788141</v>
      </c>
      <c r="AA206" s="345">
        <f t="shared" si="101"/>
        <v>25.437764576655514</v>
      </c>
      <c r="AB206" s="346">
        <f t="shared" si="102"/>
        <v>-89.637477990387623</v>
      </c>
      <c r="AD206">
        <f t="shared" ref="AD206:AD269" si="106">SUM((Q207&lt;0)*(Q206&gt;0))*A206</f>
        <v>0</v>
      </c>
      <c r="AE206">
        <f t="shared" si="81"/>
        <v>0</v>
      </c>
    </row>
    <row r="207" spans="1:31" x14ac:dyDescent="0.2">
      <c r="A207" s="347">
        <v>11817.5</v>
      </c>
      <c r="B207" s="364">
        <f t="shared" si="103"/>
        <v>11.817500000000001</v>
      </c>
      <c r="C207" s="337">
        <f t="shared" si="84"/>
        <v>13.114619831803035</v>
      </c>
      <c r="D207" s="338">
        <f t="shared" si="85"/>
        <v>1.4944714628447398</v>
      </c>
      <c r="E207" s="338">
        <f t="shared" si="86"/>
        <v>1.00044096609696</v>
      </c>
      <c r="F207" s="339">
        <f t="shared" si="87"/>
        <v>2.9691888297297027E-2</v>
      </c>
      <c r="G207" s="338">
        <f t="shared" si="88"/>
        <v>1</v>
      </c>
      <c r="H207" s="339">
        <f t="shared" si="89"/>
        <v>0</v>
      </c>
      <c r="I207" s="337">
        <f t="shared" si="90"/>
        <v>185350.20897678647</v>
      </c>
      <c r="J207" s="340">
        <f t="shared" si="91"/>
        <v>1.570790931602706</v>
      </c>
      <c r="K207" s="348">
        <f t="shared" si="82"/>
        <v>18.386650127197353</v>
      </c>
      <c r="L207" s="349">
        <f t="shared" si="83"/>
        <v>1.5163821922676284</v>
      </c>
      <c r="M207" s="337">
        <f t="shared" si="92"/>
        <v>1.0008648565000868</v>
      </c>
      <c r="N207" s="340">
        <f t="shared" si="93"/>
        <v>4.157483964567403E-2</v>
      </c>
      <c r="O207" s="341">
        <f t="shared" si="94"/>
        <v>1.0035160913036101</v>
      </c>
      <c r="P207" s="342">
        <f t="shared" si="95"/>
        <v>0.10054147925200191</v>
      </c>
      <c r="Q207" s="343">
        <f t="shared" si="96"/>
        <v>-5.8567850868860347</v>
      </c>
      <c r="R207" s="344">
        <f t="shared" si="97"/>
        <v>-95.185744052601905</v>
      </c>
      <c r="S207" s="346">
        <f t="shared" si="98"/>
        <v>84.814255947398095</v>
      </c>
      <c r="U207" s="319">
        <f t="shared" si="104"/>
        <v>11817.5</v>
      </c>
      <c r="V207" s="319">
        <f t="shared" si="105"/>
        <v>139653306.25</v>
      </c>
      <c r="X207" s="345">
        <f t="shared" si="99"/>
        <v>17.629906241080004</v>
      </c>
      <c r="Y207" s="346">
        <f t="shared" si="100"/>
        <v>-5.4994539844417147</v>
      </c>
      <c r="AA207" s="345">
        <f t="shared" si="101"/>
        <v>25.387258656688214</v>
      </c>
      <c r="AB207" s="346">
        <f t="shared" si="102"/>
        <v>-89.686290068160176</v>
      </c>
      <c r="AD207">
        <f t="shared" si="106"/>
        <v>0</v>
      </c>
      <c r="AE207">
        <f t="shared" si="81"/>
        <v>0</v>
      </c>
    </row>
    <row r="208" spans="1:31" x14ac:dyDescent="0.2">
      <c r="A208" s="347">
        <v>11886</v>
      </c>
      <c r="B208" s="364">
        <f t="shared" si="103"/>
        <v>11.885999999999999</v>
      </c>
      <c r="C208" s="337">
        <f t="shared" si="84"/>
        <v>13.190197851164291</v>
      </c>
      <c r="D208" s="338">
        <f t="shared" si="85"/>
        <v>1.4949096376944668</v>
      </c>
      <c r="E208" s="338">
        <f t="shared" si="86"/>
        <v>1.0004460918796758</v>
      </c>
      <c r="F208" s="339">
        <f t="shared" si="87"/>
        <v>2.9863894961646639E-2</v>
      </c>
      <c r="G208" s="338">
        <f t="shared" si="88"/>
        <v>1</v>
      </c>
      <c r="H208" s="339">
        <f t="shared" si="89"/>
        <v>0</v>
      </c>
      <c r="I208" s="337">
        <f t="shared" si="90"/>
        <v>186424.58928688095</v>
      </c>
      <c r="J208" s="340">
        <f t="shared" si="91"/>
        <v>1.5707909626956442</v>
      </c>
      <c r="K208" s="348">
        <f t="shared" si="82"/>
        <v>18.492913779265223</v>
      </c>
      <c r="L208" s="349">
        <f t="shared" si="83"/>
        <v>1.5166951721005713</v>
      </c>
      <c r="M208" s="337">
        <f t="shared" si="92"/>
        <v>1.0008749074248222</v>
      </c>
      <c r="N208" s="340">
        <f t="shared" si="93"/>
        <v>4.1815547703273892E-2</v>
      </c>
      <c r="O208" s="341">
        <f t="shared" si="94"/>
        <v>1.0035569130683528</v>
      </c>
      <c r="P208" s="342">
        <f t="shared" si="95"/>
        <v>0.10112212813100759</v>
      </c>
      <c r="Q208" s="343">
        <f t="shared" si="96"/>
        <v>-5.9072408630808528</v>
      </c>
      <c r="R208" s="344">
        <f t="shared" si="97"/>
        <v>-95.230124010250492</v>
      </c>
      <c r="S208" s="346">
        <f t="shared" si="98"/>
        <v>84.769875989749508</v>
      </c>
      <c r="U208" s="319">
        <f t="shared" si="104"/>
        <v>11886</v>
      </c>
      <c r="V208" s="319">
        <f t="shared" si="105"/>
        <v>141276996</v>
      </c>
      <c r="X208" s="345">
        <f t="shared" si="99"/>
        <v>17.629671370964576</v>
      </c>
      <c r="Y208" s="346">
        <f t="shared" si="100"/>
        <v>-5.4953148982260487</v>
      </c>
      <c r="AA208" s="345">
        <f t="shared" si="101"/>
        <v>25.337037750608825</v>
      </c>
      <c r="AB208" s="346">
        <f t="shared" si="102"/>
        <v>-89.734809112024422</v>
      </c>
      <c r="AD208">
        <f t="shared" si="106"/>
        <v>0</v>
      </c>
      <c r="AE208">
        <f t="shared" si="81"/>
        <v>0</v>
      </c>
    </row>
    <row r="209" spans="1:31" x14ac:dyDescent="0.2">
      <c r="A209" s="347">
        <v>11954.5</v>
      </c>
      <c r="B209" s="364">
        <f t="shared" si="103"/>
        <v>11.954499999999999</v>
      </c>
      <c r="C209" s="337">
        <f t="shared" si="84"/>
        <v>13.265778374150118</v>
      </c>
      <c r="D209" s="338">
        <f t="shared" si="85"/>
        <v>1.4953428197066929</v>
      </c>
      <c r="E209" s="338">
        <f t="shared" si="86"/>
        <v>1.0004512472615787</v>
      </c>
      <c r="F209" s="339">
        <f t="shared" si="87"/>
        <v>3.0035899858365037E-2</v>
      </c>
      <c r="G209" s="338">
        <f t="shared" si="88"/>
        <v>1</v>
      </c>
      <c r="H209" s="339">
        <f t="shared" si="89"/>
        <v>0</v>
      </c>
      <c r="I209" s="337">
        <f t="shared" si="90"/>
        <v>187498.96959697557</v>
      </c>
      <c r="J209" s="340">
        <f t="shared" si="91"/>
        <v>1.5707909934322539</v>
      </c>
      <c r="K209" s="348">
        <f t="shared" si="82"/>
        <v>18.599179222132339</v>
      </c>
      <c r="L209" s="349">
        <f t="shared" si="83"/>
        <v>1.5170045755755486</v>
      </c>
      <c r="M209" s="337">
        <f t="shared" si="92"/>
        <v>1.0008850163394523</v>
      </c>
      <c r="N209" s="340">
        <f t="shared" si="93"/>
        <v>4.2056250912528764E-2</v>
      </c>
      <c r="O209" s="341">
        <f t="shared" si="94"/>
        <v>1.0035979694244288</v>
      </c>
      <c r="P209" s="342">
        <f t="shared" si="95"/>
        <v>0.10170274012654409</v>
      </c>
      <c r="Q209" s="343">
        <f t="shared" si="96"/>
        <v>-5.9574128403200604</v>
      </c>
      <c r="R209" s="344">
        <f t="shared" si="97"/>
        <v>-95.274420499404684</v>
      </c>
      <c r="S209" s="346">
        <f t="shared" si="98"/>
        <v>84.725579500595316</v>
      </c>
      <c r="U209" s="319">
        <f t="shared" si="104"/>
        <v>11954.5</v>
      </c>
      <c r="V209" s="319">
        <f t="shared" si="105"/>
        <v>142910070.25</v>
      </c>
      <c r="X209" s="345">
        <f t="shared" si="99"/>
        <v>17.629438524346867</v>
      </c>
      <c r="Y209" s="346">
        <f t="shared" si="100"/>
        <v>-5.4913804240222399</v>
      </c>
      <c r="AA209" s="345">
        <f t="shared" si="101"/>
        <v>25.287098619987329</v>
      </c>
      <c r="AB209" s="346">
        <f t="shared" si="102"/>
        <v>-89.783040075382445</v>
      </c>
      <c r="AD209">
        <f t="shared" si="106"/>
        <v>0</v>
      </c>
      <c r="AE209">
        <f t="shared" si="81"/>
        <v>0</v>
      </c>
    </row>
    <row r="210" spans="1:31" x14ac:dyDescent="0.2">
      <c r="A210" s="347">
        <v>12023</v>
      </c>
      <c r="B210" s="364">
        <f t="shared" si="103"/>
        <v>12.023</v>
      </c>
      <c r="C210" s="337">
        <f t="shared" si="84"/>
        <v>13.341361358210451</v>
      </c>
      <c r="D210" s="338">
        <f t="shared" si="85"/>
        <v>1.4957710935754078</v>
      </c>
      <c r="E210" s="338">
        <f t="shared" si="86"/>
        <v>1.0004564322422111</v>
      </c>
      <c r="F210" s="339">
        <f t="shared" si="87"/>
        <v>3.0207902977301866E-2</v>
      </c>
      <c r="G210" s="338">
        <f t="shared" si="88"/>
        <v>1</v>
      </c>
      <c r="H210" s="339">
        <f t="shared" si="89"/>
        <v>0</v>
      </c>
      <c r="I210" s="337">
        <f t="shared" si="90"/>
        <v>188573.34990707037</v>
      </c>
      <c r="J210" s="340">
        <f t="shared" si="91"/>
        <v>1.5707910238186251</v>
      </c>
      <c r="K210" s="348">
        <f t="shared" si="82"/>
        <v>18.705446425278165</v>
      </c>
      <c r="L210" s="349">
        <f t="shared" si="83"/>
        <v>1.5173104635855756</v>
      </c>
      <c r="M210" s="337">
        <f t="shared" si="92"/>
        <v>1.0008951832422202</v>
      </c>
      <c r="N210" s="340">
        <f t="shared" si="93"/>
        <v>4.2296949245694208E-2</v>
      </c>
      <c r="O210" s="341">
        <f t="shared" si="94"/>
        <v>1.0036392603487043</v>
      </c>
      <c r="P210" s="342">
        <f t="shared" si="95"/>
        <v>0.10228331503173818</v>
      </c>
      <c r="Q210" s="343">
        <f t="shared" si="96"/>
        <v>-6.0073042600252098</v>
      </c>
      <c r="R210" s="344">
        <f t="shared" si="97"/>
        <v>-95.318634871247809</v>
      </c>
      <c r="S210" s="346">
        <f t="shared" si="98"/>
        <v>84.681365128752191</v>
      </c>
      <c r="U210" s="319">
        <f t="shared" si="104"/>
        <v>12023</v>
      </c>
      <c r="V210" s="319">
        <f t="shared" si="105"/>
        <v>144552529</v>
      </c>
      <c r="X210" s="345">
        <f t="shared" si="99"/>
        <v>17.629207643995368</v>
      </c>
      <c r="Y210" s="346">
        <f t="shared" si="100"/>
        <v>-5.4876470716767987</v>
      </c>
      <c r="AA210" s="345">
        <f t="shared" si="101"/>
        <v>25.23743808063368</v>
      </c>
      <c r="AB210" s="346">
        <f t="shared" si="102"/>
        <v>-89.830987799570991</v>
      </c>
      <c r="AD210">
        <f t="shared" si="106"/>
        <v>0</v>
      </c>
      <c r="AE210">
        <f t="shared" si="81"/>
        <v>0</v>
      </c>
    </row>
    <row r="211" spans="1:31" x14ac:dyDescent="0.2">
      <c r="A211" s="347">
        <v>12093</v>
      </c>
      <c r="B211" s="364">
        <f t="shared" si="103"/>
        <v>12.093</v>
      </c>
      <c r="C211" s="337">
        <f t="shared" si="84"/>
        <v>13.418601943337212</v>
      </c>
      <c r="D211" s="338">
        <f t="shared" si="85"/>
        <v>1.4962037613131751</v>
      </c>
      <c r="E211" s="338">
        <f t="shared" si="86"/>
        <v>1.0004617613401332</v>
      </c>
      <c r="F211" s="339">
        <f t="shared" si="87"/>
        <v>3.0383670740730073E-2</v>
      </c>
      <c r="G211" s="338">
        <f t="shared" si="88"/>
        <v>1</v>
      </c>
      <c r="H211" s="339">
        <f t="shared" si="89"/>
        <v>0</v>
      </c>
      <c r="I211" s="337">
        <f t="shared" si="90"/>
        <v>189671.25679329885</v>
      </c>
      <c r="J211" s="340">
        <f t="shared" si="91"/>
        <v>1.5707910545147583</v>
      </c>
      <c r="K211" s="348">
        <f t="shared" si="82"/>
        <v>18.814042434951592</v>
      </c>
      <c r="L211" s="349">
        <f t="shared" si="83"/>
        <v>1.5176194800241092</v>
      </c>
      <c r="M211" s="337">
        <f t="shared" si="92"/>
        <v>1.000905632682817</v>
      </c>
      <c r="N211" s="340">
        <f t="shared" si="93"/>
        <v>4.2542913278989264E-2</v>
      </c>
      <c r="O211" s="341">
        <f t="shared" si="94"/>
        <v>1.0036816977588288</v>
      </c>
      <c r="P211" s="342">
        <f t="shared" si="95"/>
        <v>0.10287656472331638</v>
      </c>
      <c r="Q211" s="343">
        <f t="shared" si="96"/>
        <v>-6.0580016683067628</v>
      </c>
      <c r="R211" s="344">
        <f t="shared" si="97"/>
        <v>-95.363733981161417</v>
      </c>
      <c r="S211" s="346">
        <f t="shared" si="98"/>
        <v>84.636266018838583</v>
      </c>
      <c r="U211" s="319">
        <f t="shared" si="104"/>
        <v>12093</v>
      </c>
      <c r="V211" s="319">
        <f t="shared" si="105"/>
        <v>146240649</v>
      </c>
      <c r="X211" s="345">
        <f t="shared" si="99"/>
        <v>17.628973681323551</v>
      </c>
      <c r="Y211" s="346">
        <f t="shared" si="100"/>
        <v>-5.4840361937232363</v>
      </c>
      <c r="AA211" s="345">
        <f t="shared" si="101"/>
        <v>25.186974635023944</v>
      </c>
      <c r="AB211" s="346">
        <f t="shared" si="102"/>
        <v>-89.879697787438161</v>
      </c>
      <c r="AD211">
        <f t="shared" si="106"/>
        <v>0</v>
      </c>
      <c r="AE211">
        <f t="shared" si="81"/>
        <v>0</v>
      </c>
    </row>
    <row r="212" spans="1:31" x14ac:dyDescent="0.2">
      <c r="A212" s="347">
        <v>12163</v>
      </c>
      <c r="B212" s="364">
        <f t="shared" si="103"/>
        <v>12.163</v>
      </c>
      <c r="C212" s="337">
        <f t="shared" si="84"/>
        <v>13.495845011690816</v>
      </c>
      <c r="D212" s="338">
        <f t="shared" si="85"/>
        <v>1.496631476408339</v>
      </c>
      <c r="E212" s="338">
        <f t="shared" si="86"/>
        <v>1.0004671213462981</v>
      </c>
      <c r="F212" s="339">
        <f t="shared" si="87"/>
        <v>3.0559436626235555E-2</v>
      </c>
      <c r="G212" s="338">
        <f t="shared" si="88"/>
        <v>1</v>
      </c>
      <c r="H212" s="339">
        <f t="shared" si="89"/>
        <v>0</v>
      </c>
      <c r="I212" s="337">
        <f t="shared" si="90"/>
        <v>190769.1636795275</v>
      </c>
      <c r="J212" s="340">
        <f t="shared" si="91"/>
        <v>1.5707910848575692</v>
      </c>
      <c r="K212" s="348">
        <f t="shared" si="82"/>
        <v>18.922640220578746</v>
      </c>
      <c r="L212" s="349">
        <f t="shared" si="83"/>
        <v>1.5179249495762459</v>
      </c>
      <c r="M212" s="337">
        <f t="shared" si="92"/>
        <v>1.0009161426752424</v>
      </c>
      <c r="N212" s="340">
        <f t="shared" si="93"/>
        <v>4.2788872161736179E-2</v>
      </c>
      <c r="O212" s="341">
        <f t="shared" si="94"/>
        <v>1.0037243800734363</v>
      </c>
      <c r="P212" s="342">
        <f t="shared" si="95"/>
        <v>0.10346977524588596</v>
      </c>
      <c r="Q212" s="343">
        <f t="shared" si="96"/>
        <v>-6.1084127680829088</v>
      </c>
      <c r="R212" s="344">
        <f t="shared" si="97"/>
        <v>-95.408750095206855</v>
      </c>
      <c r="S212" s="346">
        <f t="shared" si="98"/>
        <v>84.591249904793145</v>
      </c>
      <c r="U212" s="319">
        <f t="shared" si="104"/>
        <v>12163</v>
      </c>
      <c r="V212" s="319">
        <f t="shared" si="105"/>
        <v>147938569</v>
      </c>
      <c r="X212" s="345">
        <f t="shared" si="99"/>
        <v>17.628741656227692</v>
      </c>
      <c r="Y212" s="346">
        <f t="shared" si="100"/>
        <v>-5.480628222042319</v>
      </c>
      <c r="AA212" s="345">
        <f t="shared" si="101"/>
        <v>25.136795560343653</v>
      </c>
      <c r="AB212" s="346">
        <f t="shared" si="102"/>
        <v>-89.928121873164571</v>
      </c>
      <c r="AD212">
        <f t="shared" si="106"/>
        <v>0</v>
      </c>
      <c r="AE212">
        <f t="shared" si="81"/>
        <v>0</v>
      </c>
    </row>
    <row r="213" spans="1:31" x14ac:dyDescent="0.2">
      <c r="A213" s="347">
        <v>12233</v>
      </c>
      <c r="B213" s="364">
        <f t="shared" si="103"/>
        <v>12.233000000000001</v>
      </c>
      <c r="C213" s="337">
        <f t="shared" si="84"/>
        <v>13.573090520875894</v>
      </c>
      <c r="D213" s="338">
        <f t="shared" si="85"/>
        <v>1.4970543232606734</v>
      </c>
      <c r="E213" s="338">
        <f t="shared" si="86"/>
        <v>1.0004725122602085</v>
      </c>
      <c r="F213" s="339">
        <f t="shared" si="87"/>
        <v>3.0735200622988495E-2</v>
      </c>
      <c r="G213" s="338">
        <f t="shared" si="88"/>
        <v>1</v>
      </c>
      <c r="H213" s="339">
        <f t="shared" si="89"/>
        <v>0</v>
      </c>
      <c r="I213" s="337">
        <f t="shared" si="90"/>
        <v>191867.07056575629</v>
      </c>
      <c r="J213" s="340">
        <f t="shared" si="91"/>
        <v>1.5707911148531233</v>
      </c>
      <c r="K213" s="348">
        <f t="shared" si="82"/>
        <v>19.031239751757312</v>
      </c>
      <c r="L213" s="349">
        <f t="shared" si="83"/>
        <v>1.518226932904154</v>
      </c>
      <c r="M213" s="337">
        <f t="shared" si="92"/>
        <v>1.0009267132175887</v>
      </c>
      <c r="N213" s="340">
        <f t="shared" si="93"/>
        <v>4.303482586433871E-2</v>
      </c>
      <c r="O213" s="341">
        <f t="shared" si="94"/>
        <v>1.0037673072674251</v>
      </c>
      <c r="P213" s="342">
        <f t="shared" si="95"/>
        <v>0.10406294637899849</v>
      </c>
      <c r="Q213" s="343">
        <f t="shared" si="96"/>
        <v>-6.1585408454961419</v>
      </c>
      <c r="R213" s="344">
        <f t="shared" si="97"/>
        <v>-95.453684560090409</v>
      </c>
      <c r="S213" s="346">
        <f t="shared" si="98"/>
        <v>84.546315439909591</v>
      </c>
      <c r="U213" s="319">
        <f t="shared" si="104"/>
        <v>12233</v>
      </c>
      <c r="V213" s="319">
        <f t="shared" si="105"/>
        <v>149646289</v>
      </c>
      <c r="X213" s="345">
        <f t="shared" si="99"/>
        <v>17.628511512677775</v>
      </c>
      <c r="Y213" s="346">
        <f t="shared" si="100"/>
        <v>-5.4774196795995929</v>
      </c>
      <c r="AA213" s="345">
        <f t="shared" si="101"/>
        <v>25.086897626480336</v>
      </c>
      <c r="AB213" s="346">
        <f t="shared" si="102"/>
        <v>-89.976264880490788</v>
      </c>
      <c r="AD213">
        <f t="shared" si="106"/>
        <v>0</v>
      </c>
      <c r="AE213">
        <f t="shared" si="81"/>
        <v>0</v>
      </c>
    </row>
    <row r="214" spans="1:31" x14ac:dyDescent="0.2">
      <c r="A214" s="347">
        <v>12303</v>
      </c>
      <c r="B214" s="364">
        <f t="shared" si="103"/>
        <v>12.303000000000001</v>
      </c>
      <c r="C214" s="337">
        <f t="shared" si="84"/>
        <v>13.650338429455394</v>
      </c>
      <c r="D214" s="338">
        <f t="shared" si="85"/>
        <v>1.497472384366517</v>
      </c>
      <c r="E214" s="338">
        <f t="shared" si="86"/>
        <v>1.0004779340813654</v>
      </c>
      <c r="F214" s="339">
        <f t="shared" si="87"/>
        <v>3.0910962720159758E-2</v>
      </c>
      <c r="G214" s="338">
        <f t="shared" si="88"/>
        <v>1</v>
      </c>
      <c r="H214" s="339">
        <f t="shared" si="89"/>
        <v>0</v>
      </c>
      <c r="I214" s="337">
        <f t="shared" si="90"/>
        <v>192964.97745198529</v>
      </c>
      <c r="J214" s="340">
        <f t="shared" si="91"/>
        <v>1.5707911445073479</v>
      </c>
      <c r="K214" s="348">
        <f t="shared" si="82"/>
        <v>19.139840998774492</v>
      </c>
      <c r="L214" s="349">
        <f t="shared" si="83"/>
        <v>1.518525489295768</v>
      </c>
      <c r="M214" s="337">
        <f t="shared" si="92"/>
        <v>1.0009373443079379</v>
      </c>
      <c r="N214" s="340">
        <f t="shared" si="93"/>
        <v>4.3280774357204392E-2</v>
      </c>
      <c r="O214" s="341">
        <f t="shared" si="94"/>
        <v>1.0038104793155536</v>
      </c>
      <c r="P214" s="342">
        <f t="shared" si="95"/>
        <v>0.10465607790231271</v>
      </c>
      <c r="Q214" s="343">
        <f t="shared" si="96"/>
        <v>-6.208389131017209</v>
      </c>
      <c r="R214" s="344">
        <f t="shared" si="97"/>
        <v>-95.49853869219541</v>
      </c>
      <c r="S214" s="346">
        <f t="shared" si="98"/>
        <v>84.50146130780459</v>
      </c>
      <c r="U214" s="319">
        <f t="shared" si="104"/>
        <v>12303</v>
      </c>
      <c r="V214" s="319">
        <f t="shared" si="105"/>
        <v>151363809</v>
      </c>
      <c r="X214" s="345">
        <f t="shared" si="99"/>
        <v>17.628283196229933</v>
      </c>
      <c r="Y214" s="346">
        <f t="shared" si="100"/>
        <v>-5.4744071680907327</v>
      </c>
      <c r="AA214" s="345">
        <f t="shared" si="101"/>
        <v>25.037277657407113</v>
      </c>
      <c r="AB214" s="346">
        <f t="shared" si="102"/>
        <v>-90.024131524104675</v>
      </c>
      <c r="AD214">
        <f t="shared" si="106"/>
        <v>0</v>
      </c>
      <c r="AE214">
        <f t="shared" si="81"/>
        <v>0</v>
      </c>
    </row>
    <row r="215" spans="1:31" x14ac:dyDescent="0.2">
      <c r="A215" s="347">
        <v>12374.5</v>
      </c>
      <c r="B215" s="364">
        <f t="shared" si="103"/>
        <v>12.374499999999999</v>
      </c>
      <c r="C215" s="337">
        <f t="shared" si="84"/>
        <v>13.729244085319774</v>
      </c>
      <c r="D215" s="338">
        <f t="shared" si="85"/>
        <v>1.4978945470933025</v>
      </c>
      <c r="E215" s="338">
        <f t="shared" si="86"/>
        <v>1.0004835039916713</v>
      </c>
      <c r="F215" s="339">
        <f t="shared" si="87"/>
        <v>3.1090489175650087E-2</v>
      </c>
      <c r="G215" s="338">
        <f t="shared" si="88"/>
        <v>1</v>
      </c>
      <c r="H215" s="339">
        <f t="shared" si="89"/>
        <v>0</v>
      </c>
      <c r="I215" s="337">
        <f t="shared" si="90"/>
        <v>194086.41091434791</v>
      </c>
      <c r="J215" s="340">
        <f t="shared" si="91"/>
        <v>1.5707911744506635</v>
      </c>
      <c r="K215" s="348">
        <f t="shared" ref="K215:K278" si="107">SQRT(1+(A215/Zero2)^2)</f>
        <v>19.250771156561722</v>
      </c>
      <c r="L215" s="349">
        <f t="shared" ref="L215:L278" si="108">ATAN(A215/Zero2)</f>
        <v>1.5188269656982256</v>
      </c>
      <c r="M215" s="337">
        <f t="shared" si="92"/>
        <v>1.0009482657134496</v>
      </c>
      <c r="N215" s="340">
        <f t="shared" si="93"/>
        <v>4.3531987765763683E-2</v>
      </c>
      <c r="O215" s="341">
        <f t="shared" si="94"/>
        <v>1.0038548292332765</v>
      </c>
      <c r="P215" s="342">
        <f t="shared" si="95"/>
        <v>0.10526187826578996</v>
      </c>
      <c r="Q215" s="343">
        <f t="shared" si="96"/>
        <v>-6.2590200466293977</v>
      </c>
      <c r="R215" s="344">
        <f t="shared" si="97"/>
        <v>-95.544272388813965</v>
      </c>
      <c r="S215" s="346">
        <f t="shared" si="98"/>
        <v>84.455727611186035</v>
      </c>
      <c r="U215" s="319">
        <f t="shared" si="104"/>
        <v>12374.5</v>
      </c>
      <c r="V215" s="319">
        <f t="shared" si="105"/>
        <v>153128250.25</v>
      </c>
      <c r="X215" s="345">
        <f t="shared" si="99"/>
        <v>17.628051818530682</v>
      </c>
      <c r="Y215" s="346">
        <f t="shared" si="100"/>
        <v>-5.4715290262969871</v>
      </c>
      <c r="AA215" s="345">
        <f t="shared" si="101"/>
        <v>24.986878119494179</v>
      </c>
      <c r="AB215" s="346">
        <f t="shared" si="102"/>
        <v>-90.072743362516974</v>
      </c>
      <c r="AD215">
        <f t="shared" si="106"/>
        <v>0</v>
      </c>
      <c r="AE215">
        <f t="shared" si="81"/>
        <v>0</v>
      </c>
    </row>
    <row r="216" spans="1:31" x14ac:dyDescent="0.2">
      <c r="A216" s="347">
        <v>12446</v>
      </c>
      <c r="B216" s="364">
        <f t="shared" si="103"/>
        <v>12.446</v>
      </c>
      <c r="C216" s="337">
        <f t="shared" si="84"/>
        <v>13.808152160063941</v>
      </c>
      <c r="D216" s="338">
        <f t="shared" si="85"/>
        <v>1.4983118849110086</v>
      </c>
      <c r="E216" s="338">
        <f t="shared" si="86"/>
        <v>1.000489106146949</v>
      </c>
      <c r="F216" s="339">
        <f t="shared" si="87"/>
        <v>3.127001362643958E-2</v>
      </c>
      <c r="G216" s="338">
        <f t="shared" si="88"/>
        <v>1</v>
      </c>
      <c r="H216" s="339">
        <f t="shared" si="89"/>
        <v>0</v>
      </c>
      <c r="I216" s="337">
        <f t="shared" si="90"/>
        <v>195207.84437671074</v>
      </c>
      <c r="J216" s="340">
        <f t="shared" si="91"/>
        <v>1.5707912040499414</v>
      </c>
      <c r="K216" s="348">
        <f t="shared" si="107"/>
        <v>19.36170304396445</v>
      </c>
      <c r="L216" s="349">
        <f t="shared" si="108"/>
        <v>1.5191249875402517</v>
      </c>
      <c r="M216" s="337">
        <f t="shared" si="92"/>
        <v>1.0009592502856006</v>
      </c>
      <c r="N216" s="340">
        <f t="shared" si="93"/>
        <v>4.3783195676521308E-2</v>
      </c>
      <c r="O216" s="341">
        <f t="shared" si="94"/>
        <v>1.0038994345576426</v>
      </c>
      <c r="P216" s="342">
        <f t="shared" si="95"/>
        <v>0.10586763683936498</v>
      </c>
      <c r="Q216" s="343">
        <f t="shared" si="96"/>
        <v>-6.3093656915386518</v>
      </c>
      <c r="R216" s="344">
        <f t="shared" si="97"/>
        <v>-95.589924956001539</v>
      </c>
      <c r="S216" s="346">
        <f t="shared" si="98"/>
        <v>84.410075043998461</v>
      </c>
      <c r="U216" s="319">
        <f t="shared" si="104"/>
        <v>12446</v>
      </c>
      <c r="V216" s="319">
        <f t="shared" si="105"/>
        <v>154902916</v>
      </c>
      <c r="X216" s="345">
        <f t="shared" si="99"/>
        <v>17.627822237088107</v>
      </c>
      <c r="Y216" s="346">
        <f t="shared" si="100"/>
        <v>-5.4688484815235316</v>
      </c>
      <c r="AA216" s="345">
        <f t="shared" si="101"/>
        <v>24.936762056027497</v>
      </c>
      <c r="AB216" s="346">
        <f t="shared" si="102"/>
        <v>-90.121076474478031</v>
      </c>
      <c r="AD216">
        <f t="shared" si="106"/>
        <v>0</v>
      </c>
      <c r="AE216">
        <f t="shared" si="81"/>
        <v>0</v>
      </c>
    </row>
    <row r="217" spans="1:31" x14ac:dyDescent="0.2">
      <c r="A217" s="347">
        <v>12517.5</v>
      </c>
      <c r="B217" s="364">
        <f t="shared" si="103"/>
        <v>12.5175</v>
      </c>
      <c r="C217" s="337">
        <f t="shared" si="84"/>
        <v>13.887062612454734</v>
      </c>
      <c r="D217" s="338">
        <f t="shared" si="85"/>
        <v>1.4987244799227446</v>
      </c>
      <c r="E217" s="338">
        <f t="shared" si="86"/>
        <v>1.0004947405466567</v>
      </c>
      <c r="F217" s="339">
        <f t="shared" si="87"/>
        <v>3.1449536060990199E-2</v>
      </c>
      <c r="G217" s="338">
        <f t="shared" si="88"/>
        <v>1</v>
      </c>
      <c r="H217" s="339">
        <f t="shared" si="89"/>
        <v>0</v>
      </c>
      <c r="I217" s="337">
        <f t="shared" si="90"/>
        <v>196329.27783907371</v>
      </c>
      <c r="J217" s="340">
        <f t="shared" si="91"/>
        <v>1.570791233311077</v>
      </c>
      <c r="K217" s="348">
        <f t="shared" si="107"/>
        <v>19.472636631422805</v>
      </c>
      <c r="L217" s="349">
        <f t="shared" si="108"/>
        <v>1.5194196138092655</v>
      </c>
      <c r="M217" s="337">
        <f t="shared" si="92"/>
        <v>1.0009702980223112</v>
      </c>
      <c r="N217" s="340">
        <f t="shared" si="93"/>
        <v>4.403439805795363E-2</v>
      </c>
      <c r="O217" s="341">
        <f t="shared" si="94"/>
        <v>1.0039442952613029</v>
      </c>
      <c r="P217" s="342">
        <f t="shared" si="95"/>
        <v>0.10647335338857625</v>
      </c>
      <c r="Q217" s="343">
        <f t="shared" si="96"/>
        <v>-6.3594293364588372</v>
      </c>
      <c r="R217" s="344">
        <f t="shared" si="97"/>
        <v>-95.63549770394873</v>
      </c>
      <c r="S217" s="346">
        <f t="shared" si="98"/>
        <v>84.36450229605127</v>
      </c>
      <c r="U217" s="319">
        <f t="shared" si="104"/>
        <v>12517.5</v>
      </c>
      <c r="V217" s="319">
        <f t="shared" si="105"/>
        <v>156687806.25</v>
      </c>
      <c r="X217" s="345">
        <f t="shared" si="99"/>
        <v>17.627594398668439</v>
      </c>
      <c r="Y217" s="346">
        <f t="shared" si="100"/>
        <v>-5.4663621525717891</v>
      </c>
      <c r="AA217" s="345">
        <f t="shared" si="101"/>
        <v>24.886926249526979</v>
      </c>
      <c r="AB217" s="346">
        <f t="shared" si="102"/>
        <v>-90.169135551376939</v>
      </c>
      <c r="AD217">
        <f t="shared" si="106"/>
        <v>0</v>
      </c>
      <c r="AE217">
        <f t="shared" si="81"/>
        <v>0</v>
      </c>
    </row>
    <row r="218" spans="1:31" x14ac:dyDescent="0.2">
      <c r="A218" s="347">
        <v>12589</v>
      </c>
      <c r="B218" s="364">
        <f t="shared" si="103"/>
        <v>12.589</v>
      </c>
      <c r="C218" s="337">
        <f t="shared" si="84"/>
        <v>13.965975402189672</v>
      </c>
      <c r="D218" s="338">
        <f t="shared" si="85"/>
        <v>1.4991324123825143</v>
      </c>
      <c r="E218" s="338">
        <f t="shared" si="86"/>
        <v>1.0005004071902497</v>
      </c>
      <c r="F218" s="339">
        <f t="shared" si="87"/>
        <v>3.1629056467764698E-2</v>
      </c>
      <c r="G218" s="338">
        <f t="shared" si="88"/>
        <v>1</v>
      </c>
      <c r="H218" s="339">
        <f t="shared" si="89"/>
        <v>0</v>
      </c>
      <c r="I218" s="337">
        <f t="shared" si="90"/>
        <v>197450.71130143682</v>
      </c>
      <c r="J218" s="340">
        <f t="shared" si="91"/>
        <v>1.5707912622398317</v>
      </c>
      <c r="K218" s="348">
        <f t="shared" si="107"/>
        <v>19.583571890046251</v>
      </c>
      <c r="L218" s="349">
        <f t="shared" si="108"/>
        <v>1.5197109021584883</v>
      </c>
      <c r="M218" s="337">
        <f t="shared" si="92"/>
        <v>1.0009814089214901</v>
      </c>
      <c r="N218" s="340">
        <f t="shared" si="93"/>
        <v>4.4285594878541189E-2</v>
      </c>
      <c r="O218" s="341">
        <f t="shared" si="94"/>
        <v>1.0039894113167562</v>
      </c>
      <c r="P218" s="342">
        <f t="shared" si="95"/>
        <v>0.10707902767908131</v>
      </c>
      <c r="Q218" s="343">
        <f t="shared" si="96"/>
        <v>-6.4092141967653387</v>
      </c>
      <c r="R218" s="344">
        <f t="shared" si="97"/>
        <v>-95.680991913343291</v>
      </c>
      <c r="S218" s="346">
        <f t="shared" si="98"/>
        <v>84.319008086656709</v>
      </c>
      <c r="U218" s="319">
        <f t="shared" si="104"/>
        <v>12589</v>
      </c>
      <c r="V218" s="319">
        <f t="shared" si="105"/>
        <v>158482921</v>
      </c>
      <c r="X218" s="345">
        <f t="shared" si="99"/>
        <v>17.627368251542578</v>
      </c>
      <c r="Y218" s="346">
        <f t="shared" si="100"/>
        <v>-5.4640667346796965</v>
      </c>
      <c r="AA218" s="345">
        <f t="shared" si="101"/>
        <v>24.837367536346342</v>
      </c>
      <c r="AB218" s="346">
        <f t="shared" si="102"/>
        <v>-90.216925178663615</v>
      </c>
      <c r="AD218">
        <f t="shared" si="106"/>
        <v>0</v>
      </c>
      <c r="AE218">
        <f t="shared" ref="AE218:AE281" si="109">IF(AD218&gt;0,S218,0)</f>
        <v>0</v>
      </c>
    </row>
    <row r="219" spans="1:31" x14ac:dyDescent="0.2">
      <c r="A219" s="347">
        <v>12662.25</v>
      </c>
      <c r="B219" s="364">
        <f t="shared" si="103"/>
        <v>12.66225</v>
      </c>
      <c r="C219" s="337">
        <f t="shared" si="84"/>
        <v>14.046822006513237</v>
      </c>
      <c r="D219" s="338">
        <f t="shared" si="85"/>
        <v>1.499545576090074</v>
      </c>
      <c r="E219" s="338">
        <f t="shared" si="86"/>
        <v>1.0005062459646663</v>
      </c>
      <c r="F219" s="339">
        <f t="shared" si="87"/>
        <v>3.1812968615758198E-2</v>
      </c>
      <c r="G219" s="338">
        <f t="shared" si="88"/>
        <v>1</v>
      </c>
      <c r="H219" s="339">
        <f t="shared" si="89"/>
        <v>0</v>
      </c>
      <c r="I219" s="337">
        <f t="shared" si="90"/>
        <v>198599.59243595588</v>
      </c>
      <c r="J219" s="340">
        <f t="shared" si="91"/>
        <v>1.5707912915378361</v>
      </c>
      <c r="K219" s="348">
        <f t="shared" si="107"/>
        <v>19.697224050806827</v>
      </c>
      <c r="L219" s="349">
        <f t="shared" si="108"/>
        <v>1.5200059173883504</v>
      </c>
      <c r="M219" s="337">
        <f t="shared" si="92"/>
        <v>1.0009928572638433</v>
      </c>
      <c r="N219" s="340">
        <f t="shared" si="93"/>
        <v>4.4542934073443625E-2</v>
      </c>
      <c r="O219" s="341">
        <f t="shared" si="94"/>
        <v>1.0040358963855003</v>
      </c>
      <c r="P219" s="342">
        <f t="shared" si="95"/>
        <v>0.10769948209781545</v>
      </c>
      <c r="Q219" s="343">
        <f t="shared" si="96"/>
        <v>-6.4599317691111544</v>
      </c>
      <c r="R219" s="344">
        <f t="shared" si="97"/>
        <v>-95.727519480640154</v>
      </c>
      <c r="S219" s="346">
        <f t="shared" si="98"/>
        <v>84.272480519359846</v>
      </c>
      <c r="U219" s="319">
        <f t="shared" si="104"/>
        <v>12662.25</v>
      </c>
      <c r="V219" s="319">
        <f t="shared" si="105"/>
        <v>160332575.0625</v>
      </c>
      <c r="X219" s="345">
        <f t="shared" si="99"/>
        <v>17.627138270688338</v>
      </c>
      <c r="Y219" s="346">
        <f t="shared" si="100"/>
        <v>-5.4619097355372483</v>
      </c>
      <c r="AA219" s="345">
        <f t="shared" si="101"/>
        <v>24.786879944854761</v>
      </c>
      <c r="AB219" s="346">
        <f t="shared" si="102"/>
        <v>-90.265609745102878</v>
      </c>
      <c r="AD219">
        <f t="shared" si="106"/>
        <v>0</v>
      </c>
      <c r="AE219">
        <f t="shared" si="109"/>
        <v>0</v>
      </c>
    </row>
    <row r="220" spans="1:31" x14ac:dyDescent="0.2">
      <c r="A220" s="347">
        <v>12735.5</v>
      </c>
      <c r="B220" s="364">
        <f t="shared" si="103"/>
        <v>12.7355</v>
      </c>
      <c r="C220" s="337">
        <f t="shared" si="84"/>
        <v>14.127670981245007</v>
      </c>
      <c r="D220" s="338">
        <f t="shared" si="85"/>
        <v>1.4999540110105065</v>
      </c>
      <c r="E220" s="338">
        <f t="shared" si="86"/>
        <v>1.0005121185794885</v>
      </c>
      <c r="F220" s="339">
        <f t="shared" si="87"/>
        <v>3.1996878610987392E-2</v>
      </c>
      <c r="G220" s="338">
        <f t="shared" si="88"/>
        <v>1</v>
      </c>
      <c r="H220" s="339">
        <f t="shared" si="89"/>
        <v>0</v>
      </c>
      <c r="I220" s="337">
        <f t="shared" si="90"/>
        <v>199748.47357047512</v>
      </c>
      <c r="J220" s="340">
        <f t="shared" si="91"/>
        <v>1.5707913204988178</v>
      </c>
      <c r="K220" s="348">
        <f t="shared" si="107"/>
        <v>19.810877906225528</v>
      </c>
      <c r="L220" s="349">
        <f t="shared" si="108"/>
        <v>1.520297547672889</v>
      </c>
      <c r="M220" s="337">
        <f t="shared" si="92"/>
        <v>1.0010043718938895</v>
      </c>
      <c r="N220" s="340">
        <f t="shared" si="93"/>
        <v>4.4800267365002248E-2</v>
      </c>
      <c r="O220" s="341">
        <f t="shared" si="94"/>
        <v>1.0040826493998245</v>
      </c>
      <c r="P220" s="342">
        <f t="shared" si="95"/>
        <v>0.10831989166637856</v>
      </c>
      <c r="Q220" s="343">
        <f t="shared" si="96"/>
        <v>-6.5103634022921444</v>
      </c>
      <c r="R220" s="344">
        <f t="shared" si="97"/>
        <v>-95.773967247545343</v>
      </c>
      <c r="S220" s="346">
        <f t="shared" si="98"/>
        <v>84.226032752454657</v>
      </c>
      <c r="U220" s="319">
        <f t="shared" si="104"/>
        <v>12735.5</v>
      </c>
      <c r="V220" s="319">
        <f t="shared" si="105"/>
        <v>162192960.25</v>
      </c>
      <c r="X220" s="345">
        <f t="shared" si="99"/>
        <v>17.626909959642738</v>
      </c>
      <c r="Y220" s="346">
        <f t="shared" si="100"/>
        <v>-5.4599463219292863</v>
      </c>
      <c r="AA220" s="345">
        <f t="shared" si="101"/>
        <v>24.736676622719376</v>
      </c>
      <c r="AB220" s="346">
        <f t="shared" si="102"/>
        <v>-90.314020925616035</v>
      </c>
      <c r="AD220">
        <f t="shared" si="106"/>
        <v>0</v>
      </c>
      <c r="AE220">
        <f t="shared" si="109"/>
        <v>0</v>
      </c>
    </row>
    <row r="221" spans="1:31" x14ac:dyDescent="0.2">
      <c r="A221" s="347">
        <v>12808.75</v>
      </c>
      <c r="B221" s="364">
        <f t="shared" si="103"/>
        <v>12.80875</v>
      </c>
      <c r="C221" s="337">
        <f t="shared" si="84"/>
        <v>14.208522285920877</v>
      </c>
      <c r="D221" s="338">
        <f t="shared" si="85"/>
        <v>1.500357797731567</v>
      </c>
      <c r="E221" s="338">
        <f t="shared" si="86"/>
        <v>1.0005180250341206</v>
      </c>
      <c r="F221" s="339">
        <f t="shared" si="87"/>
        <v>3.2180786441049575E-2</v>
      </c>
      <c r="G221" s="338">
        <f t="shared" si="88"/>
        <v>1</v>
      </c>
      <c r="H221" s="339">
        <f t="shared" si="89"/>
        <v>0</v>
      </c>
      <c r="I221" s="337">
        <f t="shared" si="90"/>
        <v>200897.35470499448</v>
      </c>
      <c r="J221" s="340">
        <f t="shared" si="91"/>
        <v>1.5707913491285581</v>
      </c>
      <c r="K221" s="348">
        <f t="shared" si="107"/>
        <v>19.924533427302261</v>
      </c>
      <c r="L221" s="349">
        <f t="shared" si="108"/>
        <v>1.5205858508883028</v>
      </c>
      <c r="M221" s="337">
        <f t="shared" si="92"/>
        <v>1.0010159528093412</v>
      </c>
      <c r="N221" s="340">
        <f t="shared" si="93"/>
        <v>4.5057594719339934E-2</v>
      </c>
      <c r="O221" s="341">
        <f t="shared" si="94"/>
        <v>1.0041296703296656</v>
      </c>
      <c r="P221" s="342">
        <f t="shared" si="95"/>
        <v>0.10894025613319017</v>
      </c>
      <c r="Q221" s="343">
        <f t="shared" si="96"/>
        <v>-6.5605123809270074</v>
      </c>
      <c r="R221" s="344">
        <f t="shared" si="97"/>
        <v>-95.820336500021568</v>
      </c>
      <c r="S221" s="346">
        <f t="shared" si="98"/>
        <v>84.179663499978432</v>
      </c>
      <c r="U221" s="319">
        <f t="shared" si="104"/>
        <v>12808.75</v>
      </c>
      <c r="V221" s="319">
        <f t="shared" si="105"/>
        <v>164064076.5625</v>
      </c>
      <c r="X221" s="345">
        <f t="shared" si="99"/>
        <v>17.626683267372186</v>
      </c>
      <c r="Y221" s="346">
        <f t="shared" si="100"/>
        <v>-5.458173176184105</v>
      </c>
      <c r="AA221" s="345">
        <f t="shared" si="101"/>
        <v>24.686754336355058</v>
      </c>
      <c r="AB221" s="346">
        <f t="shared" si="102"/>
        <v>-90.362163323837464</v>
      </c>
      <c r="AD221">
        <f t="shared" si="106"/>
        <v>0</v>
      </c>
      <c r="AE221">
        <f t="shared" si="109"/>
        <v>0</v>
      </c>
    </row>
    <row r="222" spans="1:31" x14ac:dyDescent="0.2">
      <c r="A222" s="347">
        <v>12882</v>
      </c>
      <c r="B222" s="364">
        <f t="shared" si="103"/>
        <v>12.882</v>
      </c>
      <c r="C222" s="337">
        <f t="shared" si="84"/>
        <v>14.289375880991386</v>
      </c>
      <c r="D222" s="338">
        <f t="shared" si="85"/>
        <v>1.5007570150231941</v>
      </c>
      <c r="E222" s="338">
        <f t="shared" si="86"/>
        <v>1.0005239653279629</v>
      </c>
      <c r="F222" s="339">
        <f t="shared" si="87"/>
        <v>3.2364692093542889E-2</v>
      </c>
      <c r="G222" s="338">
        <f t="shared" si="88"/>
        <v>1</v>
      </c>
      <c r="H222" s="339">
        <f t="shared" si="89"/>
        <v>0</v>
      </c>
      <c r="I222" s="337">
        <f t="shared" si="90"/>
        <v>202046.23583951403</v>
      </c>
      <c r="J222" s="340">
        <f t="shared" si="91"/>
        <v>1.570791377432708</v>
      </c>
      <c r="K222" s="348">
        <f t="shared" si="107"/>
        <v>20.038190585694473</v>
      </c>
      <c r="L222" s="349">
        <f t="shared" si="108"/>
        <v>1.5208708835999303</v>
      </c>
      <c r="M222" s="337">
        <f t="shared" si="92"/>
        <v>1.0010276000078975</v>
      </c>
      <c r="N222" s="340">
        <f t="shared" si="93"/>
        <v>4.5314916102584264E-2</v>
      </c>
      <c r="O222" s="341">
        <f t="shared" si="94"/>
        <v>1.0041769591447938</v>
      </c>
      <c r="P222" s="342">
        <f t="shared" si="95"/>
        <v>0.10956057524680385</v>
      </c>
      <c r="Q222" s="343">
        <f t="shared" si="96"/>
        <v>-6.6103819339692818</v>
      </c>
      <c r="R222" s="344">
        <f t="shared" si="97"/>
        <v>-95.866628494985534</v>
      </c>
      <c r="S222" s="346">
        <f t="shared" si="98"/>
        <v>84.133371505014466</v>
      </c>
      <c r="U222" s="319">
        <f t="shared" si="104"/>
        <v>12882</v>
      </c>
      <c r="V222" s="319">
        <f t="shared" si="105"/>
        <v>165945924</v>
      </c>
      <c r="X222" s="345">
        <f t="shared" si="99"/>
        <v>17.626458144287636</v>
      </c>
      <c r="Y222" s="346">
        <f t="shared" si="100"/>
        <v>-5.4565870557295737</v>
      </c>
      <c r="AA222" s="345">
        <f t="shared" si="101"/>
        <v>24.637109906397342</v>
      </c>
      <c r="AB222" s="346">
        <f t="shared" si="102"/>
        <v>-90.410041439255934</v>
      </c>
      <c r="AD222">
        <f t="shared" si="106"/>
        <v>0</v>
      </c>
      <c r="AE222">
        <f t="shared" si="109"/>
        <v>0</v>
      </c>
    </row>
    <row r="223" spans="1:31" x14ac:dyDescent="0.2">
      <c r="A223" s="347">
        <v>12957.25</v>
      </c>
      <c r="B223" s="364">
        <f t="shared" si="103"/>
        <v>12.95725</v>
      </c>
      <c r="C223" s="337">
        <f t="shared" si="84"/>
        <v>14.372439427187762</v>
      </c>
      <c r="D223" s="338">
        <f t="shared" si="85"/>
        <v>1.5011624550719209</v>
      </c>
      <c r="E223" s="338">
        <f t="shared" si="86"/>
        <v>1.0005301030512253</v>
      </c>
      <c r="F223" s="339">
        <f t="shared" si="87"/>
        <v>3.2553616780184806E-2</v>
      </c>
      <c r="G223" s="338">
        <f t="shared" si="88"/>
        <v>1</v>
      </c>
      <c r="H223" s="339">
        <f t="shared" si="89"/>
        <v>0</v>
      </c>
      <c r="I223" s="337">
        <f t="shared" si="90"/>
        <v>203226.48574221178</v>
      </c>
      <c r="J223" s="340">
        <f t="shared" si="91"/>
        <v>1.5707914061764234</v>
      </c>
      <c r="K223" s="348">
        <f t="shared" si="107"/>
        <v>20.154952687086507</v>
      </c>
      <c r="L223" s="349">
        <f t="shared" si="108"/>
        <v>1.5211603511978082</v>
      </c>
      <c r="M223" s="337">
        <f t="shared" si="92"/>
        <v>1.0010396342387478</v>
      </c>
      <c r="N223" s="340">
        <f t="shared" si="93"/>
        <v>4.5579257072186838E-2</v>
      </c>
      <c r="O223" s="341">
        <f t="shared" si="94"/>
        <v>1.0042258180467196</v>
      </c>
      <c r="P223" s="342">
        <f t="shared" si="95"/>
        <v>0.11019778390941161</v>
      </c>
      <c r="Q223" s="343">
        <f t="shared" si="96"/>
        <v>-6.6613254746711821</v>
      </c>
      <c r="R223" s="344">
        <f t="shared" si="97"/>
        <v>-95.914105275663559</v>
      </c>
      <c r="S223" s="346">
        <f t="shared" si="98"/>
        <v>84.085894724336441</v>
      </c>
      <c r="U223" s="319">
        <f t="shared" si="104"/>
        <v>12957.25</v>
      </c>
      <c r="V223" s="319">
        <f t="shared" si="105"/>
        <v>167890327.5625</v>
      </c>
      <c r="X223" s="345">
        <f t="shared" si="99"/>
        <v>17.626228457903593</v>
      </c>
      <c r="Y223" s="346">
        <f t="shared" si="100"/>
        <v>-5.4551490528679381</v>
      </c>
      <c r="AA223" s="345">
        <f t="shared" si="101"/>
        <v>24.586396052079479</v>
      </c>
      <c r="AB223" s="346">
        <f t="shared" si="102"/>
        <v>-90.458956222795649</v>
      </c>
      <c r="AD223">
        <f t="shared" si="106"/>
        <v>0</v>
      </c>
      <c r="AE223">
        <f t="shared" si="109"/>
        <v>0</v>
      </c>
    </row>
    <row r="224" spans="1:31" x14ac:dyDescent="0.2">
      <c r="A224" s="347">
        <v>13032.5</v>
      </c>
      <c r="B224" s="364">
        <f t="shared" si="103"/>
        <v>13.032500000000001</v>
      </c>
      <c r="C224" s="337">
        <f t="shared" si="84"/>
        <v>14.45550530879766</v>
      </c>
      <c r="D224" s="338">
        <f t="shared" si="85"/>
        <v>1.5015632356137336</v>
      </c>
      <c r="E224" s="338">
        <f t="shared" si="86"/>
        <v>1.000536276485507</v>
      </c>
      <c r="F224" s="339">
        <f t="shared" si="87"/>
        <v>3.2742539142191766E-2</v>
      </c>
      <c r="G224" s="338">
        <f t="shared" si="88"/>
        <v>1</v>
      </c>
      <c r="H224" s="339">
        <f t="shared" si="89"/>
        <v>0</v>
      </c>
      <c r="I224" s="337">
        <f t="shared" si="90"/>
        <v>204406.73564490967</v>
      </c>
      <c r="J224" s="340">
        <f t="shared" si="91"/>
        <v>1.5707914345882046</v>
      </c>
      <c r="K224" s="348">
        <f t="shared" si="107"/>
        <v>20.271716457837346</v>
      </c>
      <c r="L224" s="349">
        <f t="shared" si="108"/>
        <v>1.5214464841902893</v>
      </c>
      <c r="M224" s="337">
        <f t="shared" si="92"/>
        <v>1.0010517384167072</v>
      </c>
      <c r="N224" s="340">
        <f t="shared" si="93"/>
        <v>4.5843591667722727E-2</v>
      </c>
      <c r="O224" s="341">
        <f t="shared" si="94"/>
        <v>1.0042749595969711</v>
      </c>
      <c r="P224" s="342">
        <f t="shared" si="95"/>
        <v>0.1108349441708491</v>
      </c>
      <c r="Q224" s="343">
        <f t="shared" si="96"/>
        <v>-6.7119808560095198</v>
      </c>
      <c r="R224" s="344">
        <f t="shared" si="97"/>
        <v>-95.961503120859803</v>
      </c>
      <c r="S224" s="346">
        <f t="shared" si="98"/>
        <v>84.038496879140197</v>
      </c>
      <c r="U224" s="319">
        <f t="shared" si="104"/>
        <v>13032.5</v>
      </c>
      <c r="V224" s="319">
        <f t="shared" si="105"/>
        <v>169846056.25</v>
      </c>
      <c r="X224" s="345">
        <f t="shared" si="99"/>
        <v>17.626000325942609</v>
      </c>
      <c r="Y224" s="346">
        <f t="shared" si="100"/>
        <v>-5.4539017245965464</v>
      </c>
      <c r="AA224" s="345">
        <f t="shared" si="101"/>
        <v>24.535968802702129</v>
      </c>
      <c r="AB224" s="346">
        <f t="shared" si="102"/>
        <v>-90.50760139626324</v>
      </c>
      <c r="AD224">
        <f t="shared" si="106"/>
        <v>0</v>
      </c>
      <c r="AE224">
        <f t="shared" si="109"/>
        <v>0</v>
      </c>
    </row>
    <row r="225" spans="1:31" x14ac:dyDescent="0.2">
      <c r="A225" s="347">
        <v>13107.75</v>
      </c>
      <c r="B225" s="364">
        <f t="shared" si="103"/>
        <v>13.107749999999999</v>
      </c>
      <c r="C225" s="337">
        <f t="shared" si="84"/>
        <v>14.538573485791042</v>
      </c>
      <c r="D225" s="338">
        <f t="shared" si="85"/>
        <v>1.5019594363870024</v>
      </c>
      <c r="E225" s="338">
        <f t="shared" si="86"/>
        <v>1.0005424856301466</v>
      </c>
      <c r="F225" s="339">
        <f t="shared" si="87"/>
        <v>3.2931459166121016E-2</v>
      </c>
      <c r="G225" s="338">
        <f t="shared" si="88"/>
        <v>1</v>
      </c>
      <c r="H225" s="339">
        <f t="shared" si="89"/>
        <v>0</v>
      </c>
      <c r="I225" s="337">
        <f t="shared" si="90"/>
        <v>205586.98554760771</v>
      </c>
      <c r="J225" s="340">
        <f t="shared" si="91"/>
        <v>1.5707914626737689</v>
      </c>
      <c r="K225" s="348">
        <f t="shared" si="107"/>
        <v>20.388481869265998</v>
      </c>
      <c r="L225" s="349">
        <f t="shared" si="108"/>
        <v>1.5217293398222513</v>
      </c>
      <c r="M225" s="337">
        <f t="shared" si="92"/>
        <v>1.0010639125392389</v>
      </c>
      <c r="N225" s="340">
        <f t="shared" si="93"/>
        <v>4.6107919852484233E-2</v>
      </c>
      <c r="O225" s="341">
        <f t="shared" si="94"/>
        <v>1.0043243837622262</v>
      </c>
      <c r="P225" s="342">
        <f t="shared" si="95"/>
        <v>0.11147205575895318</v>
      </c>
      <c r="Q225" s="343">
        <f t="shared" si="96"/>
        <v>-6.762351403352663</v>
      </c>
      <c r="R225" s="344">
        <f t="shared" si="97"/>
        <v>-96.008823302757108</v>
      </c>
      <c r="S225" s="346">
        <f t="shared" si="98"/>
        <v>83.991176697242892</v>
      </c>
      <c r="U225" s="319">
        <f t="shared" si="104"/>
        <v>13107.75</v>
      </c>
      <c r="V225" s="319">
        <f t="shared" si="105"/>
        <v>171813110.0625</v>
      </c>
      <c r="X225" s="345">
        <f t="shared" si="99"/>
        <v>17.625773699087954</v>
      </c>
      <c r="Y225" s="346">
        <f t="shared" si="100"/>
        <v>-5.4528417892498995</v>
      </c>
      <c r="AA225" s="345">
        <f t="shared" si="101"/>
        <v>24.485824882213638</v>
      </c>
      <c r="AB225" s="346">
        <f t="shared" si="102"/>
        <v>-90.555981513507234</v>
      </c>
      <c r="AD225">
        <f t="shared" si="106"/>
        <v>0</v>
      </c>
      <c r="AE225">
        <f t="shared" si="109"/>
        <v>0</v>
      </c>
    </row>
    <row r="226" spans="1:31" x14ac:dyDescent="0.2">
      <c r="A226" s="347">
        <v>13183</v>
      </c>
      <c r="B226" s="364">
        <f t="shared" si="103"/>
        <v>13.183</v>
      </c>
      <c r="C226" s="337">
        <f t="shared" si="84"/>
        <v>14.621643919046461</v>
      </c>
      <c r="D226" s="338">
        <f t="shared" si="85"/>
        <v>1.5023511353238428</v>
      </c>
      <c r="E226" s="338">
        <f t="shared" si="86"/>
        <v>1.0005487304844793</v>
      </c>
      <c r="F226" s="339">
        <f t="shared" si="87"/>
        <v>3.31203768385308E-2</v>
      </c>
      <c r="G226" s="338">
        <f t="shared" si="88"/>
        <v>1</v>
      </c>
      <c r="H226" s="339">
        <f t="shared" si="89"/>
        <v>0</v>
      </c>
      <c r="I226" s="337">
        <f t="shared" si="90"/>
        <v>206767.23545030592</v>
      </c>
      <c r="J226" s="340">
        <f t="shared" si="91"/>
        <v>1.5707914904387021</v>
      </c>
      <c r="K226" s="348">
        <f t="shared" si="107"/>
        <v>20.505248893344362</v>
      </c>
      <c r="L226" s="349">
        <f t="shared" si="108"/>
        <v>1.5220089740367753</v>
      </c>
      <c r="M226" s="337">
        <f t="shared" si="92"/>
        <v>1.0010761566037905</v>
      </c>
      <c r="N226" s="340">
        <f t="shared" si="93"/>
        <v>4.6372241589769013E-2</v>
      </c>
      <c r="O226" s="341">
        <f t="shared" si="94"/>
        <v>1.0043740905089784</v>
      </c>
      <c r="P226" s="342">
        <f t="shared" si="95"/>
        <v>0.11210911840171325</v>
      </c>
      <c r="Q226" s="343">
        <f t="shared" si="96"/>
        <v>-6.81244038547025</v>
      </c>
      <c r="R226" s="344">
        <f t="shared" si="97"/>
        <v>-96.056067064636679</v>
      </c>
      <c r="S226" s="346">
        <f t="shared" si="98"/>
        <v>83.943932935363321</v>
      </c>
      <c r="U226" s="319">
        <f t="shared" si="104"/>
        <v>13183</v>
      </c>
      <c r="V226" s="319">
        <f t="shared" si="105"/>
        <v>173791489</v>
      </c>
      <c r="X226" s="345">
        <f t="shared" si="99"/>
        <v>17.625548529424535</v>
      </c>
      <c r="Y226" s="346">
        <f t="shared" si="100"/>
        <v>-5.4519660397426906</v>
      </c>
      <c r="AA226" s="345">
        <f t="shared" si="101"/>
        <v>24.435961069759472</v>
      </c>
      <c r="AB226" s="346">
        <f t="shared" si="102"/>
        <v>-90.604101024894021</v>
      </c>
      <c r="AD226">
        <f t="shared" si="106"/>
        <v>0</v>
      </c>
      <c r="AE226">
        <f t="shared" si="109"/>
        <v>0</v>
      </c>
    </row>
    <row r="227" spans="1:31" x14ac:dyDescent="0.2">
      <c r="A227" s="347">
        <v>13259.75</v>
      </c>
      <c r="B227" s="364">
        <f t="shared" si="103"/>
        <v>13.25975</v>
      </c>
      <c r="C227" s="337">
        <f t="shared" si="84"/>
        <v>14.706372525863465</v>
      </c>
      <c r="D227" s="338">
        <f t="shared" si="85"/>
        <v>1.5027460838576896</v>
      </c>
      <c r="E227" s="338">
        <f t="shared" si="86"/>
        <v>1.0005551366047845</v>
      </c>
      <c r="F227" s="339">
        <f t="shared" si="87"/>
        <v>3.3313057875484373E-2</v>
      </c>
      <c r="G227" s="338">
        <f t="shared" si="88"/>
        <v>1</v>
      </c>
      <c r="H227" s="339">
        <f t="shared" si="89"/>
        <v>0</v>
      </c>
      <c r="I227" s="337">
        <f t="shared" si="90"/>
        <v>207971.01192913784</v>
      </c>
      <c r="J227" s="340">
        <f t="shared" si="91"/>
        <v>1.5707915184324679</v>
      </c>
      <c r="K227" s="348">
        <f t="shared" si="107"/>
        <v>20.6243451320844</v>
      </c>
      <c r="L227" s="349">
        <f t="shared" si="108"/>
        <v>1.5222909206680046</v>
      </c>
      <c r="M227" s="337">
        <f t="shared" si="92"/>
        <v>1.0010887167806182</v>
      </c>
      <c r="N227" s="340">
        <f t="shared" si="93"/>
        <v>4.6641825519301371E-2</v>
      </c>
      <c r="O227" s="341">
        <f t="shared" si="94"/>
        <v>1.0044250791398739</v>
      </c>
      <c r="P227" s="342">
        <f t="shared" si="95"/>
        <v>0.11275882926713497</v>
      </c>
      <c r="Q227" s="343">
        <f t="shared" si="96"/>
        <v>-6.8632411108798621</v>
      </c>
      <c r="R227" s="344">
        <f t="shared" si="97"/>
        <v>-96.104175102382797</v>
      </c>
      <c r="S227" s="346">
        <f t="shared" si="98"/>
        <v>83.895824897617203</v>
      </c>
      <c r="U227" s="319">
        <f t="shared" si="104"/>
        <v>13259.75</v>
      </c>
      <c r="V227" s="319">
        <f t="shared" si="105"/>
        <v>175820970.0625</v>
      </c>
      <c r="X227" s="345">
        <f t="shared" si="99"/>
        <v>17.625320324106287</v>
      </c>
      <c r="Y227" s="346">
        <f t="shared" si="100"/>
        <v>-5.4512593130358944</v>
      </c>
      <c r="AA227" s="345">
        <f t="shared" si="101"/>
        <v>24.385388549668107</v>
      </c>
      <c r="AB227" s="346">
        <f t="shared" si="102"/>
        <v>-90.652915789346906</v>
      </c>
      <c r="AD227">
        <f t="shared" si="106"/>
        <v>0</v>
      </c>
      <c r="AE227">
        <f t="shared" si="109"/>
        <v>0</v>
      </c>
    </row>
    <row r="228" spans="1:31" x14ac:dyDescent="0.2">
      <c r="A228" s="347">
        <v>13336.5</v>
      </c>
      <c r="B228" s="364">
        <f t="shared" si="103"/>
        <v>13.336499999999999</v>
      </c>
      <c r="C228" s="337">
        <f t="shared" si="84"/>
        <v>14.791103400362886</v>
      </c>
      <c r="D228" s="338">
        <f t="shared" si="85"/>
        <v>1.5031365075244389</v>
      </c>
      <c r="E228" s="338">
        <f t="shared" si="86"/>
        <v>1.0005615798712051</v>
      </c>
      <c r="F228" s="339">
        <f t="shared" si="87"/>
        <v>3.3505736437994357E-2</v>
      </c>
      <c r="G228" s="338">
        <f t="shared" si="88"/>
        <v>1</v>
      </c>
      <c r="H228" s="339">
        <f t="shared" si="89"/>
        <v>0</v>
      </c>
      <c r="I228" s="337">
        <f t="shared" si="90"/>
        <v>209174.7884079699</v>
      </c>
      <c r="J228" s="340">
        <f t="shared" si="91"/>
        <v>1.5707915461040323</v>
      </c>
      <c r="K228" s="348">
        <f t="shared" si="107"/>
        <v>20.743442991507923</v>
      </c>
      <c r="L228" s="349">
        <f t="shared" si="108"/>
        <v>1.5225696297448255</v>
      </c>
      <c r="M228" s="337">
        <f t="shared" si="92"/>
        <v>1.0011013497102352</v>
      </c>
      <c r="N228" s="340">
        <f t="shared" si="93"/>
        <v>4.6911402664648688E-2</v>
      </c>
      <c r="O228" s="341">
        <f t="shared" si="94"/>
        <v>1.004476361659264</v>
      </c>
      <c r="P228" s="342">
        <f t="shared" si="95"/>
        <v>0.11340848864537696</v>
      </c>
      <c r="Q228" s="343">
        <f t="shared" si="96"/>
        <v>-6.9137556281591213</v>
      </c>
      <c r="R228" s="344">
        <f t="shared" si="97"/>
        <v>-96.152206167155953</v>
      </c>
      <c r="S228" s="346">
        <f t="shared" si="98"/>
        <v>83.847793832844047</v>
      </c>
      <c r="U228" s="319">
        <f t="shared" si="104"/>
        <v>13336.5</v>
      </c>
      <c r="V228" s="319">
        <f t="shared" si="105"/>
        <v>177862232.25</v>
      </c>
      <c r="X228" s="345">
        <f t="shared" si="99"/>
        <v>17.625093538221808</v>
      </c>
      <c r="Y228" s="346">
        <f t="shared" si="100"/>
        <v>-5.4507376773669183</v>
      </c>
      <c r="AA228" s="345">
        <f t="shared" si="101"/>
        <v>24.335100818273325</v>
      </c>
      <c r="AB228" s="346">
        <f t="shared" si="102"/>
        <v>-90.70146848978905</v>
      </c>
      <c r="AD228">
        <f t="shared" si="106"/>
        <v>0</v>
      </c>
      <c r="AE228">
        <f t="shared" si="109"/>
        <v>0</v>
      </c>
    </row>
    <row r="229" spans="1:31" x14ac:dyDescent="0.2">
      <c r="A229" s="347">
        <v>13413.25</v>
      </c>
      <c r="B229" s="364">
        <f t="shared" si="103"/>
        <v>13.41325</v>
      </c>
      <c r="C229" s="337">
        <f t="shared" si="84"/>
        <v>14.875836503795432</v>
      </c>
      <c r="D229" s="338">
        <f t="shared" si="85"/>
        <v>1.503522483525275</v>
      </c>
      <c r="E229" s="338">
        <f t="shared" si="86"/>
        <v>1.0005680602830236</v>
      </c>
      <c r="F229" s="339">
        <f t="shared" si="87"/>
        <v>3.3698412511802292E-2</v>
      </c>
      <c r="G229" s="338">
        <f t="shared" si="88"/>
        <v>1</v>
      </c>
      <c r="H229" s="339">
        <f t="shared" si="89"/>
        <v>0</v>
      </c>
      <c r="I229" s="337">
        <f t="shared" si="90"/>
        <v>210378.56488680208</v>
      </c>
      <c r="J229" s="340">
        <f t="shared" si="91"/>
        <v>1.5707915734589257</v>
      </c>
      <c r="K229" s="348">
        <f t="shared" si="107"/>
        <v>20.862542443858963</v>
      </c>
      <c r="L229" s="349">
        <f t="shared" si="108"/>
        <v>1.5228451566709216</v>
      </c>
      <c r="M229" s="337">
        <f t="shared" si="92"/>
        <v>1.0011140553898876</v>
      </c>
      <c r="N229" s="340">
        <f t="shared" si="93"/>
        <v>4.7180972986887205E-2</v>
      </c>
      <c r="O229" s="341">
        <f t="shared" si="94"/>
        <v>1.0045279380310053</v>
      </c>
      <c r="P229" s="342">
        <f t="shared" si="95"/>
        <v>0.11405809624833169</v>
      </c>
      <c r="Q229" s="343">
        <f t="shared" si="96"/>
        <v>-6.9639872316289155</v>
      </c>
      <c r="R229" s="344">
        <f t="shared" si="97"/>
        <v>-96.200161490257216</v>
      </c>
      <c r="S229" s="346">
        <f t="shared" si="98"/>
        <v>83.799838509742784</v>
      </c>
      <c r="U229" s="319">
        <f t="shared" si="104"/>
        <v>13413.25</v>
      </c>
      <c r="V229" s="319">
        <f t="shared" si="105"/>
        <v>179915275.5625</v>
      </c>
      <c r="X229" s="345">
        <f t="shared" si="99"/>
        <v>17.624868125139471</v>
      </c>
      <c r="Y229" s="346">
        <f t="shared" si="100"/>
        <v>-5.450397956425209</v>
      </c>
      <c r="AA229" s="345">
        <f t="shared" si="101"/>
        <v>24.285094627885865</v>
      </c>
      <c r="AB229" s="346">
        <f t="shared" si="102"/>
        <v>-90.749763533832038</v>
      </c>
      <c r="AD229">
        <f t="shared" si="106"/>
        <v>0</v>
      </c>
      <c r="AE229">
        <f t="shared" si="109"/>
        <v>0</v>
      </c>
    </row>
    <row r="230" spans="1:31" x14ac:dyDescent="0.2">
      <c r="A230" s="347">
        <v>13490</v>
      </c>
      <c r="B230" s="364">
        <f t="shared" si="103"/>
        <v>13.49</v>
      </c>
      <c r="C230" s="337">
        <f t="shared" si="84"/>
        <v>14.960571798288665</v>
      </c>
      <c r="D230" s="338">
        <f t="shared" si="85"/>
        <v>1.5039040873177103</v>
      </c>
      <c r="E230" s="338">
        <f t="shared" si="86"/>
        <v>1.0005745778395183</v>
      </c>
      <c r="F230" s="339">
        <f t="shared" si="87"/>
        <v>3.3891086082650845E-2</v>
      </c>
      <c r="G230" s="338">
        <f t="shared" si="88"/>
        <v>1</v>
      </c>
      <c r="H230" s="339">
        <f t="shared" si="89"/>
        <v>0</v>
      </c>
      <c r="I230" s="337">
        <f t="shared" si="90"/>
        <v>211582.34136563446</v>
      </c>
      <c r="J230" s="340">
        <f t="shared" si="91"/>
        <v>1.5707916005025533</v>
      </c>
      <c r="K230" s="348">
        <f t="shared" si="107"/>
        <v>20.981643462011416</v>
      </c>
      <c r="L230" s="349">
        <f t="shared" si="108"/>
        <v>1.5231175555939525</v>
      </c>
      <c r="M230" s="337">
        <f t="shared" si="92"/>
        <v>1.0011268338168053</v>
      </c>
      <c r="N230" s="340">
        <f t="shared" si="93"/>
        <v>4.7450536447099102E-2</v>
      </c>
      <c r="O230" s="341">
        <f t="shared" si="94"/>
        <v>1.0045798082187549</v>
      </c>
      <c r="P230" s="342">
        <f t="shared" si="95"/>
        <v>0.11470765178806025</v>
      </c>
      <c r="Q230" s="343">
        <f t="shared" si="96"/>
        <v>-7.013939159699869</v>
      </c>
      <c r="R230" s="344">
        <f t="shared" si="97"/>
        <v>-96.248042275050352</v>
      </c>
      <c r="S230" s="346">
        <f t="shared" si="98"/>
        <v>83.751957724949648</v>
      </c>
      <c r="U230" s="319">
        <f t="shared" si="104"/>
        <v>13490</v>
      </c>
      <c r="V230" s="319">
        <f t="shared" si="105"/>
        <v>181980100</v>
      </c>
      <c r="X230" s="345">
        <f t="shared" si="99"/>
        <v>17.624644039548997</v>
      </c>
      <c r="Y230" s="346">
        <f t="shared" si="100"/>
        <v>-5.4502370458582527</v>
      </c>
      <c r="AA230" s="345">
        <f t="shared" si="101"/>
        <v>24.235366785405393</v>
      </c>
      <c r="AB230" s="346">
        <f t="shared" si="102"/>
        <v>-90.797805229192107</v>
      </c>
      <c r="AD230">
        <f t="shared" si="106"/>
        <v>0</v>
      </c>
      <c r="AE230">
        <f t="shared" si="109"/>
        <v>0</v>
      </c>
    </row>
    <row r="231" spans="1:31" x14ac:dyDescent="0.2">
      <c r="A231" s="347">
        <v>13568.5</v>
      </c>
      <c r="B231" s="364">
        <f t="shared" si="103"/>
        <v>13.5685</v>
      </c>
      <c r="C231" s="337">
        <f t="shared" si="84"/>
        <v>15.047241395887337</v>
      </c>
      <c r="D231" s="338">
        <f t="shared" si="85"/>
        <v>1.5042899461656203</v>
      </c>
      <c r="E231" s="338">
        <f t="shared" si="86"/>
        <v>1.000581282428789</v>
      </c>
      <c r="F231" s="339">
        <f t="shared" si="87"/>
        <v>3.4088150257879486E-2</v>
      </c>
      <c r="G231" s="338">
        <f t="shared" si="88"/>
        <v>1</v>
      </c>
      <c r="H231" s="339">
        <f t="shared" si="89"/>
        <v>0</v>
      </c>
      <c r="I231" s="337">
        <f t="shared" si="90"/>
        <v>212813.56551662277</v>
      </c>
      <c r="J231" s="340">
        <f t="shared" si="91"/>
        <v>1.5707916278463236</v>
      </c>
      <c r="K231" s="348">
        <f t="shared" si="107"/>
        <v>21.103461730687481</v>
      </c>
      <c r="L231" s="349">
        <f t="shared" si="108"/>
        <v>1.5233929849273471</v>
      </c>
      <c r="M231" s="337">
        <f t="shared" si="92"/>
        <v>1.0011399788598772</v>
      </c>
      <c r="N231" s="340">
        <f t="shared" si="93"/>
        <v>4.7726239166362726E-2</v>
      </c>
      <c r="O231" s="341">
        <f t="shared" si="94"/>
        <v>1.004633165017746</v>
      </c>
      <c r="P231" s="342">
        <f t="shared" si="95"/>
        <v>0.11537196388304913</v>
      </c>
      <c r="Q231" s="343">
        <f t="shared" si="96"/>
        <v>-7.0647440614557198</v>
      </c>
      <c r="R231" s="344">
        <f t="shared" si="97"/>
        <v>-96.296938922906861</v>
      </c>
      <c r="S231" s="346">
        <f t="shared" si="98"/>
        <v>83.703061077093139</v>
      </c>
      <c r="U231" s="319">
        <f t="shared" si="104"/>
        <v>13568.5</v>
      </c>
      <c r="V231" s="319">
        <f t="shared" si="105"/>
        <v>184104192.25</v>
      </c>
      <c r="X231" s="345">
        <f t="shared" si="99"/>
        <v>17.624416171865001</v>
      </c>
      <c r="Y231" s="346">
        <f t="shared" si="100"/>
        <v>-5.4502542763973727</v>
      </c>
      <c r="AA231" s="345">
        <f t="shared" si="101"/>
        <v>24.184789751333536</v>
      </c>
      <c r="AB231" s="346">
        <f t="shared" si="102"/>
        <v>-90.846684646509502</v>
      </c>
      <c r="AD231">
        <f t="shared" si="106"/>
        <v>0</v>
      </c>
      <c r="AE231">
        <f t="shared" si="109"/>
        <v>0</v>
      </c>
    </row>
    <row r="232" spans="1:31" x14ac:dyDescent="0.2">
      <c r="A232" s="347">
        <v>13647</v>
      </c>
      <c r="B232" s="364">
        <f t="shared" si="103"/>
        <v>13.647</v>
      </c>
      <c r="C232" s="337">
        <f t="shared" si="84"/>
        <v>15.133913208165048</v>
      </c>
      <c r="D232" s="338">
        <f t="shared" si="85"/>
        <v>1.504671385448078</v>
      </c>
      <c r="E232" s="338">
        <f t="shared" si="86"/>
        <v>1.0005880258744007</v>
      </c>
      <c r="F232" s="339">
        <f t="shared" si="87"/>
        <v>3.428521178453961E-2</v>
      </c>
      <c r="G232" s="338">
        <f t="shared" si="88"/>
        <v>1</v>
      </c>
      <c r="H232" s="339">
        <f t="shared" si="89"/>
        <v>0</v>
      </c>
      <c r="I232" s="337">
        <f t="shared" si="90"/>
        <v>214044.78966761124</v>
      </c>
      <c r="J232" s="340">
        <f t="shared" si="91"/>
        <v>1.5707916548755214</v>
      </c>
      <c r="K232" s="348">
        <f t="shared" si="107"/>
        <v>21.225281581923383</v>
      </c>
      <c r="L232" s="349">
        <f t="shared" si="108"/>
        <v>1.5236652526967192</v>
      </c>
      <c r="M232" s="337">
        <f t="shared" si="92"/>
        <v>1.0011531999995888</v>
      </c>
      <c r="N232" s="340">
        <f t="shared" si="93"/>
        <v>4.8001934624771085E-2</v>
      </c>
      <c r="O232" s="341">
        <f t="shared" si="94"/>
        <v>1.0046868291067335</v>
      </c>
      <c r="P232" s="342">
        <f t="shared" si="95"/>
        <v>0.11603622090476257</v>
      </c>
      <c r="Q232" s="343">
        <f t="shared" si="96"/>
        <v>-7.1152630675944692</v>
      </c>
      <c r="R232" s="344">
        <f t="shared" si="97"/>
        <v>-96.345760054836333</v>
      </c>
      <c r="S232" s="346">
        <f t="shared" si="98"/>
        <v>83.654239945163667</v>
      </c>
      <c r="U232" s="319">
        <f t="shared" si="104"/>
        <v>13647</v>
      </c>
      <c r="V232" s="319">
        <f t="shared" si="105"/>
        <v>186240609</v>
      </c>
      <c r="X232" s="345">
        <f t="shared" si="99"/>
        <v>17.624189601060575</v>
      </c>
      <c r="Y232" s="346">
        <f t="shared" si="100"/>
        <v>-5.450452217171823</v>
      </c>
      <c r="AA232" s="345">
        <f t="shared" si="101"/>
        <v>24.134497315999216</v>
      </c>
      <c r="AB232" s="346">
        <f t="shared" si="102"/>
        <v>-90.895307837664475</v>
      </c>
      <c r="AD232">
        <f t="shared" si="106"/>
        <v>0</v>
      </c>
      <c r="AE232">
        <f t="shared" si="109"/>
        <v>0</v>
      </c>
    </row>
    <row r="233" spans="1:31" x14ac:dyDescent="0.2">
      <c r="A233" s="347">
        <v>13725.5</v>
      </c>
      <c r="B233" s="364">
        <f t="shared" si="103"/>
        <v>13.7255</v>
      </c>
      <c r="C233" s="337">
        <f t="shared" si="84"/>
        <v>15.220587197288118</v>
      </c>
      <c r="D233" s="338">
        <f t="shared" si="85"/>
        <v>1.5050484805550843</v>
      </c>
      <c r="E233" s="338">
        <f t="shared" si="86"/>
        <v>1.000594808175568</v>
      </c>
      <c r="F233" s="339">
        <f t="shared" si="87"/>
        <v>3.4482270647379853E-2</v>
      </c>
      <c r="G233" s="338">
        <f t="shared" si="88"/>
        <v>1</v>
      </c>
      <c r="H233" s="339">
        <f t="shared" si="89"/>
        <v>0</v>
      </c>
      <c r="I233" s="337">
        <f t="shared" si="90"/>
        <v>215276.01381859987</v>
      </c>
      <c r="J233" s="340">
        <f t="shared" si="91"/>
        <v>1.5707916815955441</v>
      </c>
      <c r="K233" s="348">
        <f t="shared" si="107"/>
        <v>21.347102988625899</v>
      </c>
      <c r="L233" s="349">
        <f t="shared" si="108"/>
        <v>1.5239344129875974</v>
      </c>
      <c r="M233" s="337">
        <f t="shared" si="92"/>
        <v>1.0011664972329255</v>
      </c>
      <c r="N233" s="340">
        <f t="shared" si="93"/>
        <v>4.8277622780702564E-2</v>
      </c>
      <c r="O233" s="341">
        <f t="shared" si="94"/>
        <v>1.0047408004461849</v>
      </c>
      <c r="P233" s="342">
        <f t="shared" si="95"/>
        <v>0.1167004225456664</v>
      </c>
      <c r="Q233" s="343">
        <f t="shared" si="96"/>
        <v>-7.165499469693617</v>
      </c>
      <c r="R233" s="344">
        <f t="shared" si="97"/>
        <v>-96.394506872672864</v>
      </c>
      <c r="S233" s="346">
        <f t="shared" si="98"/>
        <v>83.605493127327136</v>
      </c>
      <c r="U233" s="319">
        <f t="shared" si="104"/>
        <v>13725.5</v>
      </c>
      <c r="V233" s="319">
        <f t="shared" si="105"/>
        <v>188389350.25</v>
      </c>
      <c r="X233" s="345">
        <f t="shared" si="99"/>
        <v>17.623964282659959</v>
      </c>
      <c r="Y233" s="346">
        <f t="shared" si="100"/>
        <v>-5.4508277672335552</v>
      </c>
      <c r="AA233" s="345">
        <f t="shared" si="101"/>
        <v>24.08448623230068</v>
      </c>
      <c r="AB233" s="346">
        <f t="shared" si="102"/>
        <v>-90.94367910543933</v>
      </c>
      <c r="AD233">
        <f t="shared" si="106"/>
        <v>0</v>
      </c>
      <c r="AE233">
        <f t="shared" si="109"/>
        <v>0</v>
      </c>
    </row>
    <row r="234" spans="1:31" x14ac:dyDescent="0.2">
      <c r="A234" s="347">
        <v>13804</v>
      </c>
      <c r="B234" s="364">
        <f t="shared" si="103"/>
        <v>13.804</v>
      </c>
      <c r="C234" s="337">
        <f t="shared" si="84"/>
        <v>15.307263326278841</v>
      </c>
      <c r="D234" s="338">
        <f t="shared" si="85"/>
        <v>1.5054213051740883</v>
      </c>
      <c r="E234" s="338">
        <f t="shared" si="86"/>
        <v>1.000601629331501</v>
      </c>
      <c r="F234" s="339">
        <f t="shared" si="87"/>
        <v>3.4679326831150083E-2</v>
      </c>
      <c r="G234" s="338">
        <f t="shared" si="88"/>
        <v>1</v>
      </c>
      <c r="H234" s="339">
        <f t="shared" si="89"/>
        <v>0</v>
      </c>
      <c r="I234" s="337">
        <f t="shared" si="90"/>
        <v>216507.23796958866</v>
      </c>
      <c r="J234" s="340">
        <f t="shared" si="91"/>
        <v>1.5707917080116662</v>
      </c>
      <c r="K234" s="348">
        <f t="shared" si="107"/>
        <v>21.468925924316427</v>
      </c>
      <c r="L234" s="349">
        <f t="shared" si="108"/>
        <v>1.5242005186597278</v>
      </c>
      <c r="M234" s="337">
        <f t="shared" si="92"/>
        <v>1.0011798705568551</v>
      </c>
      <c r="N234" s="340">
        <f t="shared" si="93"/>
        <v>4.8553303592542195E-2</v>
      </c>
      <c r="O234" s="341">
        <f t="shared" si="94"/>
        <v>1.0047950789963509</v>
      </c>
      <c r="P234" s="342">
        <f t="shared" si="95"/>
        <v>0.11736456849841512</v>
      </c>
      <c r="Q234" s="343">
        <f t="shared" si="96"/>
        <v>-7.2154565034696674</v>
      </c>
      <c r="R234" s="344">
        <f t="shared" si="97"/>
        <v>-96.443180550938123</v>
      </c>
      <c r="S234" s="346">
        <f t="shared" si="98"/>
        <v>83.556819449061877</v>
      </c>
      <c r="U234" s="319">
        <f t="shared" si="104"/>
        <v>13804</v>
      </c>
      <c r="V234" s="319">
        <f t="shared" si="105"/>
        <v>190550416</v>
      </c>
      <c r="X234" s="345">
        <f t="shared" si="99"/>
        <v>17.623740173447434</v>
      </c>
      <c r="Y234" s="346">
        <f t="shared" si="100"/>
        <v>-5.4513778958600891</v>
      </c>
      <c r="AA234" s="345">
        <f t="shared" si="101"/>
        <v>24.034753307737159</v>
      </c>
      <c r="AB234" s="346">
        <f t="shared" si="102"/>
        <v>-90.991802655078004</v>
      </c>
      <c r="AD234">
        <f t="shared" si="106"/>
        <v>0</v>
      </c>
      <c r="AE234">
        <f t="shared" si="109"/>
        <v>0</v>
      </c>
    </row>
    <row r="235" spans="1:31" x14ac:dyDescent="0.2">
      <c r="A235" s="347">
        <v>13884.25</v>
      </c>
      <c r="B235" s="364">
        <f t="shared" si="103"/>
        <v>13.88425</v>
      </c>
      <c r="C235" s="337">
        <f t="shared" si="84"/>
        <v>15.395873899980129</v>
      </c>
      <c r="D235" s="338">
        <f t="shared" si="85"/>
        <v>1.5057981018210074</v>
      </c>
      <c r="E235" s="338">
        <f t="shared" si="86"/>
        <v>1.0006086427142962</v>
      </c>
      <c r="F235" s="339">
        <f t="shared" si="87"/>
        <v>3.4880773201967787E-2</v>
      </c>
      <c r="G235" s="338">
        <f t="shared" si="88"/>
        <v>1</v>
      </c>
      <c r="H235" s="339">
        <f t="shared" si="89"/>
        <v>0</v>
      </c>
      <c r="I235" s="337">
        <f t="shared" si="90"/>
        <v>217765.90979273338</v>
      </c>
      <c r="J235" s="340">
        <f t="shared" si="91"/>
        <v>1.5707917347079123</v>
      </c>
      <c r="K235" s="348">
        <f t="shared" si="107"/>
        <v>21.593466211484245</v>
      </c>
      <c r="L235" s="349">
        <f t="shared" si="108"/>
        <v>1.5244694529004303</v>
      </c>
      <c r="M235" s="337">
        <f t="shared" si="92"/>
        <v>1.0011936206629661</v>
      </c>
      <c r="N235" s="340">
        <f t="shared" si="93"/>
        <v>4.8835122520135187E-2</v>
      </c>
      <c r="O235" s="341">
        <f t="shared" si="94"/>
        <v>1.0048508850962923</v>
      </c>
      <c r="P235" s="342">
        <f t="shared" si="95"/>
        <v>0.11804346236861982</v>
      </c>
      <c r="Q235" s="343">
        <f t="shared" si="96"/>
        <v>-7.266241761802549</v>
      </c>
      <c r="R235" s="344">
        <f t="shared" si="97"/>
        <v>-96.492864903013384</v>
      </c>
      <c r="S235" s="346">
        <f t="shared" si="98"/>
        <v>83.507135096986616</v>
      </c>
      <c r="U235" s="319">
        <f t="shared" si="104"/>
        <v>13884.25</v>
      </c>
      <c r="V235" s="319">
        <f t="shared" si="105"/>
        <v>192772398.0625</v>
      </c>
      <c r="X235" s="345">
        <f t="shared" si="99"/>
        <v>17.623512274364085</v>
      </c>
      <c r="Y235" s="346">
        <f t="shared" si="100"/>
        <v>-5.4521176636223272</v>
      </c>
      <c r="AA235" s="345">
        <f t="shared" si="101"/>
        <v>23.984195948487624</v>
      </c>
      <c r="AB235" s="346">
        <f t="shared" si="102"/>
        <v>-91.040747239391024</v>
      </c>
      <c r="AD235">
        <f t="shared" si="106"/>
        <v>0</v>
      </c>
      <c r="AE235">
        <f t="shared" si="109"/>
        <v>0</v>
      </c>
    </row>
    <row r="236" spans="1:31" x14ac:dyDescent="0.2">
      <c r="A236" s="347">
        <v>13964.5</v>
      </c>
      <c r="B236" s="364">
        <f t="shared" si="103"/>
        <v>13.964499999999999</v>
      </c>
      <c r="C236" s="337">
        <f t="shared" si="84"/>
        <v>15.484486634504309</v>
      </c>
      <c r="D236" s="338">
        <f t="shared" si="85"/>
        <v>1.5061705859483723</v>
      </c>
      <c r="E236" s="338">
        <f t="shared" si="86"/>
        <v>1.0006156967018607</v>
      </c>
      <c r="F236" s="339">
        <f t="shared" si="87"/>
        <v>3.5082216740708445E-2</v>
      </c>
      <c r="G236" s="338">
        <f t="shared" si="88"/>
        <v>1</v>
      </c>
      <c r="H236" s="339">
        <f t="shared" si="89"/>
        <v>0</v>
      </c>
      <c r="I236" s="337">
        <f t="shared" si="90"/>
        <v>219024.58161587827</v>
      </c>
      <c r="J236" s="340">
        <f t="shared" si="91"/>
        <v>1.5707917610973268</v>
      </c>
      <c r="K236" s="348">
        <f t="shared" si="107"/>
        <v>21.718008042501353</v>
      </c>
      <c r="L236" s="349">
        <f t="shared" si="108"/>
        <v>1.5247353027555031</v>
      </c>
      <c r="M236" s="337">
        <f t="shared" si="92"/>
        <v>1.0012074502835968</v>
      </c>
      <c r="N236" s="340">
        <f t="shared" si="93"/>
        <v>4.9116933684612549E-2</v>
      </c>
      <c r="O236" s="341">
        <f t="shared" si="94"/>
        <v>1.0049070121722148</v>
      </c>
      <c r="P236" s="342">
        <f t="shared" si="95"/>
        <v>0.11872229739112543</v>
      </c>
      <c r="Q236" s="343">
        <f t="shared" si="96"/>
        <v>-7.3167417223499855</v>
      </c>
      <c r="R236" s="344">
        <f t="shared" si="97"/>
        <v>-96.542475216365332</v>
      </c>
      <c r="S236" s="346">
        <f t="shared" si="98"/>
        <v>83.457524783634668</v>
      </c>
      <c r="U236" s="319">
        <f t="shared" si="104"/>
        <v>13964.5</v>
      </c>
      <c r="V236" s="319">
        <f t="shared" si="105"/>
        <v>195007260.25</v>
      </c>
      <c r="X236" s="345">
        <f t="shared" si="99"/>
        <v>17.623285551496185</v>
      </c>
      <c r="Y236" s="346">
        <f t="shared" si="100"/>
        <v>-5.4530336912898321</v>
      </c>
      <c r="AA236" s="345">
        <f t="shared" si="101"/>
        <v>23.933922710808083</v>
      </c>
      <c r="AB236" s="346">
        <f t="shared" si="102"/>
        <v>-91.089441525075515</v>
      </c>
      <c r="AD236">
        <f t="shared" si="106"/>
        <v>0</v>
      </c>
      <c r="AE236">
        <f t="shared" si="109"/>
        <v>0</v>
      </c>
    </row>
    <row r="237" spans="1:31" x14ac:dyDescent="0.2">
      <c r="A237" s="347">
        <v>14044.75</v>
      </c>
      <c r="B237" s="364">
        <f t="shared" si="103"/>
        <v>14.044750000000001</v>
      </c>
      <c r="C237" s="337">
        <f t="shared" si="84"/>
        <v>15.573101492965382</v>
      </c>
      <c r="D237" s="338">
        <f t="shared" si="85"/>
        <v>1.5065388310698877</v>
      </c>
      <c r="E237" s="338">
        <f t="shared" si="86"/>
        <v>1.0006227912933356</v>
      </c>
      <c r="F237" s="339">
        <f t="shared" si="87"/>
        <v>3.5283657431083172E-2</v>
      </c>
      <c r="G237" s="338">
        <f t="shared" si="88"/>
        <v>1</v>
      </c>
      <c r="H237" s="339">
        <f t="shared" si="89"/>
        <v>0</v>
      </c>
      <c r="I237" s="337">
        <f t="shared" si="90"/>
        <v>220283.2534390233</v>
      </c>
      <c r="J237" s="340">
        <f t="shared" si="91"/>
        <v>1.5707917871851695</v>
      </c>
      <c r="K237" s="348">
        <f t="shared" si="107"/>
        <v>21.842551390959599</v>
      </c>
      <c r="L237" s="349">
        <f t="shared" si="108"/>
        <v>1.5249981209473231</v>
      </c>
      <c r="M237" s="337">
        <f t="shared" si="92"/>
        <v>1.0012213594154524</v>
      </c>
      <c r="N237" s="340">
        <f t="shared" si="93"/>
        <v>4.9398737041535384E-2</v>
      </c>
      <c r="O237" s="341">
        <f t="shared" si="94"/>
        <v>1.0049634601809481</v>
      </c>
      <c r="P237" s="342">
        <f t="shared" si="95"/>
        <v>0.11940107323818712</v>
      </c>
      <c r="Q237" s="343">
        <f t="shared" si="96"/>
        <v>-7.3669596691004617</v>
      </c>
      <c r="R237" s="344">
        <f t="shared" si="97"/>
        <v>-96.59201266215949</v>
      </c>
      <c r="S237" s="346">
        <f t="shared" si="98"/>
        <v>83.40798733784051</v>
      </c>
      <c r="U237" s="319">
        <f t="shared" si="104"/>
        <v>14044.75</v>
      </c>
      <c r="V237" s="319">
        <f t="shared" si="105"/>
        <v>197255002.5625</v>
      </c>
      <c r="X237" s="345">
        <f t="shared" si="99"/>
        <v>17.623059962485677</v>
      </c>
      <c r="Y237" s="346">
        <f t="shared" si="100"/>
        <v>-5.4541229558481197</v>
      </c>
      <c r="AA237" s="345">
        <f t="shared" si="101"/>
        <v>23.88393035306812</v>
      </c>
      <c r="AB237" s="346">
        <f t="shared" si="102"/>
        <v>-91.137889706311384</v>
      </c>
      <c r="AD237">
        <f t="shared" si="106"/>
        <v>0</v>
      </c>
      <c r="AE237">
        <f t="shared" si="109"/>
        <v>0</v>
      </c>
    </row>
    <row r="238" spans="1:31" x14ac:dyDescent="0.2">
      <c r="A238" s="347">
        <v>14125</v>
      </c>
      <c r="B238" s="364">
        <f t="shared" si="103"/>
        <v>14.125</v>
      </c>
      <c r="C238" s="337">
        <f t="shared" si="84"/>
        <v>15.661718439311297</v>
      </c>
      <c r="D238" s="338">
        <f t="shared" si="85"/>
        <v>1.5069029090401005</v>
      </c>
      <c r="E238" s="338">
        <f t="shared" si="86"/>
        <v>1.0006299264878573</v>
      </c>
      <c r="F238" s="339">
        <f t="shared" si="87"/>
        <v>3.5485095256804468E-2</v>
      </c>
      <c r="G238" s="338">
        <f t="shared" si="88"/>
        <v>1</v>
      </c>
      <c r="H238" s="339">
        <f t="shared" si="89"/>
        <v>0</v>
      </c>
      <c r="I238" s="337">
        <f t="shared" si="90"/>
        <v>221541.92526216852</v>
      </c>
      <c r="J238" s="340">
        <f t="shared" si="91"/>
        <v>1.5707918129765805</v>
      </c>
      <c r="K238" s="348">
        <f t="shared" si="107"/>
        <v>21.967096231049396</v>
      </c>
      <c r="L238" s="349">
        <f t="shared" si="108"/>
        <v>1.5252579590043038</v>
      </c>
      <c r="M238" s="337">
        <f t="shared" si="92"/>
        <v>1.0012353480552194</v>
      </c>
      <c r="N238" s="340">
        <f t="shared" si="93"/>
        <v>4.9680532546472256E-2</v>
      </c>
      <c r="O238" s="341">
        <f t="shared" si="94"/>
        <v>1.0050202290790844</v>
      </c>
      <c r="P238" s="342">
        <f t="shared" si="95"/>
        <v>0.12007978958227035</v>
      </c>
      <c r="Q238" s="343">
        <f t="shared" si="96"/>
        <v>-7.4168988303402887</v>
      </c>
      <c r="R238" s="344">
        <f t="shared" si="97"/>
        <v>-96.641478384913057</v>
      </c>
      <c r="S238" s="346">
        <f t="shared" si="98"/>
        <v>83.358521615086943</v>
      </c>
      <c r="U238" s="319">
        <f t="shared" si="104"/>
        <v>14125</v>
      </c>
      <c r="V238" s="319">
        <f t="shared" si="105"/>
        <v>199515625</v>
      </c>
      <c r="X238" s="345">
        <f t="shared" si="99"/>
        <v>17.622835466173747</v>
      </c>
      <c r="Y238" s="346">
        <f t="shared" si="100"/>
        <v>-5.4553825026853184</v>
      </c>
      <c r="AA238" s="345">
        <f t="shared" si="101"/>
        <v>23.834215688140223</v>
      </c>
      <c r="AB238" s="346">
        <f t="shared" si="102"/>
        <v>-91.186095882227733</v>
      </c>
      <c r="AD238">
        <f t="shared" si="106"/>
        <v>0</v>
      </c>
      <c r="AE238">
        <f t="shared" si="109"/>
        <v>0</v>
      </c>
    </row>
    <row r="239" spans="1:31" x14ac:dyDescent="0.2">
      <c r="A239" s="347">
        <v>14207.25</v>
      </c>
      <c r="B239" s="364">
        <f t="shared" si="103"/>
        <v>14.20725</v>
      </c>
      <c r="C239" s="337">
        <f t="shared" si="84"/>
        <v>15.752546037400998</v>
      </c>
      <c r="D239" s="338">
        <f t="shared" si="85"/>
        <v>1.507271809862585</v>
      </c>
      <c r="E239" s="338">
        <f t="shared" si="86"/>
        <v>1.0006372816391602</v>
      </c>
      <c r="F239" s="339">
        <f t="shared" si="87"/>
        <v>3.5691550350191316E-2</v>
      </c>
      <c r="G239" s="338">
        <f t="shared" si="88"/>
        <v>1</v>
      </c>
      <c r="H239" s="339">
        <f t="shared" si="89"/>
        <v>0</v>
      </c>
      <c r="I239" s="337">
        <f t="shared" si="90"/>
        <v>222831.96585349191</v>
      </c>
      <c r="J239" s="340">
        <f t="shared" si="91"/>
        <v>1.5707918391084188</v>
      </c>
      <c r="K239" s="348">
        <f t="shared" si="107"/>
        <v>22.094746513851682</v>
      </c>
      <c r="L239" s="349">
        <f t="shared" si="108"/>
        <v>1.5255212330022507</v>
      </c>
      <c r="M239" s="337">
        <f t="shared" si="92"/>
        <v>1.0012497678228967</v>
      </c>
      <c r="N239" s="340">
        <f t="shared" si="93"/>
        <v>4.9969342797904104E-2</v>
      </c>
      <c r="O239" s="341">
        <f t="shared" si="94"/>
        <v>1.0050787457176764</v>
      </c>
      <c r="P239" s="342">
        <f t="shared" si="95"/>
        <v>0.12077535888707787</v>
      </c>
      <c r="Q239" s="343">
        <f t="shared" si="96"/>
        <v>-7.4677966077698601</v>
      </c>
      <c r="R239" s="344">
        <f t="shared" si="97"/>
        <v>-96.692103641965758</v>
      </c>
      <c r="S239" s="346">
        <f t="shared" si="98"/>
        <v>83.307896358034242</v>
      </c>
      <c r="U239" s="319">
        <f t="shared" si="104"/>
        <v>14207.25</v>
      </c>
      <c r="V239" s="319">
        <f t="shared" si="105"/>
        <v>201845952.5625</v>
      </c>
      <c r="X239" s="345">
        <f t="shared" si="99"/>
        <v>17.622606466979473</v>
      </c>
      <c r="Y239" s="346">
        <f t="shared" si="100"/>
        <v>-5.4568471194802957</v>
      </c>
      <c r="AA239" s="345">
        <f t="shared" si="101"/>
        <v>23.783546909904928</v>
      </c>
      <c r="AB239" s="346">
        <f t="shared" si="102"/>
        <v>-91.235256522485457</v>
      </c>
      <c r="AD239">
        <f t="shared" si="106"/>
        <v>0</v>
      </c>
      <c r="AE239">
        <f t="shared" si="109"/>
        <v>0</v>
      </c>
    </row>
    <row r="240" spans="1:31" x14ac:dyDescent="0.2">
      <c r="A240" s="347">
        <v>14289.5</v>
      </c>
      <c r="B240" s="364">
        <f t="shared" si="103"/>
        <v>14.2895</v>
      </c>
      <c r="C240" s="337">
        <f t="shared" si="84"/>
        <v>15.843375754640796</v>
      </c>
      <c r="D240" s="338">
        <f t="shared" si="85"/>
        <v>1.5076364809339695</v>
      </c>
      <c r="E240" s="338">
        <f t="shared" si="86"/>
        <v>1.000644679440704</v>
      </c>
      <c r="F240" s="339">
        <f t="shared" si="87"/>
        <v>3.5898002399718174E-2</v>
      </c>
      <c r="G240" s="338">
        <f t="shared" si="88"/>
        <v>1</v>
      </c>
      <c r="H240" s="339">
        <f t="shared" si="89"/>
        <v>0</v>
      </c>
      <c r="I240" s="337">
        <f t="shared" si="90"/>
        <v>224122.00644481546</v>
      </c>
      <c r="J240" s="340">
        <f t="shared" si="91"/>
        <v>1.5707918649394284</v>
      </c>
      <c r="K240" s="348">
        <f t="shared" si="107"/>
        <v>22.222398310517399</v>
      </c>
      <c r="L240" s="349">
        <f t="shared" si="108"/>
        <v>1.5257814823761344</v>
      </c>
      <c r="M240" s="337">
        <f t="shared" si="92"/>
        <v>1.0012642711037705</v>
      </c>
      <c r="N240" s="340">
        <f t="shared" si="93"/>
        <v>5.0258144706610254E-2</v>
      </c>
      <c r="O240" s="341">
        <f t="shared" si="94"/>
        <v>1.0051375993463731</v>
      </c>
      <c r="P240" s="342">
        <f t="shared" si="95"/>
        <v>0.12147086499004822</v>
      </c>
      <c r="Q240" s="343">
        <f t="shared" si="96"/>
        <v>-7.518408223524748</v>
      </c>
      <c r="R240" s="344">
        <f t="shared" si="97"/>
        <v>-96.742655908287986</v>
      </c>
      <c r="S240" s="346">
        <f t="shared" si="98"/>
        <v>83.257344091712014</v>
      </c>
      <c r="U240" s="319">
        <f t="shared" si="104"/>
        <v>14289.5</v>
      </c>
      <c r="V240" s="319">
        <f t="shared" si="105"/>
        <v>204189810.25</v>
      </c>
      <c r="X240" s="345">
        <f t="shared" si="99"/>
        <v>17.622378531768195</v>
      </c>
      <c r="Y240" s="346">
        <f t="shared" si="100"/>
        <v>-5.4584845392297225</v>
      </c>
      <c r="AA240" s="345">
        <f t="shared" si="101"/>
        <v>23.73316322936131</v>
      </c>
      <c r="AB240" s="346">
        <f t="shared" si="102"/>
        <v>-91.284171369058271</v>
      </c>
      <c r="AD240">
        <f t="shared" si="106"/>
        <v>0</v>
      </c>
      <c r="AE240">
        <f t="shared" si="109"/>
        <v>0</v>
      </c>
    </row>
    <row r="241" spans="1:31" x14ac:dyDescent="0.2">
      <c r="A241" s="347">
        <v>14371.75</v>
      </c>
      <c r="B241" s="364">
        <f t="shared" si="103"/>
        <v>14.37175</v>
      </c>
      <c r="C241" s="337">
        <f t="shared" si="84"/>
        <v>15.934207554791334</v>
      </c>
      <c r="D241" s="338">
        <f t="shared" si="85"/>
        <v>1.5079969944905964</v>
      </c>
      <c r="E241" s="338">
        <f t="shared" si="86"/>
        <v>1.0006521198915423</v>
      </c>
      <c r="F241" s="339">
        <f t="shared" si="87"/>
        <v>3.6104451387853773E-2</v>
      </c>
      <c r="G241" s="338">
        <f t="shared" si="88"/>
        <v>1</v>
      </c>
      <c r="H241" s="339">
        <f t="shared" si="89"/>
        <v>0</v>
      </c>
      <c r="I241" s="337">
        <f t="shared" si="90"/>
        <v>225412.04703613921</v>
      </c>
      <c r="J241" s="340">
        <f t="shared" si="91"/>
        <v>1.5707918904747746</v>
      </c>
      <c r="K241" s="348">
        <f t="shared" si="107"/>
        <v>22.350051595107352</v>
      </c>
      <c r="L241" s="349">
        <f t="shared" si="108"/>
        <v>1.5260387589162088</v>
      </c>
      <c r="M241" s="337">
        <f t="shared" si="92"/>
        <v>1.001278857894212</v>
      </c>
      <c r="N241" s="340">
        <f t="shared" si="93"/>
        <v>5.0546938224778362E-2</v>
      </c>
      <c r="O241" s="341">
        <f t="shared" si="94"/>
        <v>1.0051967899176679</v>
      </c>
      <c r="P241" s="342">
        <f t="shared" si="95"/>
        <v>0.12216630753923767</v>
      </c>
      <c r="Q241" s="343">
        <f t="shared" si="96"/>
        <v>-7.5687369792704615</v>
      </c>
      <c r="R241" s="344">
        <f t="shared" si="97"/>
        <v>-96.793136333750468</v>
      </c>
      <c r="S241" s="346">
        <f t="shared" si="98"/>
        <v>83.206863666249532</v>
      </c>
      <c r="U241" s="319">
        <f t="shared" si="104"/>
        <v>14371.75</v>
      </c>
      <c r="V241" s="319">
        <f t="shared" si="105"/>
        <v>206547198.0625</v>
      </c>
      <c r="X241" s="345">
        <f t="shared" si="99"/>
        <v>17.622151619888218</v>
      </c>
      <c r="Y241" s="346">
        <f t="shared" si="100"/>
        <v>-5.4602917921271388</v>
      </c>
      <c r="AA241" s="345">
        <f t="shared" si="101"/>
        <v>23.683061385495577</v>
      </c>
      <c r="AB241" s="346">
        <f t="shared" si="102"/>
        <v>-91.332844541623317</v>
      </c>
      <c r="AD241">
        <f t="shared" si="106"/>
        <v>0</v>
      </c>
      <c r="AE241">
        <f t="shared" si="109"/>
        <v>0</v>
      </c>
    </row>
    <row r="242" spans="1:31" x14ac:dyDescent="0.2">
      <c r="A242" s="347">
        <v>14454</v>
      </c>
      <c r="B242" s="364">
        <f t="shared" si="103"/>
        <v>14.454000000000001</v>
      </c>
      <c r="C242" s="337">
        <f t="shared" si="84"/>
        <v>16.025041402434073</v>
      </c>
      <c r="D242" s="338">
        <f t="shared" si="85"/>
        <v>1.5083534211353742</v>
      </c>
      <c r="E242" s="338">
        <f t="shared" si="86"/>
        <v>1.0006596029907244</v>
      </c>
      <c r="F242" s="339">
        <f t="shared" si="87"/>
        <v>3.6310897297068392E-2</v>
      </c>
      <c r="G242" s="338">
        <f t="shared" si="88"/>
        <v>1</v>
      </c>
      <c r="H242" s="339">
        <f t="shared" si="89"/>
        <v>0</v>
      </c>
      <c r="I242" s="337">
        <f t="shared" si="90"/>
        <v>226702.08762746301</v>
      </c>
      <c r="J242" s="340">
        <f t="shared" si="91"/>
        <v>1.5707919157195047</v>
      </c>
      <c r="K242" s="348">
        <f t="shared" si="107"/>
        <v>22.477706342271315</v>
      </c>
      <c r="L242" s="349">
        <f t="shared" si="108"/>
        <v>1.5262931132378197</v>
      </c>
      <c r="M242" s="337">
        <f t="shared" si="92"/>
        <v>1.0012935281905715</v>
      </c>
      <c r="N242" s="340">
        <f t="shared" si="93"/>
        <v>5.0835723304604438E-2</v>
      </c>
      <c r="O242" s="341">
        <f t="shared" si="94"/>
        <v>1.0052563173837932</v>
      </c>
      <c r="P242" s="342">
        <f t="shared" si="95"/>
        <v>0.12286168618293936</v>
      </c>
      <c r="Q242" s="343">
        <f t="shared" si="96"/>
        <v>-7.6187861205590846</v>
      </c>
      <c r="R242" s="344">
        <f t="shared" si="97"/>
        <v>-96.843546041959357</v>
      </c>
      <c r="S242" s="346">
        <f t="shared" si="98"/>
        <v>83.156453958040643</v>
      </c>
      <c r="U242" s="319">
        <f t="shared" si="104"/>
        <v>14454</v>
      </c>
      <c r="V242" s="319">
        <f t="shared" si="105"/>
        <v>208918116</v>
      </c>
      <c r="X242" s="345">
        <f t="shared" si="99"/>
        <v>17.621925691841039</v>
      </c>
      <c r="Y242" s="346">
        <f t="shared" si="100"/>
        <v>-5.4622659756770489</v>
      </c>
      <c r="AA242" s="345">
        <f t="shared" si="101"/>
        <v>23.633238172254135</v>
      </c>
      <c r="AB242" s="346">
        <f t="shared" si="102"/>
        <v>-91.381280066282315</v>
      </c>
      <c r="AD242">
        <f t="shared" si="106"/>
        <v>0</v>
      </c>
      <c r="AE242">
        <f t="shared" si="109"/>
        <v>0</v>
      </c>
    </row>
    <row r="243" spans="1:31" x14ac:dyDescent="0.2">
      <c r="A243" s="347">
        <v>14622.5</v>
      </c>
      <c r="B243" s="364">
        <f t="shared" si="103"/>
        <v>14.6225</v>
      </c>
      <c r="C243" s="337">
        <f t="shared" si="84"/>
        <v>16.211132798063456</v>
      </c>
      <c r="D243" s="338">
        <f t="shared" si="85"/>
        <v>1.5090711349332009</v>
      </c>
      <c r="E243" s="338">
        <f t="shared" si="86"/>
        <v>1.0006750662854407</v>
      </c>
      <c r="F243" s="339">
        <f t="shared" si="87"/>
        <v>3.6733819349526187E-2</v>
      </c>
      <c r="G243" s="338">
        <f t="shared" si="88"/>
        <v>1</v>
      </c>
      <c r="H243" s="339">
        <f t="shared" si="89"/>
        <v>0</v>
      </c>
      <c r="I243" s="337">
        <f t="shared" si="90"/>
        <v>229344.90634646735</v>
      </c>
      <c r="J243" s="340">
        <f t="shared" si="91"/>
        <v>1.5707919665498145</v>
      </c>
      <c r="K243" s="348">
        <f t="shared" si="107"/>
        <v>22.73922843366476</v>
      </c>
      <c r="L243" s="349">
        <f t="shared" si="108"/>
        <v>1.5268052735709918</v>
      </c>
      <c r="M243" s="337">
        <f t="shared" si="92"/>
        <v>1.0013238429860609</v>
      </c>
      <c r="N243" s="340">
        <f t="shared" si="93"/>
        <v>5.1427311171099027E-2</v>
      </c>
      <c r="O243" s="341">
        <f t="shared" si="94"/>
        <v>1.0053793191088596</v>
      </c>
      <c r="P243" s="342">
        <f t="shared" si="95"/>
        <v>0.12428606023409214</v>
      </c>
      <c r="Q243" s="343">
        <f t="shared" si="96"/>
        <v>-7.7204586215763884</v>
      </c>
      <c r="R243" s="344">
        <f t="shared" si="97"/>
        <v>-96.946600761299806</v>
      </c>
      <c r="S243" s="346">
        <f t="shared" si="98"/>
        <v>83.053399238700194</v>
      </c>
      <c r="U243" s="319">
        <f t="shared" si="104"/>
        <v>14622.5</v>
      </c>
      <c r="V243" s="319">
        <f t="shared" si="105"/>
        <v>213817506.25</v>
      </c>
      <c r="X243" s="345">
        <f t="shared" si="99"/>
        <v>17.621465760067348</v>
      </c>
      <c r="Y243" s="346">
        <f t="shared" si="100"/>
        <v>-5.4668197504809832</v>
      </c>
      <c r="AA243" s="345">
        <f t="shared" si="101"/>
        <v>23.532025603010524</v>
      </c>
      <c r="AB243" s="346">
        <f t="shared" si="102"/>
        <v>-91.479781010818826</v>
      </c>
      <c r="AD243">
        <f t="shared" si="106"/>
        <v>0</v>
      </c>
      <c r="AE243">
        <f t="shared" si="109"/>
        <v>0</v>
      </c>
    </row>
    <row r="244" spans="1:31" x14ac:dyDescent="0.2">
      <c r="A244" s="347">
        <v>14706.75</v>
      </c>
      <c r="B244" s="364">
        <f t="shared" si="103"/>
        <v>14.70675</v>
      </c>
      <c r="C244" s="337">
        <f t="shared" si="84"/>
        <v>16.304181573727806</v>
      </c>
      <c r="D244" s="338">
        <f t="shared" si="85"/>
        <v>1.5094238479020892</v>
      </c>
      <c r="E244" s="338">
        <f t="shared" si="86"/>
        <v>1.0006828650501673</v>
      </c>
      <c r="F244" s="339">
        <f t="shared" si="87"/>
        <v>3.6945275455365072E-2</v>
      </c>
      <c r="G244" s="338">
        <f t="shared" si="88"/>
        <v>1</v>
      </c>
      <c r="H244" s="339">
        <f t="shared" si="89"/>
        <v>0</v>
      </c>
      <c r="I244" s="337">
        <f t="shared" si="90"/>
        <v>230666.31570596973</v>
      </c>
      <c r="J244" s="340">
        <f t="shared" si="91"/>
        <v>1.5707919915281849</v>
      </c>
      <c r="K244" s="348">
        <f t="shared" si="107"/>
        <v>22.869991677752129</v>
      </c>
      <c r="L244" s="349">
        <f t="shared" si="108"/>
        <v>1.5270569612268001</v>
      </c>
      <c r="M244" s="337">
        <f t="shared" si="92"/>
        <v>1.0013391317926443</v>
      </c>
      <c r="N244" s="340">
        <f t="shared" si="93"/>
        <v>5.1723091620177339E-2</v>
      </c>
      <c r="O244" s="341">
        <f t="shared" si="94"/>
        <v>1.0054413499827273</v>
      </c>
      <c r="P244" s="342">
        <f t="shared" si="95"/>
        <v>0.12499814518638268</v>
      </c>
      <c r="Q244" s="343">
        <f t="shared" si="96"/>
        <v>-7.7708681957078927</v>
      </c>
      <c r="R244" s="344">
        <f t="shared" si="97"/>
        <v>-96.998021407976097</v>
      </c>
      <c r="S244" s="346">
        <f t="shared" si="98"/>
        <v>83.001978592023903</v>
      </c>
      <c r="U244" s="319">
        <f t="shared" si="104"/>
        <v>14706.75</v>
      </c>
      <c r="V244" s="319">
        <f t="shared" si="105"/>
        <v>216288495.5625</v>
      </c>
      <c r="X244" s="345">
        <f t="shared" si="99"/>
        <v>17.621237183107329</v>
      </c>
      <c r="Y244" s="346">
        <f t="shared" si="100"/>
        <v>-5.4693475126003994</v>
      </c>
      <c r="AA244" s="345">
        <f t="shared" si="101"/>
        <v>23.481844605839033</v>
      </c>
      <c r="AB244" s="346">
        <f t="shared" si="102"/>
        <v>-91.528673895375704</v>
      </c>
      <c r="AD244">
        <f t="shared" si="106"/>
        <v>0</v>
      </c>
      <c r="AE244">
        <f t="shared" si="109"/>
        <v>0</v>
      </c>
    </row>
    <row r="245" spans="1:31" x14ac:dyDescent="0.2">
      <c r="A245" s="347">
        <v>14791</v>
      </c>
      <c r="B245" s="364">
        <f t="shared" si="103"/>
        <v>14.791</v>
      </c>
      <c r="C245" s="337">
        <f t="shared" si="84"/>
        <v>16.397232354716813</v>
      </c>
      <c r="D245" s="338">
        <f t="shared" si="85"/>
        <v>1.5097725577728698</v>
      </c>
      <c r="E245" s="338">
        <f t="shared" si="86"/>
        <v>1.0006907085584134</v>
      </c>
      <c r="F245" s="339">
        <f t="shared" si="87"/>
        <v>3.7156728255832827E-2</v>
      </c>
      <c r="G245" s="338">
        <f t="shared" si="88"/>
        <v>1</v>
      </c>
      <c r="H245" s="339">
        <f t="shared" si="89"/>
        <v>0</v>
      </c>
      <c r="I245" s="337">
        <f t="shared" si="90"/>
        <v>231987.72506547227</v>
      </c>
      <c r="J245" s="340">
        <f t="shared" si="91"/>
        <v>1.5707920162220002</v>
      </c>
      <c r="K245" s="348">
        <f t="shared" si="107"/>
        <v>23.000756354104759</v>
      </c>
      <c r="L245" s="349">
        <f t="shared" si="108"/>
        <v>1.52730578709191</v>
      </c>
      <c r="M245" s="337">
        <f t="shared" si="92"/>
        <v>1.0013545081997779</v>
      </c>
      <c r="N245" s="340">
        <f t="shared" si="93"/>
        <v>5.2018863011353701E-2</v>
      </c>
      <c r="O245" s="341">
        <f t="shared" si="94"/>
        <v>1.0055037341276194</v>
      </c>
      <c r="P245" s="342">
        <f t="shared" si="95"/>
        <v>0.12571016158713416</v>
      </c>
      <c r="Q245" s="343">
        <f t="shared" si="96"/>
        <v>-7.8209976800729457</v>
      </c>
      <c r="R245" s="344">
        <f t="shared" si="97"/>
        <v>-97.049372388941222</v>
      </c>
      <c r="S245" s="346">
        <f t="shared" si="98"/>
        <v>82.950627611058778</v>
      </c>
      <c r="U245" s="319">
        <f t="shared" si="104"/>
        <v>14791</v>
      </c>
      <c r="V245" s="319">
        <f t="shared" si="105"/>
        <v>218773681</v>
      </c>
      <c r="X245" s="345">
        <f t="shared" si="99"/>
        <v>17.621009481288322</v>
      </c>
      <c r="Y245" s="346">
        <f t="shared" si="100"/>
        <v>-5.4720387079654884</v>
      </c>
      <c r="AA245" s="345">
        <f t="shared" si="101"/>
        <v>23.431942823292985</v>
      </c>
      <c r="AB245" s="346">
        <f t="shared" si="102"/>
        <v>-91.577333680975727</v>
      </c>
      <c r="AD245">
        <f t="shared" si="106"/>
        <v>0</v>
      </c>
      <c r="AE245">
        <f t="shared" si="109"/>
        <v>0</v>
      </c>
    </row>
    <row r="246" spans="1:31" x14ac:dyDescent="0.2">
      <c r="A246" s="347">
        <v>14877.25</v>
      </c>
      <c r="B246" s="364">
        <f t="shared" si="103"/>
        <v>14.87725</v>
      </c>
      <c r="C246" s="337">
        <f t="shared" si="84"/>
        <v>16.492494098180099</v>
      </c>
      <c r="D246" s="338">
        <f t="shared" si="85"/>
        <v>1.5101254695091262</v>
      </c>
      <c r="E246" s="338">
        <f t="shared" si="86"/>
        <v>1.0006987846109703</v>
      </c>
      <c r="F246" s="339">
        <f t="shared" si="87"/>
        <v>3.7373197263687784E-2</v>
      </c>
      <c r="G246" s="338">
        <f t="shared" si="88"/>
        <v>1</v>
      </c>
      <c r="H246" s="339">
        <f t="shared" si="89"/>
        <v>0</v>
      </c>
      <c r="I246" s="337">
        <f t="shared" si="90"/>
        <v>233340.50319315304</v>
      </c>
      <c r="J246" s="340">
        <f t="shared" si="91"/>
        <v>1.5707920412122982</v>
      </c>
      <c r="K246" s="348">
        <f t="shared" si="107"/>
        <v>23.134626694735907</v>
      </c>
      <c r="L246" s="349">
        <f t="shared" si="108"/>
        <v>1.5275576059368463</v>
      </c>
      <c r="M246" s="337">
        <f t="shared" si="92"/>
        <v>1.001370340365805</v>
      </c>
      <c r="N246" s="340">
        <f t="shared" si="93"/>
        <v>5.2321646245262032E-2</v>
      </c>
      <c r="O246" s="341">
        <f t="shared" si="94"/>
        <v>1.0055679650966329</v>
      </c>
      <c r="P246" s="342">
        <f t="shared" si="95"/>
        <v>0.12643900904923114</v>
      </c>
      <c r="Q246" s="343">
        <f t="shared" si="96"/>
        <v>-7.8720303821292674</v>
      </c>
      <c r="R246" s="344">
        <f t="shared" si="97"/>
        <v>-97.101871341203008</v>
      </c>
      <c r="S246" s="346">
        <f t="shared" si="98"/>
        <v>82.898128658796992</v>
      </c>
      <c r="U246" s="319">
        <f t="shared" si="104"/>
        <v>14877.25</v>
      </c>
      <c r="V246" s="319">
        <f t="shared" si="105"/>
        <v>221332567.5625</v>
      </c>
      <c r="X246" s="345">
        <f t="shared" si="99"/>
        <v>17.620777242257958</v>
      </c>
      <c r="Y246" s="346">
        <f t="shared" si="100"/>
        <v>-5.4749601842009996</v>
      </c>
      <c r="AA246" s="345">
        <f t="shared" si="101"/>
        <v>23.381142360267031</v>
      </c>
      <c r="AB246" s="346">
        <f t="shared" si="102"/>
        <v>-91.626911157001999</v>
      </c>
      <c r="AD246">
        <f t="shared" si="106"/>
        <v>0</v>
      </c>
      <c r="AE246">
        <f t="shared" si="109"/>
        <v>0</v>
      </c>
    </row>
    <row r="247" spans="1:31" x14ac:dyDescent="0.2">
      <c r="A247" s="347">
        <v>14963.5</v>
      </c>
      <c r="B247" s="364">
        <f t="shared" si="103"/>
        <v>14.9635</v>
      </c>
      <c r="C247" s="337">
        <f t="shared" si="84"/>
        <v>16.587757872136056</v>
      </c>
      <c r="D247" s="338">
        <f t="shared" si="85"/>
        <v>1.510474327732279</v>
      </c>
      <c r="E247" s="338">
        <f t="shared" si="86"/>
        <v>1.0007069075543447</v>
      </c>
      <c r="F247" s="339">
        <f t="shared" si="87"/>
        <v>3.7589662767439191E-2</v>
      </c>
      <c r="G247" s="338">
        <f t="shared" si="88"/>
        <v>1</v>
      </c>
      <c r="H247" s="339">
        <f t="shared" si="89"/>
        <v>0</v>
      </c>
      <c r="I247" s="337">
        <f t="shared" si="90"/>
        <v>234693.28132083398</v>
      </c>
      <c r="J247" s="340">
        <f t="shared" si="91"/>
        <v>1.5707920659145067</v>
      </c>
      <c r="K247" s="348">
        <f t="shared" si="107"/>
        <v>23.268498485516364</v>
      </c>
      <c r="L247" s="349">
        <f t="shared" si="108"/>
        <v>1.527806527194054</v>
      </c>
      <c r="M247" s="337">
        <f t="shared" si="92"/>
        <v>1.0013862643322409</v>
      </c>
      <c r="N247" s="340">
        <f t="shared" si="93"/>
        <v>5.2624419877256377E-2</v>
      </c>
      <c r="O247" s="341">
        <f t="shared" si="94"/>
        <v>1.0056325661960603</v>
      </c>
      <c r="P247" s="342">
        <f t="shared" si="95"/>
        <v>0.12716778386786062</v>
      </c>
      <c r="Q247" s="343">
        <f t="shared" si="96"/>
        <v>-7.9227762704219007</v>
      </c>
      <c r="R247" s="344">
        <f t="shared" si="97"/>
        <v>-97.154299535770051</v>
      </c>
      <c r="S247" s="346">
        <f t="shared" si="98"/>
        <v>82.845700464229949</v>
      </c>
      <c r="U247" s="319">
        <f t="shared" si="104"/>
        <v>14963.5</v>
      </c>
      <c r="V247" s="319">
        <f t="shared" si="105"/>
        <v>223906332.25</v>
      </c>
      <c r="X247" s="345">
        <f t="shared" si="99"/>
        <v>17.62054584356466</v>
      </c>
      <c r="Y247" s="346">
        <f t="shared" si="100"/>
        <v>-5.4780471133288478</v>
      </c>
      <c r="AA247" s="345">
        <f t="shared" si="101"/>
        <v>23.330627870667694</v>
      </c>
      <c r="AB247" s="346">
        <f t="shared" si="102"/>
        <v>-91.676252422441223</v>
      </c>
      <c r="AD247">
        <f t="shared" si="106"/>
        <v>0</v>
      </c>
      <c r="AE247">
        <f t="shared" si="109"/>
        <v>0</v>
      </c>
    </row>
    <row r="248" spans="1:31" x14ac:dyDescent="0.2">
      <c r="A248" s="347">
        <v>15049.75</v>
      </c>
      <c r="B248" s="364">
        <f t="shared" si="103"/>
        <v>15.04975</v>
      </c>
      <c r="C248" s="337">
        <f t="shared" si="84"/>
        <v>16.683023641800986</v>
      </c>
      <c r="D248" s="338">
        <f t="shared" si="85"/>
        <v>1.5108192017975162</v>
      </c>
      <c r="E248" s="338">
        <f t="shared" si="86"/>
        <v>1.0007150773873947</v>
      </c>
      <c r="F248" s="339">
        <f t="shared" si="87"/>
        <v>3.7806124746886625E-2</v>
      </c>
      <c r="G248" s="338">
        <f t="shared" si="88"/>
        <v>1</v>
      </c>
      <c r="H248" s="339">
        <f t="shared" si="89"/>
        <v>0</v>
      </c>
      <c r="I248" s="337">
        <f t="shared" si="90"/>
        <v>236046.05944851501</v>
      </c>
      <c r="J248" s="340">
        <f t="shared" si="91"/>
        <v>1.570792090333579</v>
      </c>
      <c r="K248" s="348">
        <f t="shared" si="107"/>
        <v>23.402371701559673</v>
      </c>
      <c r="L248" s="349">
        <f t="shared" si="108"/>
        <v>1.5280526005593507</v>
      </c>
      <c r="M248" s="337">
        <f t="shared" si="92"/>
        <v>1.0014022800947058</v>
      </c>
      <c r="N248" s="340">
        <f t="shared" si="93"/>
        <v>5.2927183852284468E-2</v>
      </c>
      <c r="O248" s="341">
        <f t="shared" si="94"/>
        <v>1.0056975373686783</v>
      </c>
      <c r="P248" s="342">
        <f t="shared" si="95"/>
        <v>0.12789648563946693</v>
      </c>
      <c r="Q248" s="343">
        <f t="shared" si="96"/>
        <v>-7.9732386637519239</v>
      </c>
      <c r="R248" s="344">
        <f t="shared" si="97"/>
        <v>-97.206658074206288</v>
      </c>
      <c r="S248" s="346">
        <f t="shared" si="98"/>
        <v>82.793341925793712</v>
      </c>
      <c r="U248" s="319">
        <f t="shared" si="104"/>
        <v>15049.75</v>
      </c>
      <c r="V248" s="319">
        <f t="shared" si="105"/>
        <v>226494975.0625</v>
      </c>
      <c r="X248" s="345">
        <f t="shared" si="99"/>
        <v>17.620315247981445</v>
      </c>
      <c r="Y248" s="346">
        <f t="shared" si="100"/>
        <v>-5.4812966451179808</v>
      </c>
      <c r="AA248" s="345">
        <f t="shared" si="101"/>
        <v>23.280396072920887</v>
      </c>
      <c r="AB248" s="346">
        <f t="shared" si="102"/>
        <v>-91.725361429088309</v>
      </c>
      <c r="AD248">
        <f t="shared" si="106"/>
        <v>0</v>
      </c>
      <c r="AE248">
        <f t="shared" si="109"/>
        <v>0</v>
      </c>
    </row>
    <row r="249" spans="1:31" x14ac:dyDescent="0.2">
      <c r="A249" s="347">
        <v>15136</v>
      </c>
      <c r="B249" s="364">
        <f t="shared" si="103"/>
        <v>15.135999999999999</v>
      </c>
      <c r="C249" s="337">
        <f t="shared" si="84"/>
        <v>16.778291373180465</v>
      </c>
      <c r="D249" s="338">
        <f t="shared" si="85"/>
        <v>1.5111601594886621</v>
      </c>
      <c r="E249" s="338">
        <f t="shared" si="86"/>
        <v>1.0007232941089719</v>
      </c>
      <c r="F249" s="339">
        <f t="shared" si="87"/>
        <v>3.802258318183168E-2</v>
      </c>
      <c r="G249" s="338">
        <f t="shared" si="88"/>
        <v>1</v>
      </c>
      <c r="H249" s="339">
        <f t="shared" si="89"/>
        <v>0</v>
      </c>
      <c r="I249" s="337">
        <f t="shared" si="90"/>
        <v>237398.83757619621</v>
      </c>
      <c r="J249" s="340">
        <f t="shared" si="91"/>
        <v>1.5707921144743553</v>
      </c>
      <c r="K249" s="348">
        <f t="shared" si="107"/>
        <v>23.536246318545313</v>
      </c>
      <c r="L249" s="349">
        <f t="shared" si="108"/>
        <v>1.528295874599269</v>
      </c>
      <c r="M249" s="337">
        <f t="shared" si="92"/>
        <v>1.0014183876487959</v>
      </c>
      <c r="N249" s="340">
        <f t="shared" si="93"/>
        <v>5.3229938115304652E-2</v>
      </c>
      <c r="O249" s="341">
        <f t="shared" si="94"/>
        <v>1.0057628785569501</v>
      </c>
      <c r="P249" s="342">
        <f t="shared" si="95"/>
        <v>0.1286251139607929</v>
      </c>
      <c r="Q249" s="343">
        <f t="shared" si="96"/>
        <v>-8.0234208243955205</v>
      </c>
      <c r="R249" s="344">
        <f t="shared" si="97"/>
        <v>-97.25894803275736</v>
      </c>
      <c r="S249" s="346">
        <f t="shared" si="98"/>
        <v>82.74105196724264</v>
      </c>
      <c r="U249" s="319">
        <f t="shared" si="104"/>
        <v>15136</v>
      </c>
      <c r="V249" s="319">
        <f t="shared" si="105"/>
        <v>229098496</v>
      </c>
      <c r="X249" s="345">
        <f t="shared" si="99"/>
        <v>17.620085419339595</v>
      </c>
      <c r="Y249" s="346">
        <f t="shared" si="100"/>
        <v>-5.4847059940347105</v>
      </c>
      <c r="AA249" s="345">
        <f t="shared" si="101"/>
        <v>23.230443740919139</v>
      </c>
      <c r="AB249" s="346">
        <f t="shared" si="102"/>
        <v>-91.774242038722662</v>
      </c>
      <c r="AD249">
        <f t="shared" si="106"/>
        <v>0</v>
      </c>
      <c r="AE249">
        <f t="shared" si="109"/>
        <v>0</v>
      </c>
    </row>
    <row r="250" spans="1:31" x14ac:dyDescent="0.2">
      <c r="A250" s="347">
        <v>15224</v>
      </c>
      <c r="B250" s="364">
        <f t="shared" si="103"/>
        <v>15.224</v>
      </c>
      <c r="C250" s="337">
        <f t="shared" si="84"/>
        <v>16.875494060372269</v>
      </c>
      <c r="D250" s="338">
        <f t="shared" si="85"/>
        <v>1.5115040675285105</v>
      </c>
      <c r="E250" s="338">
        <f t="shared" si="86"/>
        <v>1.0007317258706614</v>
      </c>
      <c r="F250" s="339">
        <f t="shared" si="87"/>
        <v>3.8243429852986795E-2</v>
      </c>
      <c r="G250" s="338">
        <f t="shared" si="88"/>
        <v>1</v>
      </c>
      <c r="H250" s="339">
        <f t="shared" si="89"/>
        <v>0</v>
      </c>
      <c r="I250" s="337">
        <f t="shared" si="90"/>
        <v>238779.06337603339</v>
      </c>
      <c r="J250" s="340">
        <f t="shared" si="91"/>
        <v>1.570792138823029</v>
      </c>
      <c r="K250" s="348">
        <f t="shared" si="107"/>
        <v>23.6728386513138</v>
      </c>
      <c r="L250" s="349">
        <f t="shared" si="108"/>
        <v>1.5285412487845988</v>
      </c>
      <c r="M250" s="337">
        <f t="shared" si="92"/>
        <v>1.0014349166224055</v>
      </c>
      <c r="N250" s="340">
        <f t="shared" si="93"/>
        <v>5.3538825151753469E-2</v>
      </c>
      <c r="O250" s="341">
        <f t="shared" si="94"/>
        <v>1.0058299268016007</v>
      </c>
      <c r="P250" s="342">
        <f t="shared" si="95"/>
        <v>0.12936844992620655</v>
      </c>
      <c r="Q250" s="343">
        <f t="shared" si="96"/>
        <v>-8.0743356819747341</v>
      </c>
      <c r="R250" s="344">
        <f t="shared" si="97"/>
        <v>-97.312229356834195</v>
      </c>
      <c r="S250" s="346">
        <f t="shared" si="98"/>
        <v>82.687770643165805</v>
      </c>
      <c r="U250" s="319">
        <f t="shared" si="104"/>
        <v>15224</v>
      </c>
      <c r="V250" s="319">
        <f t="shared" si="105"/>
        <v>231770176</v>
      </c>
      <c r="X250" s="345">
        <f t="shared" si="99"/>
        <v>17.61985168148599</v>
      </c>
      <c r="Y250" s="346">
        <f t="shared" si="100"/>
        <v>-5.4883464074290647</v>
      </c>
      <c r="AA250" s="345">
        <f t="shared" si="101"/>
        <v>23.179762621193532</v>
      </c>
      <c r="AB250" s="346">
        <f t="shared" si="102"/>
        <v>-91.823882949405117</v>
      </c>
      <c r="AD250">
        <f t="shared" si="106"/>
        <v>0</v>
      </c>
      <c r="AE250">
        <f t="shared" si="109"/>
        <v>0</v>
      </c>
    </row>
    <row r="251" spans="1:31" x14ac:dyDescent="0.2">
      <c r="A251" s="347">
        <v>15312</v>
      </c>
      <c r="B251" s="364">
        <f t="shared" si="103"/>
        <v>15.311999999999999</v>
      </c>
      <c r="C251" s="337">
        <f t="shared" si="84"/>
        <v>16.972698720613689</v>
      </c>
      <c r="D251" s="338">
        <f t="shared" si="85"/>
        <v>1.5118440364038526</v>
      </c>
      <c r="E251" s="338">
        <f t="shared" si="86"/>
        <v>1.0007402064404678</v>
      </c>
      <c r="F251" s="339">
        <f t="shared" si="87"/>
        <v>3.8464272791872388E-2</v>
      </c>
      <c r="G251" s="338">
        <f t="shared" si="88"/>
        <v>1</v>
      </c>
      <c r="H251" s="339">
        <f t="shared" si="89"/>
        <v>0</v>
      </c>
      <c r="I251" s="337">
        <f t="shared" si="90"/>
        <v>240159.28917587071</v>
      </c>
      <c r="J251" s="340">
        <f t="shared" si="91"/>
        <v>1.5707921628918329</v>
      </c>
      <c r="K251" s="348">
        <f t="shared" si="107"/>
        <v>23.809432393034449</v>
      </c>
      <c r="L251" s="349">
        <f t="shared" si="108"/>
        <v>1.5287838075810238</v>
      </c>
      <c r="M251" s="337">
        <f t="shared" si="92"/>
        <v>1.0014515411409639</v>
      </c>
      <c r="N251" s="340">
        <f t="shared" si="93"/>
        <v>5.3847701962361237E-2</v>
      </c>
      <c r="O251" s="341">
        <f t="shared" si="94"/>
        <v>1.0058973601073644</v>
      </c>
      <c r="P251" s="342">
        <f t="shared" si="95"/>
        <v>0.13011170858337476</v>
      </c>
      <c r="Q251" s="343">
        <f t="shared" si="96"/>
        <v>-8.1249655063190502</v>
      </c>
      <c r="R251" s="344">
        <f t="shared" si="97"/>
        <v>-97.365441475786042</v>
      </c>
      <c r="S251" s="346">
        <f t="shared" si="98"/>
        <v>82.634558524213958</v>
      </c>
      <c r="U251" s="319">
        <f t="shared" si="104"/>
        <v>15312</v>
      </c>
      <c r="V251" s="319">
        <f t="shared" si="105"/>
        <v>234457344</v>
      </c>
      <c r="X251" s="345">
        <f t="shared" si="99"/>
        <v>17.6196186691589</v>
      </c>
      <c r="Y251" s="346">
        <f t="shared" si="100"/>
        <v>-5.4921475287926533</v>
      </c>
      <c r="AA251" s="345">
        <f t="shared" si="101"/>
        <v>23.129365809176306</v>
      </c>
      <c r="AB251" s="346">
        <f t="shared" si="102"/>
        <v>-91.873293946993357</v>
      </c>
      <c r="AD251">
        <f t="shared" si="106"/>
        <v>0</v>
      </c>
      <c r="AE251">
        <f t="shared" si="109"/>
        <v>0</v>
      </c>
    </row>
    <row r="252" spans="1:31" x14ac:dyDescent="0.2">
      <c r="A252" s="347">
        <v>15400</v>
      </c>
      <c r="B252" s="364">
        <f t="shared" si="103"/>
        <v>15.4</v>
      </c>
      <c r="C252" s="337">
        <f t="shared" si="84"/>
        <v>17.069905320198089</v>
      </c>
      <c r="D252" s="338">
        <f t="shared" si="85"/>
        <v>1.5121801333315406</v>
      </c>
      <c r="E252" s="338">
        <f t="shared" si="86"/>
        <v>1.0007487358171503</v>
      </c>
      <c r="F252" s="339">
        <f t="shared" si="87"/>
        <v>3.8685111977041886E-2</v>
      </c>
      <c r="G252" s="338">
        <f t="shared" si="88"/>
        <v>1</v>
      </c>
      <c r="H252" s="339">
        <f t="shared" si="89"/>
        <v>0</v>
      </c>
      <c r="I252" s="337">
        <f t="shared" si="90"/>
        <v>241539.51497570815</v>
      </c>
      <c r="J252" s="340">
        <f t="shared" si="91"/>
        <v>1.5707921866855645</v>
      </c>
      <c r="K252" s="348">
        <f t="shared" si="107"/>
        <v>23.946027519596282</v>
      </c>
      <c r="L252" s="349">
        <f t="shared" si="108"/>
        <v>1.5290235991391536</v>
      </c>
      <c r="M252" s="337">
        <f t="shared" si="92"/>
        <v>1.0014682611997132</v>
      </c>
      <c r="N252" s="340">
        <f t="shared" si="93"/>
        <v>5.4156568488701984E-2</v>
      </c>
      <c r="O252" s="341">
        <f t="shared" si="94"/>
        <v>1.0059651784121286</v>
      </c>
      <c r="P252" s="342">
        <f t="shared" si="95"/>
        <v>0.13085488950496391</v>
      </c>
      <c r="Q252" s="343">
        <f t="shared" si="96"/>
        <v>-8.1753135885112869</v>
      </c>
      <c r="R252" s="344">
        <f t="shared" si="97"/>
        <v>-97.418585455699827</v>
      </c>
      <c r="S252" s="346">
        <f t="shared" si="98"/>
        <v>82.581414544300173</v>
      </c>
      <c r="U252" s="319">
        <f t="shared" si="104"/>
        <v>15400</v>
      </c>
      <c r="V252" s="319">
        <f t="shared" si="105"/>
        <v>237160000</v>
      </c>
      <c r="X252" s="345">
        <f t="shared" si="99"/>
        <v>17.619386347123154</v>
      </c>
      <c r="Y252" s="346">
        <f t="shared" si="100"/>
        <v>-5.4961065962260625</v>
      </c>
      <c r="AA252" s="345">
        <f t="shared" si="101"/>
        <v>23.079250049019816</v>
      </c>
      <c r="AB252" s="346">
        <f t="shared" si="102"/>
        <v>-91.922478859473784</v>
      </c>
      <c r="AD252">
        <f t="shared" si="106"/>
        <v>0</v>
      </c>
      <c r="AE252">
        <f t="shared" si="109"/>
        <v>0</v>
      </c>
    </row>
    <row r="253" spans="1:31" x14ac:dyDescent="0.2">
      <c r="A253" s="347">
        <v>15488</v>
      </c>
      <c r="B253" s="364">
        <f t="shared" si="103"/>
        <v>15.488</v>
      </c>
      <c r="C253" s="337">
        <f t="shared" si="84"/>
        <v>17.167113826181627</v>
      </c>
      <c r="D253" s="338">
        <f t="shared" si="85"/>
        <v>1.5125124240095142</v>
      </c>
      <c r="E253" s="338">
        <f t="shared" si="86"/>
        <v>1.000757313999461</v>
      </c>
      <c r="F253" s="339">
        <f t="shared" si="87"/>
        <v>3.8905947387050922E-2</v>
      </c>
      <c r="G253" s="338">
        <f t="shared" si="88"/>
        <v>1</v>
      </c>
      <c r="H253" s="339">
        <f t="shared" si="89"/>
        <v>0</v>
      </c>
      <c r="I253" s="337">
        <f t="shared" si="90"/>
        <v>242919.74077554577</v>
      </c>
      <c r="J253" s="340">
        <f t="shared" si="91"/>
        <v>1.5707922102089131</v>
      </c>
      <c r="K253" s="348">
        <f t="shared" si="107"/>
        <v>24.082624007435104</v>
      </c>
      <c r="L253" s="349">
        <f t="shared" si="108"/>
        <v>1.5292606705184486</v>
      </c>
      <c r="M253" s="337">
        <f t="shared" si="92"/>
        <v>1.0014850767938683</v>
      </c>
      <c r="N253" s="340">
        <f t="shared" si="93"/>
        <v>5.4465424672361457E-2</v>
      </c>
      <c r="O253" s="341">
        <f t="shared" si="94"/>
        <v>1.0060333816534432</v>
      </c>
      <c r="P253" s="342">
        <f t="shared" si="95"/>
        <v>0.13159799226397029</v>
      </c>
      <c r="Q253" s="343">
        <f t="shared" si="96"/>
        <v>-8.2253831637245476</v>
      </c>
      <c r="R253" s="344">
        <f t="shared" si="97"/>
        <v>-97.471662338166794</v>
      </c>
      <c r="S253" s="346">
        <f t="shared" si="98"/>
        <v>82.528337661833206</v>
      </c>
      <c r="U253" s="319">
        <f t="shared" si="104"/>
        <v>15488</v>
      </c>
      <c r="V253" s="319">
        <f t="shared" si="105"/>
        <v>239878144</v>
      </c>
      <c r="X253" s="345">
        <f t="shared" si="99"/>
        <v>17.619154681142778</v>
      </c>
      <c r="Y253" s="346">
        <f t="shared" si="100"/>
        <v>-5.5002209103426187</v>
      </c>
      <c r="AA253" s="345">
        <f t="shared" si="101"/>
        <v>23.029412139786928</v>
      </c>
      <c r="AB253" s="346">
        <f t="shared" si="102"/>
        <v>-91.971441427824203</v>
      </c>
      <c r="AD253">
        <f t="shared" si="106"/>
        <v>0</v>
      </c>
      <c r="AE253">
        <f t="shared" si="109"/>
        <v>0</v>
      </c>
    </row>
    <row r="254" spans="1:31" x14ac:dyDescent="0.2">
      <c r="A254" s="347">
        <v>15578.25</v>
      </c>
      <c r="B254" s="364">
        <f t="shared" si="103"/>
        <v>15.578250000000001</v>
      </c>
      <c r="C254" s="337">
        <f t="shared" si="84"/>
        <v>17.266809723329143</v>
      </c>
      <c r="D254" s="338">
        <f t="shared" si="85"/>
        <v>1.5128493245483163</v>
      </c>
      <c r="E254" s="338">
        <f t="shared" si="86"/>
        <v>1.0007661622023698</v>
      </c>
      <c r="F254" s="339">
        <f t="shared" si="87"/>
        <v>3.9132425213333197E-2</v>
      </c>
      <c r="G254" s="338">
        <f t="shared" si="88"/>
        <v>1</v>
      </c>
      <c r="H254" s="339">
        <f t="shared" si="89"/>
        <v>0</v>
      </c>
      <c r="I254" s="337">
        <f t="shared" si="90"/>
        <v>244335.2564395839</v>
      </c>
      <c r="J254" s="340">
        <f t="shared" si="91"/>
        <v>1.5707922340576692</v>
      </c>
      <c r="K254" s="348">
        <f t="shared" si="107"/>
        <v>24.222714408916602</v>
      </c>
      <c r="L254" s="349">
        <f t="shared" si="108"/>
        <v>1.5295010261673538</v>
      </c>
      <c r="M254" s="337">
        <f t="shared" si="92"/>
        <v>1.0015024215577839</v>
      </c>
      <c r="N254" s="340">
        <f t="shared" si="93"/>
        <v>5.4782166943174809E-2</v>
      </c>
      <c r="O254" s="341">
        <f t="shared" si="94"/>
        <v>1.0061037284874241</v>
      </c>
      <c r="P254" s="342">
        <f t="shared" si="95"/>
        <v>0.13236001317663476</v>
      </c>
      <c r="Q254" s="343">
        <f t="shared" si="96"/>
        <v>-8.276446978886824</v>
      </c>
      <c r="R254" s="344">
        <f t="shared" si="97"/>
        <v>-97.526027673294749</v>
      </c>
      <c r="S254" s="346">
        <f t="shared" si="98"/>
        <v>82.473972326705251</v>
      </c>
      <c r="U254" s="319">
        <f t="shared" si="104"/>
        <v>15578.25</v>
      </c>
      <c r="V254" s="319">
        <f t="shared" si="105"/>
        <v>242681873.0625</v>
      </c>
      <c r="X254" s="345">
        <f t="shared" si="99"/>
        <v>17.618917738469971</v>
      </c>
      <c r="Y254" s="346">
        <f t="shared" si="100"/>
        <v>-5.5045989078272815</v>
      </c>
      <c r="AA254" s="345">
        <f t="shared" si="101"/>
        <v>22.978585267297458</v>
      </c>
      <c r="AB254" s="346">
        <f t="shared" si="102"/>
        <v>-92.021428765467476</v>
      </c>
      <c r="AD254">
        <f t="shared" si="106"/>
        <v>0</v>
      </c>
      <c r="AE254">
        <f t="shared" si="109"/>
        <v>0</v>
      </c>
    </row>
    <row r="255" spans="1:31" x14ac:dyDescent="0.2">
      <c r="A255" s="347">
        <v>15668.5</v>
      </c>
      <c r="B255" s="364">
        <f t="shared" si="103"/>
        <v>15.6685</v>
      </c>
      <c r="C255" s="337">
        <f t="shared" si="84"/>
        <v>17.366507557792062</v>
      </c>
      <c r="D255" s="338">
        <f t="shared" si="85"/>
        <v>1.5131823569600416</v>
      </c>
      <c r="E255" s="338">
        <f t="shared" si="86"/>
        <v>1.0007750617358733</v>
      </c>
      <c r="F255" s="339">
        <f t="shared" si="87"/>
        <v>3.9358899023259571E-2</v>
      </c>
      <c r="G255" s="338">
        <f t="shared" si="88"/>
        <v>1</v>
      </c>
      <c r="H255" s="339">
        <f t="shared" si="89"/>
        <v>0</v>
      </c>
      <c r="I255" s="337">
        <f t="shared" si="90"/>
        <v>245750.77210362218</v>
      </c>
      <c r="J255" s="340">
        <f t="shared" si="91"/>
        <v>1.5707922576316893</v>
      </c>
      <c r="K255" s="348">
        <f t="shared" si="107"/>
        <v>24.362806193671357</v>
      </c>
      <c r="L255" s="349">
        <f t="shared" si="108"/>
        <v>1.529738617628426</v>
      </c>
      <c r="M255" s="337">
        <f t="shared" si="92"/>
        <v>1.0015198667946108</v>
      </c>
      <c r="N255" s="340">
        <f t="shared" si="93"/>
        <v>5.5098898211246652E-2</v>
      </c>
      <c r="O255" s="341">
        <f t="shared" si="94"/>
        <v>1.0061744800597223</v>
      </c>
      <c r="P255" s="342">
        <f t="shared" si="95"/>
        <v>0.13312195097002263</v>
      </c>
      <c r="Q255" s="343">
        <f t="shared" si="96"/>
        <v>-8.3272245805786174</v>
      </c>
      <c r="R255" s="344">
        <f t="shared" si="97"/>
        <v>-97.580324578947753</v>
      </c>
      <c r="S255" s="346">
        <f t="shared" si="98"/>
        <v>82.419675421052247</v>
      </c>
      <c r="U255" s="319">
        <f t="shared" si="104"/>
        <v>15668.5</v>
      </c>
      <c r="V255" s="319">
        <f t="shared" si="105"/>
        <v>245501892.25</v>
      </c>
      <c r="X255" s="345">
        <f t="shared" si="99"/>
        <v>17.618681415971164</v>
      </c>
      <c r="Y255" s="346">
        <f t="shared" si="100"/>
        <v>-5.5091346354568831</v>
      </c>
      <c r="AA255" s="345">
        <f t="shared" si="101"/>
        <v>22.92804398810447</v>
      </c>
      <c r="AB255" s="346">
        <f t="shared" si="102"/>
        <v>-92.07118994349085</v>
      </c>
      <c r="AD255">
        <f t="shared" si="106"/>
        <v>0</v>
      </c>
      <c r="AE255">
        <f t="shared" si="109"/>
        <v>0</v>
      </c>
    </row>
    <row r="256" spans="1:31" x14ac:dyDescent="0.2">
      <c r="A256" s="347">
        <v>15758.75</v>
      </c>
      <c r="B256" s="364">
        <f t="shared" si="103"/>
        <v>15.758749999999999</v>
      </c>
      <c r="C256" s="337">
        <f t="shared" si="84"/>
        <v>17.466207296395559</v>
      </c>
      <c r="D256" s="338">
        <f t="shared" si="85"/>
        <v>1.51351158740973</v>
      </c>
      <c r="E256" s="338">
        <f t="shared" si="86"/>
        <v>1.0007840125986021</v>
      </c>
      <c r="F256" s="339">
        <f t="shared" si="87"/>
        <v>3.9585368793705632E-2</v>
      </c>
      <c r="G256" s="338">
        <f t="shared" si="88"/>
        <v>1</v>
      </c>
      <c r="H256" s="339">
        <f t="shared" si="89"/>
        <v>0</v>
      </c>
      <c r="I256" s="337">
        <f t="shared" si="90"/>
        <v>247166.28776766057</v>
      </c>
      <c r="J256" s="340">
        <f t="shared" si="91"/>
        <v>1.5707922809356938</v>
      </c>
      <c r="K256" s="348">
        <f t="shared" si="107"/>
        <v>24.502899337973375</v>
      </c>
      <c r="L256" s="349">
        <f t="shared" si="108"/>
        <v>1.5299734922866017</v>
      </c>
      <c r="M256" s="337">
        <f t="shared" si="92"/>
        <v>1.001537412499099</v>
      </c>
      <c r="N256" s="340">
        <f t="shared" si="93"/>
        <v>5.5415618413605476E-2</v>
      </c>
      <c r="O256" s="341">
        <f t="shared" si="94"/>
        <v>1.0062456363018717</v>
      </c>
      <c r="P256" s="342">
        <f t="shared" si="95"/>
        <v>0.13388380518462611</v>
      </c>
      <c r="Q256" s="343">
        <f t="shared" si="96"/>
        <v>-8.3777192834516327</v>
      </c>
      <c r="R256" s="344">
        <f t="shared" si="97"/>
        <v>-97.634554102805993</v>
      </c>
      <c r="S256" s="346">
        <f t="shared" si="98"/>
        <v>82.365445897194007</v>
      </c>
      <c r="U256" s="319">
        <f t="shared" si="104"/>
        <v>15758.75</v>
      </c>
      <c r="V256" s="319">
        <f t="shared" si="105"/>
        <v>248338201.5625</v>
      </c>
      <c r="X256" s="345">
        <f t="shared" si="99"/>
        <v>17.618445679774133</v>
      </c>
      <c r="Y256" s="346">
        <f t="shared" si="100"/>
        <v>-5.5138253749369905</v>
      </c>
      <c r="AA256" s="345">
        <f t="shared" si="101"/>
        <v>22.877785021428494</v>
      </c>
      <c r="AB256" s="346">
        <f t="shared" si="102"/>
        <v>-92.120728727868993</v>
      </c>
      <c r="AD256">
        <f t="shared" si="106"/>
        <v>0</v>
      </c>
      <c r="AE256">
        <f t="shared" si="109"/>
        <v>0</v>
      </c>
    </row>
    <row r="257" spans="1:31" x14ac:dyDescent="0.2">
      <c r="A257" s="347">
        <v>15849</v>
      </c>
      <c r="B257" s="364">
        <f t="shared" si="103"/>
        <v>15.849</v>
      </c>
      <c r="C257" s="337">
        <f t="shared" si="84"/>
        <v>17.56590890671734</v>
      </c>
      <c r="D257" s="338">
        <f t="shared" si="85"/>
        <v>1.5138370805635888</v>
      </c>
      <c r="E257" s="338">
        <f t="shared" si="86"/>
        <v>1.0007930147891793</v>
      </c>
      <c r="F257" s="339">
        <f t="shared" si="87"/>
        <v>3.9811834501549473E-2</v>
      </c>
      <c r="G257" s="338">
        <f t="shared" si="88"/>
        <v>1</v>
      </c>
      <c r="H257" s="339">
        <f t="shared" si="89"/>
        <v>0</v>
      </c>
      <c r="I257" s="337">
        <f t="shared" si="90"/>
        <v>248581.80343169914</v>
      </c>
      <c r="J257" s="340">
        <f t="shared" si="91"/>
        <v>1.570792303974295</v>
      </c>
      <c r="K257" s="348">
        <f t="shared" si="107"/>
        <v>24.642993818635954</v>
      </c>
      <c r="L257" s="349">
        <f t="shared" si="108"/>
        <v>1.5302056964505057</v>
      </c>
      <c r="M257" s="337">
        <f t="shared" si="92"/>
        <v>1.0015550586659683</v>
      </c>
      <c r="N257" s="340">
        <f t="shared" si="93"/>
        <v>5.5732327487293058E-2</v>
      </c>
      <c r="O257" s="341">
        <f t="shared" si="94"/>
        <v>1.006317197145036</v>
      </c>
      <c r="P257" s="342">
        <f t="shared" si="95"/>
        <v>0.13464557536131028</v>
      </c>
      <c r="Q257" s="343">
        <f t="shared" si="96"/>
        <v>-8.4279343457032283</v>
      </c>
      <c r="R257" s="344">
        <f t="shared" si="97"/>
        <v>-97.688717268356797</v>
      </c>
      <c r="S257" s="346">
        <f t="shared" si="98"/>
        <v>82.311282731643203</v>
      </c>
      <c r="U257" s="319">
        <f t="shared" si="104"/>
        <v>15849</v>
      </c>
      <c r="V257" s="319">
        <f t="shared" si="105"/>
        <v>251190801</v>
      </c>
      <c r="X257" s="345">
        <f t="shared" si="99"/>
        <v>17.618210496969805</v>
      </c>
      <c r="Y257" s="346">
        <f t="shared" si="100"/>
        <v>-5.5186684696358714</v>
      </c>
      <c r="AA257" s="345">
        <f t="shared" si="101"/>
        <v>22.827805141981226</v>
      </c>
      <c r="AB257" s="346">
        <f t="shared" si="102"/>
        <v>-92.170048798720899</v>
      </c>
      <c r="AD257">
        <f t="shared" si="106"/>
        <v>0</v>
      </c>
      <c r="AE257">
        <f t="shared" si="109"/>
        <v>0</v>
      </c>
    </row>
    <row r="258" spans="1:31" x14ac:dyDescent="0.2">
      <c r="A258" s="347">
        <v>15941.25</v>
      </c>
      <c r="B258" s="364">
        <f t="shared" si="103"/>
        <v>15.94125</v>
      </c>
      <c r="C258" s="337">
        <f t="shared" si="84"/>
        <v>17.667821872413153</v>
      </c>
      <c r="D258" s="338">
        <f t="shared" si="85"/>
        <v>1.5141659902177209</v>
      </c>
      <c r="E258" s="338">
        <f t="shared" si="86"/>
        <v>1.0008022695194825</v>
      </c>
      <c r="F258" s="339">
        <f t="shared" si="87"/>
        <v>4.004331461732321E-2</v>
      </c>
      <c r="G258" s="338">
        <f t="shared" si="88"/>
        <v>1</v>
      </c>
      <c r="H258" s="339">
        <f t="shared" si="89"/>
        <v>0</v>
      </c>
      <c r="I258" s="337">
        <f t="shared" si="90"/>
        <v>250028.68786391593</v>
      </c>
      <c r="J258" s="340">
        <f t="shared" si="91"/>
        <v>1.5707923272538498</v>
      </c>
      <c r="K258" s="348">
        <f t="shared" si="107"/>
        <v>24.786194243646687</v>
      </c>
      <c r="L258" s="349">
        <f t="shared" si="108"/>
        <v>1.5304403336111836</v>
      </c>
      <c r="M258" s="337">
        <f t="shared" si="92"/>
        <v>1.0015731997046178</v>
      </c>
      <c r="N258" s="340">
        <f t="shared" si="93"/>
        <v>5.6056043477742901E-2</v>
      </c>
      <c r="O258" s="341">
        <f t="shared" si="94"/>
        <v>1.0063907619017085</v>
      </c>
      <c r="P258" s="342">
        <f t="shared" si="95"/>
        <v>0.13542413954186819</v>
      </c>
      <c r="Q258" s="343">
        <f t="shared" si="96"/>
        <v>-8.4789765367116665</v>
      </c>
      <c r="R258" s="344">
        <f t="shared" si="97"/>
        <v>-97.744013186203986</v>
      </c>
      <c r="S258" s="346">
        <f t="shared" si="98"/>
        <v>82.255986813796014</v>
      </c>
      <c r="U258" s="319">
        <f t="shared" si="104"/>
        <v>15941.25</v>
      </c>
      <c r="V258" s="319">
        <f t="shared" si="105"/>
        <v>254123451.5625</v>
      </c>
      <c r="X258" s="345">
        <f t="shared" si="99"/>
        <v>17.617970640993853</v>
      </c>
      <c r="Y258" s="346">
        <f t="shared" si="100"/>
        <v>-5.5237736444518424</v>
      </c>
      <c r="AA258" s="345">
        <f t="shared" si="101"/>
        <v>22.777002806948733</v>
      </c>
      <c r="AB258" s="346">
        <f t="shared" si="102"/>
        <v>-92.220239541752122</v>
      </c>
      <c r="AD258">
        <f t="shared" si="106"/>
        <v>0</v>
      </c>
      <c r="AE258">
        <f t="shared" si="109"/>
        <v>0</v>
      </c>
    </row>
    <row r="259" spans="1:31" x14ac:dyDescent="0.2">
      <c r="A259" s="347">
        <v>16033.5</v>
      </c>
      <c r="B259" s="364">
        <f t="shared" si="103"/>
        <v>16.0335</v>
      </c>
      <c r="C259" s="337">
        <f t="shared" si="84"/>
        <v>17.769736727517643</v>
      </c>
      <c r="D259" s="338">
        <f t="shared" si="85"/>
        <v>1.5144911271125014</v>
      </c>
      <c r="E259" s="338">
        <f t="shared" si="86"/>
        <v>1.0008115778748243</v>
      </c>
      <c r="F259" s="339">
        <f t="shared" si="87"/>
        <v>4.0274790439596163E-2</v>
      </c>
      <c r="G259" s="338">
        <f t="shared" si="88"/>
        <v>1</v>
      </c>
      <c r="H259" s="339">
        <f t="shared" si="89"/>
        <v>0</v>
      </c>
      <c r="I259" s="337">
        <f t="shared" si="90"/>
        <v>251475.57229613286</v>
      </c>
      <c r="J259" s="340">
        <f t="shared" si="91"/>
        <v>1.570792350265523</v>
      </c>
      <c r="K259" s="348">
        <f t="shared" si="107"/>
        <v>24.929396017574209</v>
      </c>
      <c r="L259" s="349">
        <f t="shared" si="108"/>
        <v>1.530672275134954</v>
      </c>
      <c r="M259" s="337">
        <f t="shared" si="92"/>
        <v>1.0015914456963599</v>
      </c>
      <c r="N259" s="340">
        <f t="shared" si="93"/>
        <v>5.6379747707844714E-2</v>
      </c>
      <c r="O259" s="341">
        <f t="shared" si="94"/>
        <v>1.0064647492439258</v>
      </c>
      <c r="P259" s="342">
        <f t="shared" si="95"/>
        <v>0.1362026149497132</v>
      </c>
      <c r="Q259" s="343">
        <f t="shared" si="96"/>
        <v>-8.5297332645389687</v>
      </c>
      <c r="R259" s="344">
        <f t="shared" si="97"/>
        <v>-97.799241860011932</v>
      </c>
      <c r="S259" s="346">
        <f t="shared" si="98"/>
        <v>82.200758139988068</v>
      </c>
      <c r="U259" s="319">
        <f t="shared" si="104"/>
        <v>16033.5</v>
      </c>
      <c r="V259" s="319">
        <f t="shared" si="105"/>
        <v>257073122.25</v>
      </c>
      <c r="X259" s="345">
        <f t="shared" si="99"/>
        <v>17.617731296620278</v>
      </c>
      <c r="Y259" s="346">
        <f t="shared" si="100"/>
        <v>-5.5290325787191001</v>
      </c>
      <c r="AA259" s="345">
        <f t="shared" si="101"/>
        <v>22.726485423495006</v>
      </c>
      <c r="AB259" s="346">
        <f t="shared" si="102"/>
        <v>-92.270209281292821</v>
      </c>
      <c r="AD259">
        <f t="shared" si="106"/>
        <v>0</v>
      </c>
      <c r="AE259">
        <f t="shared" si="109"/>
        <v>0</v>
      </c>
    </row>
    <row r="260" spans="1:31" x14ac:dyDescent="0.2">
      <c r="A260" s="347">
        <v>16125.75</v>
      </c>
      <c r="B260" s="364">
        <f t="shared" si="103"/>
        <v>16.12575</v>
      </c>
      <c r="C260" s="337">
        <f t="shared" si="84"/>
        <v>17.871653439707202</v>
      </c>
      <c r="D260" s="338">
        <f t="shared" si="85"/>
        <v>1.514812555723358</v>
      </c>
      <c r="E260" s="338">
        <f t="shared" si="86"/>
        <v>1.0008209398537087</v>
      </c>
      <c r="F260" s="339">
        <f t="shared" si="87"/>
        <v>4.050626194368305E-2</v>
      </c>
      <c r="G260" s="338">
        <f t="shared" si="88"/>
        <v>1</v>
      </c>
      <c r="H260" s="339">
        <f t="shared" si="89"/>
        <v>0</v>
      </c>
      <c r="I260" s="337">
        <f t="shared" si="90"/>
        <v>252922.45672834993</v>
      </c>
      <c r="J260" s="340">
        <f t="shared" si="91"/>
        <v>1.5707923730139119</v>
      </c>
      <c r="K260" s="348">
        <f t="shared" si="107"/>
        <v>25.072599117305561</v>
      </c>
      <c r="L260" s="349">
        <f t="shared" si="108"/>
        <v>1.5309015671853423</v>
      </c>
      <c r="M260" s="337">
        <f t="shared" si="92"/>
        <v>1.0016097966354593</v>
      </c>
      <c r="N260" s="340">
        <f t="shared" si="93"/>
        <v>5.6703440110404728E-2</v>
      </c>
      <c r="O260" s="341">
        <f t="shared" si="94"/>
        <v>1.0065391590969728</v>
      </c>
      <c r="P260" s="342">
        <f t="shared" si="95"/>
        <v>0.13698100109572481</v>
      </c>
      <c r="Q260" s="343">
        <f t="shared" si="96"/>
        <v>-8.580207834111647</v>
      </c>
      <c r="R260" s="344">
        <f t="shared" si="97"/>
        <v>-97.854404308778655</v>
      </c>
      <c r="S260" s="346">
        <f t="shared" si="98"/>
        <v>82.145595691221345</v>
      </c>
      <c r="U260" s="319">
        <f t="shared" si="104"/>
        <v>16125.75</v>
      </c>
      <c r="V260" s="319">
        <f t="shared" si="105"/>
        <v>260039813.0625</v>
      </c>
      <c r="X260" s="345">
        <f t="shared" si="99"/>
        <v>17.617492431616103</v>
      </c>
      <c r="Y260" s="346">
        <f t="shared" si="100"/>
        <v>-5.534442623875945</v>
      </c>
      <c r="AA260" s="345">
        <f t="shared" si="101"/>
        <v>22.676249718926506</v>
      </c>
      <c r="AB260" s="346">
        <f t="shared" si="102"/>
        <v>-92.319961684902694</v>
      </c>
      <c r="AD260">
        <f t="shared" si="106"/>
        <v>0</v>
      </c>
      <c r="AE260">
        <f t="shared" si="109"/>
        <v>0</v>
      </c>
    </row>
    <row r="261" spans="1:31" x14ac:dyDescent="0.2">
      <c r="A261" s="347">
        <v>16218</v>
      </c>
      <c r="B261" s="364">
        <f t="shared" si="103"/>
        <v>16.218</v>
      </c>
      <c r="C261" s="337">
        <f t="shared" si="84"/>
        <v>17.973571977390776</v>
      </c>
      <c r="D261" s="338">
        <f t="shared" si="85"/>
        <v>1.5151303390664008</v>
      </c>
      <c r="E261" s="338">
        <f t="shared" si="86"/>
        <v>1.0008303554546303</v>
      </c>
      <c r="F261" s="339">
        <f t="shared" si="87"/>
        <v>4.0737729104901345E-2</v>
      </c>
      <c r="G261" s="338">
        <f t="shared" si="88"/>
        <v>1</v>
      </c>
      <c r="H261" s="339">
        <f t="shared" si="89"/>
        <v>0</v>
      </c>
      <c r="I261" s="337">
        <f t="shared" si="90"/>
        <v>254369.34116056716</v>
      </c>
      <c r="J261" s="340">
        <f t="shared" si="91"/>
        <v>1.5707923955035097</v>
      </c>
      <c r="K261" s="348">
        <f t="shared" si="107"/>
        <v>25.215803520252628</v>
      </c>
      <c r="L261" s="349">
        <f t="shared" si="108"/>
        <v>1.5311282548783238</v>
      </c>
      <c r="M261" s="337">
        <f t="shared" si="92"/>
        <v>1.0016282525161477</v>
      </c>
      <c r="N261" s="340">
        <f t="shared" si="93"/>
        <v>5.7027120618244005E-2</v>
      </c>
      <c r="O261" s="341">
        <f t="shared" si="94"/>
        <v>1.0066139913857308</v>
      </c>
      <c r="P261" s="342">
        <f t="shared" si="95"/>
        <v>0.13775929749119795</v>
      </c>
      <c r="Q261" s="343">
        <f t="shared" si="96"/>
        <v>-8.6304034941104177</v>
      </c>
      <c r="R261" s="344">
        <f t="shared" si="97"/>
        <v>-97.909501527928171</v>
      </c>
      <c r="S261" s="346">
        <f t="shared" si="98"/>
        <v>82.090498472071829</v>
      </c>
      <c r="U261" s="319">
        <f t="shared" si="104"/>
        <v>16218</v>
      </c>
      <c r="V261" s="319">
        <f t="shared" si="105"/>
        <v>263023524</v>
      </c>
      <c r="X261" s="345">
        <f t="shared" si="99"/>
        <v>17.617254014664397</v>
      </c>
      <c r="Y261" s="346">
        <f t="shared" si="100"/>
        <v>-5.5400011913757732</v>
      </c>
      <c r="AA261" s="345">
        <f t="shared" si="101"/>
        <v>22.626292475879438</v>
      </c>
      <c r="AB261" s="346">
        <f t="shared" si="102"/>
        <v>-92.369500336552377</v>
      </c>
      <c r="AD261">
        <f t="shared" si="106"/>
        <v>0</v>
      </c>
      <c r="AE261">
        <f t="shared" si="109"/>
        <v>0</v>
      </c>
    </row>
    <row r="262" spans="1:31" x14ac:dyDescent="0.2">
      <c r="A262" s="347">
        <v>16312.5</v>
      </c>
      <c r="B262" s="364">
        <f t="shared" si="103"/>
        <v>16.3125</v>
      </c>
      <c r="C262" s="337">
        <f t="shared" si="84"/>
        <v>18.077978193616104</v>
      </c>
      <c r="D262" s="338">
        <f t="shared" si="85"/>
        <v>1.5154521578872973</v>
      </c>
      <c r="E262" s="338">
        <f t="shared" si="86"/>
        <v>1.0008400563025419</v>
      </c>
      <c r="F262" s="339">
        <f t="shared" si="87"/>
        <v>4.0974837277793351E-2</v>
      </c>
      <c r="G262" s="338">
        <f t="shared" si="88"/>
        <v>1</v>
      </c>
      <c r="H262" s="339">
        <f t="shared" si="89"/>
        <v>0</v>
      </c>
      <c r="I262" s="337">
        <f t="shared" si="90"/>
        <v>255851.5154569849</v>
      </c>
      <c r="J262" s="340">
        <f t="shared" si="91"/>
        <v>1.5707924182778874</v>
      </c>
      <c r="K262" s="348">
        <f t="shared" si="107"/>
        <v>25.362502041722099</v>
      </c>
      <c r="L262" s="349">
        <f t="shared" si="108"/>
        <v>1.5313578172158206</v>
      </c>
      <c r="M262" s="337">
        <f t="shared" si="92"/>
        <v>1.0016472673463328</v>
      </c>
      <c r="N262" s="340">
        <f t="shared" si="93"/>
        <v>5.735868336897719E-2</v>
      </c>
      <c r="O262" s="341">
        <f t="shared" si="94"/>
        <v>1.0066910867896428</v>
      </c>
      <c r="P262" s="342">
        <f t="shared" si="95"/>
        <v>0.13855648315438396</v>
      </c>
      <c r="Q262" s="343">
        <f t="shared" si="96"/>
        <v>-8.6815375800298185</v>
      </c>
      <c r="R262" s="344">
        <f t="shared" si="97"/>
        <v>-97.965875962654707</v>
      </c>
      <c r="S262" s="346">
        <f t="shared" si="98"/>
        <v>82.034124037345293</v>
      </c>
      <c r="U262" s="319">
        <f t="shared" si="104"/>
        <v>16312.5</v>
      </c>
      <c r="V262" s="319">
        <f t="shared" si="105"/>
        <v>266097656.25</v>
      </c>
      <c r="X262" s="345">
        <f t="shared" si="99"/>
        <v>17.617010215437713</v>
      </c>
      <c r="Y262" s="346">
        <f t="shared" si="100"/>
        <v>-5.5458466894452121</v>
      </c>
      <c r="AA262" s="345">
        <f t="shared" si="101"/>
        <v>22.575402189186725</v>
      </c>
      <c r="AB262" s="346">
        <f t="shared" si="102"/>
        <v>-92.420029273209494</v>
      </c>
      <c r="AD262">
        <f t="shared" si="106"/>
        <v>0</v>
      </c>
      <c r="AE262">
        <f t="shared" si="109"/>
        <v>0</v>
      </c>
    </row>
    <row r="263" spans="1:31" x14ac:dyDescent="0.2">
      <c r="A263" s="347">
        <v>16407</v>
      </c>
      <c r="B263" s="364">
        <f t="shared" si="103"/>
        <v>16.407</v>
      </c>
      <c r="C263" s="337">
        <f t="shared" si="84"/>
        <v>18.182386260627709</v>
      </c>
      <c r="D263" s="338">
        <f t="shared" si="85"/>
        <v>1.5157702808033915</v>
      </c>
      <c r="E263" s="338">
        <f t="shared" si="86"/>
        <v>1.0008498134168748</v>
      </c>
      <c r="F263" s="339">
        <f t="shared" si="87"/>
        <v>4.1211940840960803E-2</v>
      </c>
      <c r="G263" s="338">
        <f t="shared" si="88"/>
        <v>1</v>
      </c>
      <c r="H263" s="339">
        <f t="shared" si="89"/>
        <v>0</v>
      </c>
      <c r="I263" s="337">
        <f t="shared" si="90"/>
        <v>257333.68975340278</v>
      </c>
      <c r="J263" s="340">
        <f t="shared" si="91"/>
        <v>1.5707924407899163</v>
      </c>
      <c r="K263" s="348">
        <f t="shared" si="107"/>
        <v>25.509201884393871</v>
      </c>
      <c r="L263" s="349">
        <f t="shared" si="108"/>
        <v>1.5315847392035427</v>
      </c>
      <c r="M263" s="337">
        <f t="shared" si="92"/>
        <v>1.0016663922872786</v>
      </c>
      <c r="N263" s="340">
        <f t="shared" si="93"/>
        <v>5.7690233495020171E-2</v>
      </c>
      <c r="O263" s="341">
        <f t="shared" si="94"/>
        <v>1.006768625326312</v>
      </c>
      <c r="P263" s="342">
        <f t="shared" si="95"/>
        <v>0.13935357359873199</v>
      </c>
      <c r="Q263" s="343">
        <f t="shared" si="96"/>
        <v>-8.7323857109367324</v>
      </c>
      <c r="R263" s="344">
        <f t="shared" si="97"/>
        <v>-98.022183988640307</v>
      </c>
      <c r="S263" s="346">
        <f t="shared" si="98"/>
        <v>81.977816011359693</v>
      </c>
      <c r="U263" s="319">
        <f t="shared" si="104"/>
        <v>16407</v>
      </c>
      <c r="V263" s="319">
        <f t="shared" si="105"/>
        <v>269189649</v>
      </c>
      <c r="X263" s="345">
        <f t="shared" si="99"/>
        <v>17.616766822672613</v>
      </c>
      <c r="Y263" s="346">
        <f t="shared" si="100"/>
        <v>-5.5518427300404136</v>
      </c>
      <c r="AA263" s="345">
        <f t="shared" si="101"/>
        <v>22.524797451044911</v>
      </c>
      <c r="AB263" s="346">
        <f t="shared" si="102"/>
        <v>-92.470341258599916</v>
      </c>
      <c r="AD263">
        <f t="shared" si="106"/>
        <v>0</v>
      </c>
      <c r="AE263">
        <f t="shared" si="109"/>
        <v>0</v>
      </c>
    </row>
    <row r="264" spans="1:31" x14ac:dyDescent="0.2">
      <c r="A264" s="347">
        <v>16501.5</v>
      </c>
      <c r="B264" s="364">
        <f t="shared" si="103"/>
        <v>16.5015</v>
      </c>
      <c r="C264" s="337">
        <f t="shared" si="84"/>
        <v>18.286796146724519</v>
      </c>
      <c r="D264" s="338">
        <f t="shared" si="85"/>
        <v>1.5160847710559047</v>
      </c>
      <c r="E264" s="338">
        <f t="shared" si="86"/>
        <v>1.0008596267959833</v>
      </c>
      <c r="F264" s="339">
        <f t="shared" si="87"/>
        <v>4.1449039767879885E-2</v>
      </c>
      <c r="G264" s="338">
        <f t="shared" si="88"/>
        <v>1</v>
      </c>
      <c r="H264" s="339">
        <f t="shared" si="89"/>
        <v>0</v>
      </c>
      <c r="I264" s="337">
        <f t="shared" si="90"/>
        <v>258815.86404982081</v>
      </c>
      <c r="J264" s="340">
        <f t="shared" si="91"/>
        <v>1.5707924630441035</v>
      </c>
      <c r="K264" s="348">
        <f t="shared" si="107"/>
        <v>25.655903025604132</v>
      </c>
      <c r="L264" s="349">
        <f t="shared" si="108"/>
        <v>1.5318090661106893</v>
      </c>
      <c r="M264" s="337">
        <f t="shared" si="92"/>
        <v>1.0016856273326777</v>
      </c>
      <c r="N264" s="340">
        <f t="shared" si="93"/>
        <v>5.8021770924206545E-2</v>
      </c>
      <c r="O264" s="341">
        <f t="shared" si="94"/>
        <v>1.0068466069136739</v>
      </c>
      <c r="P264" s="342">
        <f t="shared" si="95"/>
        <v>0.14015056830026826</v>
      </c>
      <c r="Q264" s="343">
        <f t="shared" si="96"/>
        <v>-8.7829512036589925</v>
      </c>
      <c r="R264" s="344">
        <f t="shared" si="97"/>
        <v>-98.078426603227641</v>
      </c>
      <c r="S264" s="346">
        <f t="shared" si="98"/>
        <v>81.921573396772359</v>
      </c>
      <c r="U264" s="319">
        <f t="shared" si="104"/>
        <v>16501.5</v>
      </c>
      <c r="V264" s="319">
        <f t="shared" si="105"/>
        <v>272299502.25</v>
      </c>
      <c r="X264" s="345">
        <f t="shared" si="99"/>
        <v>17.616523805495955</v>
      </c>
      <c r="Y264" s="346">
        <f t="shared" si="100"/>
        <v>-5.557986715550701</v>
      </c>
      <c r="AA264" s="345">
        <f t="shared" si="101"/>
        <v>22.474474975499309</v>
      </c>
      <c r="AB264" s="346">
        <f t="shared" si="102"/>
        <v>-92.520439887676929</v>
      </c>
      <c r="AD264">
        <f t="shared" si="106"/>
        <v>0</v>
      </c>
      <c r="AE264">
        <f t="shared" si="109"/>
        <v>0</v>
      </c>
    </row>
    <row r="265" spans="1:31" x14ac:dyDescent="0.2">
      <c r="A265" s="347">
        <v>16596</v>
      </c>
      <c r="B265" s="364">
        <f t="shared" si="103"/>
        <v>16.596</v>
      </c>
      <c r="C265" s="337">
        <f t="shared" si="84"/>
        <v>18.391207820924805</v>
      </c>
      <c r="D265" s="338">
        <f t="shared" si="85"/>
        <v>1.5163956904528222</v>
      </c>
      <c r="E265" s="338">
        <f t="shared" si="86"/>
        <v>1.0008694964382123</v>
      </c>
      <c r="F265" s="339">
        <f t="shared" si="87"/>
        <v>4.1686134032029899E-2</v>
      </c>
      <c r="G265" s="338">
        <f t="shared" si="88"/>
        <v>1</v>
      </c>
      <c r="H265" s="339">
        <f t="shared" si="89"/>
        <v>0</v>
      </c>
      <c r="I265" s="337">
        <f t="shared" si="90"/>
        <v>260298.03834623896</v>
      </c>
      <c r="J265" s="340">
        <f t="shared" si="91"/>
        <v>1.5707924850448536</v>
      </c>
      <c r="K265" s="348">
        <f t="shared" si="107"/>
        <v>25.802605443204307</v>
      </c>
      <c r="L265" s="349">
        <f t="shared" si="108"/>
        <v>1.5320308421779945</v>
      </c>
      <c r="M265" s="337">
        <f t="shared" si="92"/>
        <v>1.0017049724761875</v>
      </c>
      <c r="N265" s="340">
        <f t="shared" si="93"/>
        <v>5.8353295584386615E-2</v>
      </c>
      <c r="O265" s="341">
        <f t="shared" si="94"/>
        <v>1.0069250314692226</v>
      </c>
      <c r="P265" s="342">
        <f t="shared" si="95"/>
        <v>0.14094746673548578</v>
      </c>
      <c r="Q265" s="343">
        <f t="shared" si="96"/>
        <v>-8.8332373184976056</v>
      </c>
      <c r="R265" s="344">
        <f t="shared" si="97"/>
        <v>-98.134604780589328</v>
      </c>
      <c r="S265" s="346">
        <f t="shared" si="98"/>
        <v>81.865395219410672</v>
      </c>
      <c r="U265" s="319">
        <f t="shared" si="104"/>
        <v>16596</v>
      </c>
      <c r="V265" s="319">
        <f t="shared" si="105"/>
        <v>275427216</v>
      </c>
      <c r="X265" s="345">
        <f t="shared" si="99"/>
        <v>17.616281133913446</v>
      </c>
      <c r="Y265" s="346">
        <f t="shared" si="100"/>
        <v>-5.5642761072872489</v>
      </c>
      <c r="AA265" s="345">
        <f t="shared" si="101"/>
        <v>22.424431532243204</v>
      </c>
      <c r="AB265" s="346">
        <f t="shared" si="102"/>
        <v>-92.570328673302072</v>
      </c>
      <c r="AD265">
        <f t="shared" si="106"/>
        <v>0</v>
      </c>
      <c r="AE265">
        <f t="shared" si="109"/>
        <v>0</v>
      </c>
    </row>
    <row r="266" spans="1:31" x14ac:dyDescent="0.2">
      <c r="A266" s="347">
        <v>16692.5</v>
      </c>
      <c r="B266" s="364">
        <f t="shared" si="103"/>
        <v>16.692499999999999</v>
      </c>
      <c r="C266" s="337">
        <f t="shared" si="84"/>
        <v>18.497831079809259</v>
      </c>
      <c r="D266" s="338">
        <f t="shared" si="85"/>
        <v>1.5167095679175262</v>
      </c>
      <c r="E266" s="338">
        <f t="shared" si="86"/>
        <v>1.0008796330218808</v>
      </c>
      <c r="F266" s="339">
        <f t="shared" si="87"/>
        <v>4.1928241324808158E-2</v>
      </c>
      <c r="G266" s="338">
        <f t="shared" si="88"/>
        <v>1</v>
      </c>
      <c r="H266" s="339">
        <f t="shared" si="89"/>
        <v>0</v>
      </c>
      <c r="I266" s="337">
        <f t="shared" si="90"/>
        <v>261811.58141083538</v>
      </c>
      <c r="J266" s="340">
        <f t="shared" si="91"/>
        <v>1.570792507254162</v>
      </c>
      <c r="K266" s="348">
        <f t="shared" si="107"/>
        <v>25.95241396857655</v>
      </c>
      <c r="L266" s="349">
        <f t="shared" si="108"/>
        <v>1.5322547244616713</v>
      </c>
      <c r="M266" s="337">
        <f t="shared" si="92"/>
        <v>1.0017248406520409</v>
      </c>
      <c r="N266" s="340">
        <f t="shared" si="93"/>
        <v>5.8691823387295748E-2</v>
      </c>
      <c r="O266" s="341">
        <f t="shared" si="94"/>
        <v>1.0070055728473934</v>
      </c>
      <c r="P266" s="342">
        <f t="shared" si="95"/>
        <v>0.14176113085853506</v>
      </c>
      <c r="Q266" s="343">
        <f t="shared" si="96"/>
        <v>-8.8843027106922818</v>
      </c>
      <c r="R266" s="344">
        <f t="shared" si="97"/>
        <v>-98.191906405684719</v>
      </c>
      <c r="S266" s="346">
        <f t="shared" si="98"/>
        <v>81.808093594315281</v>
      </c>
      <c r="U266" s="319">
        <f t="shared" si="104"/>
        <v>16692.5</v>
      </c>
      <c r="V266" s="319">
        <f t="shared" si="105"/>
        <v>278639556.25</v>
      </c>
      <c r="X266" s="345">
        <f t="shared" si="99"/>
        <v>17.616033652782676</v>
      </c>
      <c r="Y266" s="346">
        <f t="shared" si="100"/>
        <v>-5.5708460841864857</v>
      </c>
      <c r="AA266" s="345">
        <f t="shared" si="101"/>
        <v>22.373613621179295</v>
      </c>
      <c r="AB266" s="346">
        <f t="shared" si="102"/>
        <v>-92.621060321498248</v>
      </c>
      <c r="AD266">
        <f t="shared" si="106"/>
        <v>0</v>
      </c>
      <c r="AE266">
        <f t="shared" si="109"/>
        <v>0</v>
      </c>
    </row>
    <row r="267" spans="1:31" x14ac:dyDescent="0.2">
      <c r="A267" s="347">
        <v>16789</v>
      </c>
      <c r="B267" s="364">
        <f t="shared" si="103"/>
        <v>16.789000000000001</v>
      </c>
      <c r="C267" s="337">
        <f t="shared" si="84"/>
        <v>18.604456140194142</v>
      </c>
      <c r="D267" s="338">
        <f t="shared" si="85"/>
        <v>1.517019847650404</v>
      </c>
      <c r="E267" s="338">
        <f t="shared" si="86"/>
        <v>1.0008898282718606</v>
      </c>
      <c r="F267" s="339">
        <f t="shared" si="87"/>
        <v>4.2170343699477385E-2</v>
      </c>
      <c r="G267" s="338">
        <f t="shared" si="88"/>
        <v>1</v>
      </c>
      <c r="H267" s="339">
        <f t="shared" si="89"/>
        <v>0</v>
      </c>
      <c r="I267" s="337">
        <f t="shared" si="90"/>
        <v>263325.12447543192</v>
      </c>
      <c r="J267" s="340">
        <f t="shared" si="91"/>
        <v>1.5707925292081604</v>
      </c>
      <c r="K267" s="348">
        <f t="shared" si="107"/>
        <v>26.102223779837193</v>
      </c>
      <c r="L267" s="349">
        <f t="shared" si="108"/>
        <v>1.5324760368785391</v>
      </c>
      <c r="M267" s="337">
        <f t="shared" si="92"/>
        <v>1.0017448236220747</v>
      </c>
      <c r="N267" s="340">
        <f t="shared" si="93"/>
        <v>5.9030337722981441E-2</v>
      </c>
      <c r="O267" s="341">
        <f t="shared" si="94"/>
        <v>1.0070865759668404</v>
      </c>
      <c r="P267" s="342">
        <f t="shared" si="95"/>
        <v>0.14257469349552454</v>
      </c>
      <c r="Q267" s="343">
        <f t="shared" si="96"/>
        <v>-8.9350834710632512</v>
      </c>
      <c r="R267" s="344">
        <f t="shared" si="97"/>
        <v>-98.249142819273445</v>
      </c>
      <c r="S267" s="346">
        <f t="shared" si="98"/>
        <v>81.750857180726555</v>
      </c>
      <c r="U267" s="319">
        <f t="shared" si="104"/>
        <v>16789</v>
      </c>
      <c r="V267" s="319">
        <f t="shared" si="105"/>
        <v>281870521</v>
      </c>
      <c r="X267" s="345">
        <f t="shared" si="99"/>
        <v>17.615786471488097</v>
      </c>
      <c r="Y267" s="346">
        <f t="shared" si="100"/>
        <v>-5.5775625173647203</v>
      </c>
      <c r="AA267" s="345">
        <f t="shared" si="101"/>
        <v>22.323080042102905</v>
      </c>
      <c r="AB267" s="346">
        <f t="shared" si="102"/>
        <v>-92.671580301908705</v>
      </c>
      <c r="AD267">
        <f t="shared" si="106"/>
        <v>0</v>
      </c>
      <c r="AE267">
        <f t="shared" si="109"/>
        <v>0</v>
      </c>
    </row>
    <row r="268" spans="1:31" x14ac:dyDescent="0.2">
      <c r="A268" s="347">
        <v>16885.5</v>
      </c>
      <c r="B268" s="364">
        <f t="shared" si="103"/>
        <v>16.8855</v>
      </c>
      <c r="C268" s="337">
        <f t="shared" si="84"/>
        <v>18.711082971281929</v>
      </c>
      <c r="D268" s="338">
        <f t="shared" si="85"/>
        <v>1.5173265910972149</v>
      </c>
      <c r="E268" s="338">
        <f t="shared" si="86"/>
        <v>1.000900082186359</v>
      </c>
      <c r="F268" s="339">
        <f t="shared" si="87"/>
        <v>4.241244112780735E-2</v>
      </c>
      <c r="G268" s="338">
        <f t="shared" si="88"/>
        <v>1</v>
      </c>
      <c r="H268" s="339">
        <f t="shared" si="89"/>
        <v>0</v>
      </c>
      <c r="I268" s="337">
        <f t="shared" si="90"/>
        <v>264838.66754002863</v>
      </c>
      <c r="J268" s="340">
        <f t="shared" si="91"/>
        <v>1.5707925509112264</v>
      </c>
      <c r="K268" s="348">
        <f t="shared" si="107"/>
        <v>26.252034854972084</v>
      </c>
      <c r="L268" s="349">
        <f t="shared" si="108"/>
        <v>1.5326948234026925</v>
      </c>
      <c r="M268" s="337">
        <f t="shared" si="92"/>
        <v>1.0017649213794195</v>
      </c>
      <c r="N268" s="340">
        <f t="shared" si="93"/>
        <v>5.9368838514669897E-2</v>
      </c>
      <c r="O268" s="341">
        <f t="shared" si="94"/>
        <v>1.0071680407382828</v>
      </c>
      <c r="P268" s="342">
        <f t="shared" si="95"/>
        <v>0.14338815409052211</v>
      </c>
      <c r="Q268" s="343">
        <f t="shared" si="96"/>
        <v>-8.9855828969832956</v>
      </c>
      <c r="R268" s="344">
        <f t="shared" si="97"/>
        <v>-98.306314988024923</v>
      </c>
      <c r="S268" s="346">
        <f t="shared" si="98"/>
        <v>81.693685011975077</v>
      </c>
      <c r="U268" s="319">
        <f t="shared" si="104"/>
        <v>16885.5</v>
      </c>
      <c r="V268" s="319">
        <f t="shared" si="105"/>
        <v>285120110.25</v>
      </c>
      <c r="X268" s="345">
        <f t="shared" si="99"/>
        <v>17.615539560739329</v>
      </c>
      <c r="Y268" s="346">
        <f t="shared" si="100"/>
        <v>-5.5844228831438931</v>
      </c>
      <c r="AA268" s="345">
        <f t="shared" si="101"/>
        <v>22.272827526931632</v>
      </c>
      <c r="AB268" s="346">
        <f t="shared" si="102"/>
        <v>-92.72189210488105</v>
      </c>
      <c r="AD268">
        <f t="shared" si="106"/>
        <v>0</v>
      </c>
      <c r="AE268">
        <f t="shared" si="109"/>
        <v>0</v>
      </c>
    </row>
    <row r="269" spans="1:31" x14ac:dyDescent="0.2">
      <c r="A269" s="347">
        <v>16982</v>
      </c>
      <c r="B269" s="364">
        <f t="shared" si="103"/>
        <v>16.981999999999999</v>
      </c>
      <c r="C269" s="337">
        <f t="shared" ref="C269:C332" si="110">SQRT(1+(A269/pole1)^2)</f>
        <v>18.817711542972603</v>
      </c>
      <c r="D269" s="338">
        <f t="shared" ref="D269:D332" si="111">ATAN(A269/pole1)</f>
        <v>1.5176298583137111</v>
      </c>
      <c r="E269" s="338">
        <f t="shared" ref="E269:E332" si="112">SQRT(1+(A269/Zero1)^2)</f>
        <v>1.0009103947635731</v>
      </c>
      <c r="F269" s="339">
        <f t="shared" ref="F269:F332" si="113">ATAN(A269/Zero1)</f>
        <v>4.2654533581571293E-2</v>
      </c>
      <c r="G269" s="338">
        <f t="shared" ref="G269:G332" si="114">IF(VIN_nom&gt;Vout, 1, SQRT(1+(A269/z_RHP)^2))</f>
        <v>1</v>
      </c>
      <c r="H269" s="339">
        <f t="shared" ref="H269:H332" si="115">IF(VIN_nom&gt;Vout, 0, -ATAN(A269/z_RHP))</f>
        <v>0</v>
      </c>
      <c r="I269" s="337">
        <f t="shared" ref="I269:I332" si="116">SQRT(1+(A269/Pole2)^2)</f>
        <v>266352.2106046254</v>
      </c>
      <c r="J269" s="340">
        <f t="shared" ref="J269:J332" si="117">ATAN(A269/Pole2)</f>
        <v>1.5707925723676375</v>
      </c>
      <c r="K269" s="348">
        <f t="shared" si="107"/>
        <v>26.401847172466564</v>
      </c>
      <c r="L269" s="349">
        <f t="shared" si="108"/>
        <v>1.5329111270111155</v>
      </c>
      <c r="M269" s="337">
        <f t="shared" ref="M269:M332" si="118">SQRT(1+(A269/pole4)^2)</f>
        <v>1.0017851339171666</v>
      </c>
      <c r="N269" s="340">
        <f t="shared" ref="N269:N332" si="119">ATAN(A269/pole4)</f>
        <v>5.9707325685605911E-2</v>
      </c>
      <c r="O269" s="341">
        <f t="shared" ref="O269:O332" si="120">SQRT((1-(V269/pterm2))^2+(A269/pterm1)^2)</f>
        <v>1.0072499670719619</v>
      </c>
      <c r="P269" s="342">
        <f t="shared" ref="P269:P332" si="121">IF((ATAN((A269/pterm1)/(1-A269^2/pterm2))&gt;0),ATAN((A269/pterm1)/(1-A269^2/pterm2)),PI()+ATAN((A269/pterm1)/(1-A269^2/pterm2)))</f>
        <v>0.14420151208811322</v>
      </c>
      <c r="Q269" s="343">
        <f t="shared" ref="Q269:Q332" si="122">20*LOG10(((E269*K269*G269)/(C269*I269*O269*M269))*Adc)</f>
        <v>-9.035804229727221</v>
      </c>
      <c r="R269" s="344">
        <f t="shared" ref="R269:R332" si="123">((F269+L269+H269)-(D269+J269+P269+N269))*radconv</f>
        <v>-98.363423856122324</v>
      </c>
      <c r="S269" s="346">
        <f t="shared" ref="S269:S332" si="124">IF(R269&gt;0,R269,R269+180)</f>
        <v>81.636576143877676</v>
      </c>
      <c r="U269" s="319">
        <f t="shared" si="104"/>
        <v>16982</v>
      </c>
      <c r="V269" s="319">
        <f t="shared" si="105"/>
        <v>288388324</v>
      </c>
      <c r="X269" s="345">
        <f t="shared" ref="X269:X332" si="125">20*LOG10((K269/(I269*M269))*AEA)</f>
        <v>17.615292892078674</v>
      </c>
      <c r="Y269" s="346">
        <f t="shared" ref="Y269:Y332" si="126">(L269-(J269+N269))*radconv</f>
        <v>-5.591424714971569</v>
      </c>
      <c r="AA269" s="345">
        <f t="shared" ref="AA269:AA332" si="127">20*LOG10((E269*G269/(C269*O269))*Acs*Am)</f>
        <v>22.222852862848363</v>
      </c>
      <c r="AB269" s="346">
        <f t="shared" ref="AB269:AB332" si="128">(F269+H269-(D269+P269))*radconv</f>
        <v>-92.771999141150758</v>
      </c>
      <c r="AD269">
        <f t="shared" si="106"/>
        <v>0</v>
      </c>
      <c r="AE269">
        <f t="shared" si="109"/>
        <v>0</v>
      </c>
    </row>
    <row r="270" spans="1:31" x14ac:dyDescent="0.2">
      <c r="A270" s="347">
        <v>17081</v>
      </c>
      <c r="B270" s="364">
        <f t="shared" ref="B270:B333" si="129">A270/1000</f>
        <v>17.081</v>
      </c>
      <c r="C270" s="337">
        <f t="shared" si="110"/>
        <v>18.927104290885755</v>
      </c>
      <c r="D270" s="338">
        <f t="shared" si="111"/>
        <v>1.5179374312339349</v>
      </c>
      <c r="E270" s="338">
        <f t="shared" si="112"/>
        <v>1.0009210354661404</v>
      </c>
      <c r="F270" s="339">
        <f t="shared" si="113"/>
        <v>4.290289266143197E-2</v>
      </c>
      <c r="G270" s="338">
        <f t="shared" si="114"/>
        <v>1</v>
      </c>
      <c r="H270" s="339">
        <f t="shared" si="115"/>
        <v>0</v>
      </c>
      <c r="I270" s="337">
        <f t="shared" si="116"/>
        <v>267904.96462944505</v>
      </c>
      <c r="J270" s="340">
        <f t="shared" si="117"/>
        <v>1.5707925941279735</v>
      </c>
      <c r="K270" s="348">
        <f t="shared" si="107"/>
        <v>26.555541907098341</v>
      </c>
      <c r="L270" s="349">
        <f t="shared" si="108"/>
        <v>1.5331304981297009</v>
      </c>
      <c r="M270" s="337">
        <f t="shared" si="118"/>
        <v>1.0018059893678042</v>
      </c>
      <c r="N270" s="340">
        <f t="shared" si="119"/>
        <v>6.0054567719174584E-2</v>
      </c>
      <c r="O270" s="341">
        <f t="shared" si="120"/>
        <v>1.0073344954084165</v>
      </c>
      <c r="P270" s="342">
        <f t="shared" si="121"/>
        <v>0.1450358343360176</v>
      </c>
      <c r="Q270" s="343">
        <f t="shared" si="122"/>
        <v>-9.0870409796033353</v>
      </c>
      <c r="R270" s="344">
        <f t="shared" si="123"/>
        <v>-98.42194741341595</v>
      </c>
      <c r="S270" s="346">
        <f t="shared" si="124"/>
        <v>81.57805258658405</v>
      </c>
      <c r="U270" s="319">
        <f t="shared" ref="U270:U333" si="130">IF(Q270&lt;0,A270,1000000000)</f>
        <v>17081</v>
      </c>
      <c r="V270" s="319">
        <f t="shared" ref="V270:V333" si="131">A270^2</f>
        <v>291760561</v>
      </c>
      <c r="X270" s="345">
        <f t="shared" si="125"/>
        <v>17.615040055635284</v>
      </c>
      <c r="Y270" s="346">
        <f t="shared" si="126"/>
        <v>-5.5987524255063699</v>
      </c>
      <c r="AA270" s="345">
        <f t="shared" si="127"/>
        <v>22.171868949415639</v>
      </c>
      <c r="AB270" s="346">
        <f t="shared" si="128"/>
        <v>-92.823194987909616</v>
      </c>
      <c r="AD270">
        <f t="shared" ref="AD270:AD333" si="132">SUM((Q271&lt;0)*(Q270&gt;0))*A270</f>
        <v>0</v>
      </c>
      <c r="AE270">
        <f t="shared" si="109"/>
        <v>0</v>
      </c>
    </row>
    <row r="271" spans="1:31" x14ac:dyDescent="0.2">
      <c r="A271" s="347">
        <v>17180</v>
      </c>
      <c r="B271" s="364">
        <f t="shared" si="129"/>
        <v>17.18</v>
      </c>
      <c r="C271" s="337">
        <f t="shared" si="110"/>
        <v>19.0364988087453</v>
      </c>
      <c r="D271" s="338">
        <f t="shared" si="111"/>
        <v>1.5182414692057942</v>
      </c>
      <c r="E271" s="338">
        <f t="shared" si="112"/>
        <v>1.0009317379064369</v>
      </c>
      <c r="F271" s="339">
        <f t="shared" si="113"/>
        <v>4.3151246445463538E-2</v>
      </c>
      <c r="G271" s="338">
        <f t="shared" si="114"/>
        <v>1</v>
      </c>
      <c r="H271" s="339">
        <f t="shared" si="115"/>
        <v>0</v>
      </c>
      <c r="I271" s="337">
        <f t="shared" si="116"/>
        <v>269457.71865426481</v>
      </c>
      <c r="J271" s="340">
        <f t="shared" si="117"/>
        <v>1.5707926156375209</v>
      </c>
      <c r="K271" s="348">
        <f t="shared" si="107"/>
        <v>26.709237904973094</v>
      </c>
      <c r="L271" s="349">
        <f t="shared" si="108"/>
        <v>1.5333473445543906</v>
      </c>
      <c r="M271" s="337">
        <f t="shared" si="118"/>
        <v>1.0018269656081946</v>
      </c>
      <c r="N271" s="340">
        <f t="shared" si="119"/>
        <v>6.0401795253510818E-2</v>
      </c>
      <c r="O271" s="341">
        <f t="shared" si="120"/>
        <v>1.0074195093391012</v>
      </c>
      <c r="P271" s="342">
        <f t="shared" si="121"/>
        <v>0.14587004741913784</v>
      </c>
      <c r="Q271" s="343">
        <f t="shared" si="122"/>
        <v>-9.1379917760625169</v>
      </c>
      <c r="R271" s="344">
        <f t="shared" si="123"/>
        <v>-98.480406291025588</v>
      </c>
      <c r="S271" s="346">
        <f t="shared" si="124"/>
        <v>81.519593708974412</v>
      </c>
      <c r="U271" s="319">
        <f t="shared" si="130"/>
        <v>17180</v>
      </c>
      <c r="V271" s="319">
        <f t="shared" si="131"/>
        <v>295152400</v>
      </c>
      <c r="X271" s="345">
        <f t="shared" si="125"/>
        <v>17.614787415876684</v>
      </c>
      <c r="Y271" s="346">
        <f t="shared" si="126"/>
        <v>-5.6062239452321716</v>
      </c>
      <c r="AA271" s="345">
        <f t="shared" si="127"/>
        <v>22.121170792715056</v>
      </c>
      <c r="AB271" s="346">
        <f t="shared" si="128"/>
        <v>-92.8741823457934</v>
      </c>
      <c r="AD271">
        <f t="shared" si="132"/>
        <v>0</v>
      </c>
      <c r="AE271">
        <f t="shared" si="109"/>
        <v>0</v>
      </c>
    </row>
    <row r="272" spans="1:31" x14ac:dyDescent="0.2">
      <c r="A272" s="347">
        <v>17279</v>
      </c>
      <c r="B272" s="364">
        <f t="shared" si="129"/>
        <v>17.279</v>
      </c>
      <c r="C272" s="337">
        <f t="shared" si="110"/>
        <v>19.145895066212251</v>
      </c>
      <c r="D272" s="338">
        <f t="shared" si="111"/>
        <v>1.5185420327668007</v>
      </c>
      <c r="E272" s="338">
        <f t="shared" si="112"/>
        <v>1.000942502082482</v>
      </c>
      <c r="F272" s="339">
        <f t="shared" si="113"/>
        <v>4.339959490319964E-2</v>
      </c>
      <c r="G272" s="338">
        <f t="shared" si="114"/>
        <v>1</v>
      </c>
      <c r="H272" s="339">
        <f t="shared" si="115"/>
        <v>0</v>
      </c>
      <c r="I272" s="337">
        <f t="shared" si="116"/>
        <v>271010.47267908475</v>
      </c>
      <c r="J272" s="340">
        <f t="shared" si="117"/>
        <v>1.5707926369005907</v>
      </c>
      <c r="K272" s="348">
        <f t="shared" si="107"/>
        <v>26.862935144407931</v>
      </c>
      <c r="L272" s="349">
        <f t="shared" si="108"/>
        <v>1.5335617095999923</v>
      </c>
      <c r="M272" s="337">
        <f t="shared" si="118"/>
        <v>1.0018480626307509</v>
      </c>
      <c r="N272" s="340">
        <f t="shared" si="119"/>
        <v>6.0749008205799641E-2</v>
      </c>
      <c r="O272" s="341">
        <f t="shared" si="120"/>
        <v>1.0075050087655331</v>
      </c>
      <c r="P272" s="342">
        <f t="shared" si="121"/>
        <v>0.14670415073948032</v>
      </c>
      <c r="Q272" s="343">
        <f t="shared" si="122"/>
        <v>-9.1886599430218858</v>
      </c>
      <c r="R272" s="344">
        <f t="shared" si="123"/>
        <v>-98.538801438724477</v>
      </c>
      <c r="S272" s="346">
        <f t="shared" si="124"/>
        <v>81.461198561275523</v>
      </c>
      <c r="U272" s="319">
        <f t="shared" si="130"/>
        <v>17279</v>
      </c>
      <c r="V272" s="319">
        <f t="shared" si="131"/>
        <v>298563841</v>
      </c>
      <c r="X272" s="345">
        <f t="shared" si="125"/>
        <v>17.61453494462647</v>
      </c>
      <c r="Y272" s="346">
        <f t="shared" si="126"/>
        <v>-5.6138367878953455</v>
      </c>
      <c r="AA272" s="345">
        <f t="shared" si="127"/>
        <v>22.070755097005904</v>
      </c>
      <c r="AB272" s="346">
        <f t="shared" si="128"/>
        <v>-92.924964650829139</v>
      </c>
      <c r="AD272">
        <f t="shared" si="132"/>
        <v>0</v>
      </c>
      <c r="AE272">
        <f t="shared" si="109"/>
        <v>0</v>
      </c>
    </row>
    <row r="273" spans="1:31" x14ac:dyDescent="0.2">
      <c r="A273" s="347">
        <v>17378</v>
      </c>
      <c r="B273" s="364">
        <f t="shared" si="129"/>
        <v>17.378</v>
      </c>
      <c r="C273" s="337">
        <f t="shared" si="110"/>
        <v>19.255293033636594</v>
      </c>
      <c r="D273" s="338">
        <f t="shared" si="111"/>
        <v>1.5188391810812463</v>
      </c>
      <c r="E273" s="338">
        <f t="shared" si="112"/>
        <v>1.0009533279922844</v>
      </c>
      <c r="F273" s="339">
        <f t="shared" si="113"/>
        <v>4.3647938004177857E-2</v>
      </c>
      <c r="G273" s="338">
        <f t="shared" si="114"/>
        <v>1</v>
      </c>
      <c r="H273" s="339">
        <f t="shared" si="115"/>
        <v>0</v>
      </c>
      <c r="I273" s="337">
        <f t="shared" si="116"/>
        <v>272563.22670390474</v>
      </c>
      <c r="J273" s="340">
        <f t="shared" si="117"/>
        <v>1.5707926579213949</v>
      </c>
      <c r="K273" s="348">
        <f t="shared" si="107"/>
        <v>27.016633604213204</v>
      </c>
      <c r="L273" s="349">
        <f t="shared" si="108"/>
        <v>1.5337736355965605</v>
      </c>
      <c r="M273" s="337">
        <f t="shared" si="118"/>
        <v>1.0018692804278428</v>
      </c>
      <c r="N273" s="340">
        <f t="shared" si="119"/>
        <v>6.1096206493247124E-2</v>
      </c>
      <c r="O273" s="341">
        <f t="shared" si="120"/>
        <v>1.0075909935887024</v>
      </c>
      <c r="P273" s="342">
        <f t="shared" si="121"/>
        <v>0.1475381436996365</v>
      </c>
      <c r="Q273" s="343">
        <f t="shared" si="122"/>
        <v>-9.2390487476876206</v>
      </c>
      <c r="R273" s="344">
        <f t="shared" si="123"/>
        <v>-98.597133784057434</v>
      </c>
      <c r="S273" s="346">
        <f t="shared" si="124"/>
        <v>81.402866215942566</v>
      </c>
      <c r="U273" s="319">
        <f t="shared" si="130"/>
        <v>17378</v>
      </c>
      <c r="V273" s="319">
        <f t="shared" si="131"/>
        <v>301994884</v>
      </c>
      <c r="X273" s="345">
        <f t="shared" si="125"/>
        <v>17.614282614511907</v>
      </c>
      <c r="Y273" s="346">
        <f t="shared" si="126"/>
        <v>-5.621588523660022</v>
      </c>
      <c r="AA273" s="345">
        <f t="shared" si="127"/>
        <v>22.020618622454727</v>
      </c>
      <c r="AB273" s="346">
        <f t="shared" si="128"/>
        <v>-92.975545260397411</v>
      </c>
      <c r="AD273">
        <f t="shared" si="132"/>
        <v>0</v>
      </c>
      <c r="AE273">
        <f t="shared" si="109"/>
        <v>0</v>
      </c>
    </row>
    <row r="274" spans="1:31" x14ac:dyDescent="0.2">
      <c r="A274" s="347">
        <v>17479.25</v>
      </c>
      <c r="B274" s="364">
        <f t="shared" si="129"/>
        <v>17.47925</v>
      </c>
      <c r="C274" s="337">
        <f t="shared" si="110"/>
        <v>19.367179056996289</v>
      </c>
      <c r="D274" s="338">
        <f t="shared" si="111"/>
        <v>1.519139610470607</v>
      </c>
      <c r="E274" s="338">
        <f t="shared" si="112"/>
        <v>1.0009644637976642</v>
      </c>
      <c r="F274" s="339">
        <f t="shared" si="113"/>
        <v>4.3901919694040524E-2</v>
      </c>
      <c r="G274" s="338">
        <f t="shared" si="114"/>
        <v>1</v>
      </c>
      <c r="H274" s="339">
        <f t="shared" si="115"/>
        <v>0</v>
      </c>
      <c r="I274" s="337">
        <f t="shared" si="116"/>
        <v>274151.27059292537</v>
      </c>
      <c r="J274" s="340">
        <f t="shared" si="117"/>
        <v>1.5707926791736477</v>
      </c>
      <c r="K274" s="348">
        <f t="shared" si="107"/>
        <v>27.173826451540126</v>
      </c>
      <c r="L274" s="349">
        <f t="shared" si="108"/>
        <v>1.5339878983776085</v>
      </c>
      <c r="M274" s="337">
        <f t="shared" si="118"/>
        <v>1.00189110536264</v>
      </c>
      <c r="N274" s="340">
        <f t="shared" si="119"/>
        <v>6.1451280396032884E-2</v>
      </c>
      <c r="O274" s="341">
        <f t="shared" si="120"/>
        <v>1.0076794345783733</v>
      </c>
      <c r="P274" s="342">
        <f t="shared" si="121"/>
        <v>0.1483909762722892</v>
      </c>
      <c r="Q274" s="343">
        <f t="shared" si="122"/>
        <v>-9.2902971412440074</v>
      </c>
      <c r="R274" s="344">
        <f t="shared" si="123"/>
        <v>-98.656727848967606</v>
      </c>
      <c r="S274" s="346">
        <f t="shared" si="124"/>
        <v>81.343272151032394</v>
      </c>
      <c r="U274" s="319">
        <f t="shared" si="130"/>
        <v>17479.25</v>
      </c>
      <c r="V274" s="319">
        <f t="shared" si="131"/>
        <v>305524180.5625</v>
      </c>
      <c r="X274" s="345">
        <f t="shared" si="125"/>
        <v>17.614024667891798</v>
      </c>
      <c r="Y274" s="346">
        <f t="shared" si="126"/>
        <v>-5.6296576243177148</v>
      </c>
      <c r="AA274" s="345">
        <f t="shared" si="127"/>
        <v>21.969628175518455</v>
      </c>
      <c r="AB274" s="346">
        <f t="shared" si="128"/>
        <v>-93.027070224649904</v>
      </c>
      <c r="AD274">
        <f t="shared" si="132"/>
        <v>0</v>
      </c>
      <c r="AE274">
        <f t="shared" si="109"/>
        <v>0</v>
      </c>
    </row>
    <row r="275" spans="1:31" x14ac:dyDescent="0.2">
      <c r="A275" s="347">
        <v>17580.5</v>
      </c>
      <c r="B275" s="364">
        <f t="shared" si="129"/>
        <v>17.580500000000001</v>
      </c>
      <c r="C275" s="337">
        <f t="shared" si="110"/>
        <v>19.479066808314055</v>
      </c>
      <c r="D275" s="338">
        <f t="shared" si="111"/>
        <v>1.5194365885539514</v>
      </c>
      <c r="E275" s="338">
        <f t="shared" si="112"/>
        <v>1.0009756641705185</v>
      </c>
      <c r="F275" s="339">
        <f t="shared" si="113"/>
        <v>4.4155895716452294E-2</v>
      </c>
      <c r="G275" s="338">
        <f t="shared" si="114"/>
        <v>1</v>
      </c>
      <c r="H275" s="339">
        <f t="shared" si="115"/>
        <v>0</v>
      </c>
      <c r="I275" s="337">
        <f t="shared" si="116"/>
        <v>275739.31448194606</v>
      </c>
      <c r="J275" s="340">
        <f t="shared" si="117"/>
        <v>1.5707927001811079</v>
      </c>
      <c r="K275" s="348">
        <f t="shared" si="107"/>
        <v>27.331020532027722</v>
      </c>
      <c r="L275" s="349">
        <f t="shared" si="108"/>
        <v>1.5341996965079709</v>
      </c>
      <c r="M275" s="337">
        <f t="shared" si="118"/>
        <v>1.0019130566078269</v>
      </c>
      <c r="N275" s="340">
        <f t="shared" si="119"/>
        <v>6.1806338784718258E-2</v>
      </c>
      <c r="O275" s="341">
        <f t="shared" si="120"/>
        <v>1.0077683830678288</v>
      </c>
      <c r="P275" s="342">
        <f t="shared" si="121"/>
        <v>0.14924369214931885</v>
      </c>
      <c r="Q275" s="343">
        <f t="shared" si="122"/>
        <v>-9.3412600662934437</v>
      </c>
      <c r="R275" s="344">
        <f t="shared" si="123"/>
        <v>-98.716258118327715</v>
      </c>
      <c r="S275" s="346">
        <f t="shared" si="124"/>
        <v>81.283741881672285</v>
      </c>
      <c r="U275" s="319">
        <f t="shared" si="130"/>
        <v>17580.5</v>
      </c>
      <c r="V275" s="319">
        <f t="shared" si="131"/>
        <v>309073980.25</v>
      </c>
      <c r="X275" s="345">
        <f t="shared" si="125"/>
        <v>17.613766813439952</v>
      </c>
      <c r="Y275" s="346">
        <f t="shared" si="126"/>
        <v>-5.6378670361397596</v>
      </c>
      <c r="AA275" s="345">
        <f t="shared" si="127"/>
        <v>21.918923104920861</v>
      </c>
      <c r="AB275" s="346">
        <f t="shared" si="128"/>
        <v>-93.078391082187935</v>
      </c>
      <c r="AD275">
        <f t="shared" si="132"/>
        <v>0</v>
      </c>
      <c r="AE275">
        <f t="shared" si="109"/>
        <v>0</v>
      </c>
    </row>
    <row r="276" spans="1:31" x14ac:dyDescent="0.2">
      <c r="A276" s="347">
        <v>17681.75</v>
      </c>
      <c r="B276" s="364">
        <f t="shared" si="129"/>
        <v>17.681750000000001</v>
      </c>
      <c r="C276" s="337">
        <f t="shared" si="110"/>
        <v>19.590956257983773</v>
      </c>
      <c r="D276" s="338">
        <f t="shared" si="111"/>
        <v>1.5197301744125726</v>
      </c>
      <c r="E276" s="338">
        <f t="shared" si="112"/>
        <v>1.0009869291086793</v>
      </c>
      <c r="F276" s="339">
        <f t="shared" si="113"/>
        <v>4.4409866038839133E-2</v>
      </c>
      <c r="G276" s="338">
        <f t="shared" si="114"/>
        <v>1</v>
      </c>
      <c r="H276" s="339">
        <f t="shared" si="115"/>
        <v>0</v>
      </c>
      <c r="I276" s="337">
        <f t="shared" si="116"/>
        <v>277327.35837096692</v>
      </c>
      <c r="J276" s="340">
        <f t="shared" si="117"/>
        <v>1.5707927209479802</v>
      </c>
      <c r="K276" s="348">
        <f t="shared" si="107"/>
        <v>27.488215824520132</v>
      </c>
      <c r="L276" s="349">
        <f t="shared" si="108"/>
        <v>1.5344090722518531</v>
      </c>
      <c r="M276" s="337">
        <f t="shared" si="118"/>
        <v>1.0019351341551017</v>
      </c>
      <c r="N276" s="340">
        <f t="shared" si="119"/>
        <v>6.2161381570803996E-2</v>
      </c>
      <c r="O276" s="341">
        <f t="shared" si="120"/>
        <v>1.0078578389494466</v>
      </c>
      <c r="P276" s="342">
        <f t="shared" si="121"/>
        <v>0.15009629069356945</v>
      </c>
      <c r="Q276" s="343">
        <f t="shared" si="122"/>
        <v>-9.3919408420695518</v>
      </c>
      <c r="R276" s="344">
        <f t="shared" si="123"/>
        <v>-98.775725516216127</v>
      </c>
      <c r="S276" s="346">
        <f t="shared" si="124"/>
        <v>81.224274483783873</v>
      </c>
      <c r="U276" s="319">
        <f t="shared" si="130"/>
        <v>17681.75</v>
      </c>
      <c r="V276" s="319">
        <f t="shared" si="131"/>
        <v>312644283.0625</v>
      </c>
      <c r="X276" s="345">
        <f t="shared" si="125"/>
        <v>17.613509024309646</v>
      </c>
      <c r="Y276" s="346">
        <f t="shared" si="126"/>
        <v>-5.6462143327358465</v>
      </c>
      <c r="AA276" s="345">
        <f t="shared" si="127"/>
        <v>21.868500118275058</v>
      </c>
      <c r="AB276" s="346">
        <f t="shared" si="128"/>
        <v>-93.12951118348029</v>
      </c>
      <c r="AD276">
        <f t="shared" si="132"/>
        <v>0</v>
      </c>
      <c r="AE276">
        <f t="shared" si="109"/>
        <v>0</v>
      </c>
    </row>
    <row r="277" spans="1:31" x14ac:dyDescent="0.2">
      <c r="A277" s="347">
        <v>17783</v>
      </c>
      <c r="B277" s="364">
        <f t="shared" si="129"/>
        <v>17.783000000000001</v>
      </c>
      <c r="C277" s="337">
        <f t="shared" si="110"/>
        <v>19.702847377071407</v>
      </c>
      <c r="D277" s="338">
        <f t="shared" si="111"/>
        <v>1.5200204257880596</v>
      </c>
      <c r="E277" s="338">
        <f t="shared" si="112"/>
        <v>1.0009982586099668</v>
      </c>
      <c r="F277" s="339">
        <f t="shared" si="113"/>
        <v>4.4663830628631385E-2</v>
      </c>
      <c r="G277" s="338">
        <f t="shared" si="114"/>
        <v>1</v>
      </c>
      <c r="H277" s="339">
        <f t="shared" si="115"/>
        <v>0</v>
      </c>
      <c r="I277" s="337">
        <f t="shared" si="116"/>
        <v>278915.4022599879</v>
      </c>
      <c r="J277" s="340">
        <f t="shared" si="117"/>
        <v>1.5707927414783744</v>
      </c>
      <c r="K277" s="348">
        <f t="shared" si="107"/>
        <v>27.645412308342529</v>
      </c>
      <c r="L277" s="349">
        <f t="shared" si="108"/>
        <v>1.5346160669130353</v>
      </c>
      <c r="M277" s="337">
        <f t="shared" si="118"/>
        <v>1.0019573379961153</v>
      </c>
      <c r="N277" s="340">
        <f t="shared" si="119"/>
        <v>6.2516408665814344E-2</v>
      </c>
      <c r="O277" s="341">
        <f t="shared" si="120"/>
        <v>1.0079478021150312</v>
      </c>
      <c r="P277" s="342">
        <f t="shared" si="121"/>
        <v>0.15094877126853773</v>
      </c>
      <c r="Q277" s="343">
        <f t="shared" si="122"/>
        <v>-9.4423427311893704</v>
      </c>
      <c r="R277" s="344">
        <f t="shared" si="123"/>
        <v>-98.835130945013361</v>
      </c>
      <c r="S277" s="346">
        <f t="shared" si="124"/>
        <v>81.164869054986639</v>
      </c>
      <c r="U277" s="319">
        <f t="shared" si="130"/>
        <v>17783</v>
      </c>
      <c r="V277" s="319">
        <f t="shared" si="131"/>
        <v>316235089</v>
      </c>
      <c r="X277" s="345">
        <f t="shared" si="125"/>
        <v>17.613251274420147</v>
      </c>
      <c r="Y277" s="346">
        <f t="shared" si="126"/>
        <v>-5.6546971427398836</v>
      </c>
      <c r="AA277" s="345">
        <f t="shared" si="127"/>
        <v>21.818355979044739</v>
      </c>
      <c r="AB277" s="346">
        <f t="shared" si="128"/>
        <v>-93.180433802273456</v>
      </c>
      <c r="AD277">
        <f t="shared" si="132"/>
        <v>0</v>
      </c>
      <c r="AE277">
        <f t="shared" si="109"/>
        <v>0</v>
      </c>
    </row>
    <row r="278" spans="1:31" x14ac:dyDescent="0.2">
      <c r="A278" s="347">
        <v>17886.5</v>
      </c>
      <c r="B278" s="364">
        <f t="shared" si="129"/>
        <v>17.886500000000002</v>
      </c>
      <c r="C278" s="337">
        <f t="shared" si="110"/>
        <v>19.817226661506044</v>
      </c>
      <c r="D278" s="338">
        <f t="shared" si="111"/>
        <v>1.5203137394978279</v>
      </c>
      <c r="E278" s="338">
        <f t="shared" si="112"/>
        <v>1.0010099066068396</v>
      </c>
      <c r="F278" s="339">
        <f t="shared" si="113"/>
        <v>4.4923432916969999E-2</v>
      </c>
      <c r="G278" s="338">
        <f t="shared" si="114"/>
        <v>1</v>
      </c>
      <c r="H278" s="339">
        <f t="shared" si="115"/>
        <v>0</v>
      </c>
      <c r="I278" s="337">
        <f t="shared" si="116"/>
        <v>280538.73601320951</v>
      </c>
      <c r="J278" s="340">
        <f t="shared" si="117"/>
        <v>1.5707927622247619</v>
      </c>
      <c r="K278" s="348">
        <f t="shared" si="107"/>
        <v>27.806103257658066</v>
      </c>
      <c r="L278" s="349">
        <f t="shared" si="108"/>
        <v>1.5348252424454591</v>
      </c>
      <c r="M278" s="337">
        <f t="shared" si="118"/>
        <v>1.0019801657817893</v>
      </c>
      <c r="N278" s="340">
        <f t="shared" si="119"/>
        <v>6.2879308941739917E-2</v>
      </c>
      <c r="O278" s="341">
        <f t="shared" si="120"/>
        <v>1.0080402886675035</v>
      </c>
      <c r="P278" s="342">
        <f t="shared" si="121"/>
        <v>0.15182007326349958</v>
      </c>
      <c r="Q278" s="343">
        <f t="shared" si="122"/>
        <v>-9.4935797497707561</v>
      </c>
      <c r="R278" s="344">
        <f t="shared" si="123"/>
        <v>-98.895793361934409</v>
      </c>
      <c r="S278" s="346">
        <f t="shared" si="124"/>
        <v>81.104206638065591</v>
      </c>
      <c r="U278" s="319">
        <f t="shared" si="130"/>
        <v>17886.5</v>
      </c>
      <c r="V278" s="319">
        <f t="shared" si="131"/>
        <v>319926882.25</v>
      </c>
      <c r="X278" s="345">
        <f t="shared" si="125"/>
        <v>17.612987810932406</v>
      </c>
      <c r="Y278" s="346">
        <f t="shared" si="126"/>
        <v>-5.6635061104397728</v>
      </c>
      <c r="AA278" s="345">
        <f t="shared" si="127"/>
        <v>21.767382423951098</v>
      </c>
      <c r="AB278" s="346">
        <f t="shared" si="128"/>
        <v>-93.232287251494654</v>
      </c>
      <c r="AD278">
        <f t="shared" si="132"/>
        <v>0</v>
      </c>
      <c r="AE278">
        <f t="shared" si="109"/>
        <v>0</v>
      </c>
    </row>
    <row r="279" spans="1:31" x14ac:dyDescent="0.2">
      <c r="A279" s="347">
        <v>17990</v>
      </c>
      <c r="B279" s="364">
        <f t="shared" si="129"/>
        <v>17.989999999999998</v>
      </c>
      <c r="C279" s="337">
        <f t="shared" si="110"/>
        <v>19.931607631306893</v>
      </c>
      <c r="D279" s="338">
        <f t="shared" si="111"/>
        <v>1.5206036867696275</v>
      </c>
      <c r="E279" s="338">
        <f t="shared" si="112"/>
        <v>1.0010216220635491</v>
      </c>
      <c r="F279" s="339">
        <f t="shared" si="113"/>
        <v>4.5183029146292478E-2</v>
      </c>
      <c r="G279" s="338">
        <f t="shared" si="114"/>
        <v>1</v>
      </c>
      <c r="H279" s="339">
        <f t="shared" si="115"/>
        <v>0</v>
      </c>
      <c r="I279" s="337">
        <f t="shared" si="116"/>
        <v>282162.06976643112</v>
      </c>
      <c r="J279" s="340">
        <f t="shared" si="117"/>
        <v>1.5707927827324335</v>
      </c>
      <c r="K279" s="348">
        <f t="shared" ref="K279:K342" si="133">SQRT(1+(A279/Zero2)^2)</f>
        <v>27.966795409631953</v>
      </c>
      <c r="L279" s="349">
        <f t="shared" ref="L279:L342" si="134">ATAN(A279/Zero2)</f>
        <v>1.535032014217234</v>
      </c>
      <c r="M279" s="337">
        <f t="shared" si="118"/>
        <v>1.0020031255188322</v>
      </c>
      <c r="N279" s="340">
        <f t="shared" si="119"/>
        <v>6.3242192634578157E-2</v>
      </c>
      <c r="O279" s="341">
        <f t="shared" si="120"/>
        <v>1.0081333050699486</v>
      </c>
      <c r="P279" s="342">
        <f t="shared" si="121"/>
        <v>0.15269125064495084</v>
      </c>
      <c r="Q279" s="343">
        <f t="shared" si="122"/>
        <v>-9.544532067678265</v>
      </c>
      <c r="R279" s="344">
        <f t="shared" si="123"/>
        <v>-98.956392865017492</v>
      </c>
      <c r="S279" s="346">
        <f t="shared" si="124"/>
        <v>81.043607134982508</v>
      </c>
      <c r="U279" s="319">
        <f t="shared" si="130"/>
        <v>17990</v>
      </c>
      <c r="V279" s="319">
        <f t="shared" si="131"/>
        <v>323640100</v>
      </c>
      <c r="X279" s="345">
        <f t="shared" si="125"/>
        <v>17.612724335676607</v>
      </c>
      <c r="Y279" s="346">
        <f t="shared" si="126"/>
        <v>-5.6724518396616324</v>
      </c>
      <c r="AA279" s="345">
        <f t="shared" si="127"/>
        <v>21.716693581299381</v>
      </c>
      <c r="AB279" s="346">
        <f t="shared" si="128"/>
        <v>-93.283941025355858</v>
      </c>
      <c r="AD279">
        <f t="shared" si="132"/>
        <v>0</v>
      </c>
      <c r="AE279">
        <f t="shared" si="109"/>
        <v>0</v>
      </c>
    </row>
    <row r="280" spans="1:31" x14ac:dyDescent="0.2">
      <c r="A280" s="347">
        <v>18093.5</v>
      </c>
      <c r="B280" s="364">
        <f t="shared" si="129"/>
        <v>18.093499999999999</v>
      </c>
      <c r="C280" s="337">
        <f t="shared" si="110"/>
        <v>20.045990257624215</v>
      </c>
      <c r="D280" s="338">
        <f t="shared" si="111"/>
        <v>1.5208903251810735</v>
      </c>
      <c r="E280" s="338">
        <f t="shared" si="112"/>
        <v>1.0010334049777263</v>
      </c>
      <c r="F280" s="339">
        <f t="shared" si="113"/>
        <v>4.54426192818237E-2</v>
      </c>
      <c r="G280" s="338">
        <f t="shared" si="114"/>
        <v>1</v>
      </c>
      <c r="H280" s="339">
        <f t="shared" si="115"/>
        <v>0</v>
      </c>
      <c r="I280" s="337">
        <f t="shared" si="116"/>
        <v>283785.4035196529</v>
      </c>
      <c r="J280" s="340">
        <f t="shared" si="117"/>
        <v>1.5707928030054854</v>
      </c>
      <c r="K280" s="348">
        <f t="shared" si="133"/>
        <v>28.12748874365186</v>
      </c>
      <c r="L280" s="349">
        <f t="shared" si="134"/>
        <v>1.5352364234088334</v>
      </c>
      <c r="M280" s="337">
        <f t="shared" si="118"/>
        <v>1.0020262171981733</v>
      </c>
      <c r="N280" s="340">
        <f t="shared" si="119"/>
        <v>6.3605059649899875E-2</v>
      </c>
      <c r="O280" s="341">
        <f t="shared" si="120"/>
        <v>1.0082268512049426</v>
      </c>
      <c r="P280" s="342">
        <f t="shared" si="121"/>
        <v>0.15356230273514063</v>
      </c>
      <c r="Q280" s="343">
        <f t="shared" si="122"/>
        <v>-9.595202994660573</v>
      </c>
      <c r="R280" s="344">
        <f t="shared" si="123"/>
        <v>-99.016930351734032</v>
      </c>
      <c r="S280" s="346">
        <f t="shared" si="124"/>
        <v>80.983069648265968</v>
      </c>
      <c r="U280" s="319">
        <f t="shared" si="130"/>
        <v>18093.5</v>
      </c>
      <c r="V280" s="319">
        <f t="shared" si="131"/>
        <v>327374742.25</v>
      </c>
      <c r="X280" s="345">
        <f t="shared" si="125"/>
        <v>17.612460823111409</v>
      </c>
      <c r="Y280" s="346">
        <f t="shared" si="126"/>
        <v>-5.6815319657624395</v>
      </c>
      <c r="AA280" s="345">
        <f t="shared" si="127"/>
        <v>21.666286166882273</v>
      </c>
      <c r="AB280" s="346">
        <f t="shared" si="128"/>
        <v>-93.335398385971601</v>
      </c>
      <c r="AD280">
        <f t="shared" si="132"/>
        <v>0</v>
      </c>
      <c r="AE280">
        <f t="shared" si="109"/>
        <v>0</v>
      </c>
    </row>
    <row r="281" spans="1:31" x14ac:dyDescent="0.2">
      <c r="A281" s="347">
        <v>18197</v>
      </c>
      <c r="B281" s="364">
        <f t="shared" si="129"/>
        <v>18.196999999999999</v>
      </c>
      <c r="C281" s="337">
        <f t="shared" si="110"/>
        <v>20.160374512262592</v>
      </c>
      <c r="D281" s="338">
        <f t="shared" si="111"/>
        <v>1.5211737110052685</v>
      </c>
      <c r="E281" s="338">
        <f t="shared" si="112"/>
        <v>1.0010452553469895</v>
      </c>
      <c r="F281" s="339">
        <f t="shared" si="113"/>
        <v>4.5702203288793437E-2</v>
      </c>
      <c r="G281" s="338">
        <f t="shared" si="114"/>
        <v>1</v>
      </c>
      <c r="H281" s="339">
        <f t="shared" si="115"/>
        <v>0</v>
      </c>
      <c r="I281" s="337">
        <f t="shared" si="116"/>
        <v>285408.7372728748</v>
      </c>
      <c r="J281" s="340">
        <f t="shared" si="117"/>
        <v>1.5707928230479211</v>
      </c>
      <c r="K281" s="348">
        <f t="shared" si="133"/>
        <v>28.288183239573648</v>
      </c>
      <c r="L281" s="349">
        <f t="shared" si="134"/>
        <v>1.5354385102658079</v>
      </c>
      <c r="M281" s="337">
        <f t="shared" si="118"/>
        <v>1.0020494408106915</v>
      </c>
      <c r="N281" s="340">
        <f t="shared" si="119"/>
        <v>6.3967909893302213E-2</v>
      </c>
      <c r="O281" s="341">
        <f t="shared" si="120"/>
        <v>1.0083209269544384</v>
      </c>
      <c r="P281" s="342">
        <f t="shared" si="121"/>
        <v>0.15443322885704514</v>
      </c>
      <c r="Q281" s="343">
        <f t="shared" si="122"/>
        <v>-9.6455957840528157</v>
      </c>
      <c r="R281" s="344">
        <f t="shared" si="123"/>
        <v>-99.077406698417249</v>
      </c>
      <c r="S281" s="346">
        <f t="shared" si="124"/>
        <v>80.922593301582751</v>
      </c>
      <c r="U281" s="319">
        <f t="shared" si="130"/>
        <v>18197</v>
      </c>
      <c r="V281" s="319">
        <f t="shared" si="131"/>
        <v>331130809</v>
      </c>
      <c r="X281" s="345">
        <f t="shared" si="125"/>
        <v>17.612197248424163</v>
      </c>
      <c r="Y281" s="346">
        <f t="shared" si="126"/>
        <v>-5.6907441776624861</v>
      </c>
      <c r="AA281" s="345">
        <f t="shared" si="127"/>
        <v>21.616156952177278</v>
      </c>
      <c r="AB281" s="346">
        <f t="shared" si="128"/>
        <v>-93.386662520754754</v>
      </c>
      <c r="AD281">
        <f t="shared" si="132"/>
        <v>0</v>
      </c>
      <c r="AE281">
        <f t="shared" si="109"/>
        <v>0</v>
      </c>
    </row>
    <row r="282" spans="1:31" x14ac:dyDescent="0.2">
      <c r="A282" s="347">
        <v>18303</v>
      </c>
      <c r="B282" s="364">
        <f t="shared" si="129"/>
        <v>18.303000000000001</v>
      </c>
      <c r="C282" s="337">
        <f t="shared" si="110"/>
        <v>20.277523330603415</v>
      </c>
      <c r="D282" s="338">
        <f t="shared" si="111"/>
        <v>1.5214606279797362</v>
      </c>
      <c r="E282" s="338">
        <f t="shared" si="112"/>
        <v>1.0010574618733419</v>
      </c>
      <c r="F282" s="339">
        <f t="shared" si="113"/>
        <v>4.5968051052135299E-2</v>
      </c>
      <c r="G282" s="338">
        <f t="shared" si="114"/>
        <v>1</v>
      </c>
      <c r="H282" s="339">
        <f t="shared" si="115"/>
        <v>0</v>
      </c>
      <c r="I282" s="337">
        <f t="shared" si="116"/>
        <v>287071.28198631958</v>
      </c>
      <c r="J282" s="340">
        <f t="shared" si="117"/>
        <v>1.5707928433395224</v>
      </c>
      <c r="K282" s="348">
        <f t="shared" si="133"/>
        <v>28.452760428827741</v>
      </c>
      <c r="L282" s="349">
        <f t="shared" si="134"/>
        <v>1.5356431123895873</v>
      </c>
      <c r="M282" s="337">
        <f t="shared" si="118"/>
        <v>1.0020733621223008</v>
      </c>
      <c r="N282" s="340">
        <f t="shared" si="119"/>
        <v>6.4339507152236117E-2</v>
      </c>
      <c r="O282" s="341">
        <f t="shared" si="120"/>
        <v>1.0084178238989701</v>
      </c>
      <c r="P282" s="342">
        <f t="shared" si="121"/>
        <v>0.15532506056606249</v>
      </c>
      <c r="Q282" s="343">
        <f t="shared" si="122"/>
        <v>-9.6969208357545327</v>
      </c>
      <c r="R282" s="344">
        <f t="shared" si="123"/>
        <v>-99.139281347392441</v>
      </c>
      <c r="S282" s="346">
        <f t="shared" si="124"/>
        <v>80.860718652607559</v>
      </c>
      <c r="U282" s="319">
        <f t="shared" si="130"/>
        <v>18303</v>
      </c>
      <c r="V282" s="319">
        <f t="shared" si="131"/>
        <v>334999809</v>
      </c>
      <c r="X282" s="345">
        <f t="shared" si="125"/>
        <v>17.611927217621687</v>
      </c>
      <c r="Y282" s="346">
        <f t="shared" si="126"/>
        <v>-5.7003134567401101</v>
      </c>
      <c r="AA282" s="345">
        <f t="shared" si="127"/>
        <v>21.565101931278036</v>
      </c>
      <c r="AB282" s="346">
        <f t="shared" si="128"/>
        <v>-93.43896789065235</v>
      </c>
      <c r="AD282">
        <f t="shared" si="132"/>
        <v>0</v>
      </c>
      <c r="AE282">
        <f t="shared" ref="AE282:AE345" si="135">IF(AD282&gt;0,S282,0)</f>
        <v>0</v>
      </c>
    </row>
    <row r="283" spans="1:31" x14ac:dyDescent="0.2">
      <c r="A283" s="347">
        <v>18409</v>
      </c>
      <c r="B283" s="364">
        <f t="shared" si="129"/>
        <v>18.408999999999999</v>
      </c>
      <c r="C283" s="337">
        <f t="shared" si="110"/>
        <v>20.394673799040355</v>
      </c>
      <c r="D283" s="338">
        <f t="shared" si="111"/>
        <v>1.521744248777714</v>
      </c>
      <c r="E283" s="338">
        <f t="shared" si="112"/>
        <v>1.0010697391477352</v>
      </c>
      <c r="F283" s="339">
        <f t="shared" si="113"/>
        <v>4.6233892313468784E-2</v>
      </c>
      <c r="G283" s="338">
        <f t="shared" si="114"/>
        <v>1</v>
      </c>
      <c r="H283" s="339">
        <f t="shared" si="115"/>
        <v>0</v>
      </c>
      <c r="I283" s="337">
        <f t="shared" si="116"/>
        <v>288733.82669976447</v>
      </c>
      <c r="J283" s="340">
        <f t="shared" si="117"/>
        <v>1.5707928633974435</v>
      </c>
      <c r="K283" s="348">
        <f t="shared" si="133"/>
        <v>28.617338795472257</v>
      </c>
      <c r="L283" s="349">
        <f t="shared" si="134"/>
        <v>1.5358453611873917</v>
      </c>
      <c r="M283" s="337">
        <f t="shared" si="118"/>
        <v>1.0020974217981151</v>
      </c>
      <c r="N283" s="340">
        <f t="shared" si="119"/>
        <v>6.4711086618883723E-2</v>
      </c>
      <c r="O283" s="341">
        <f t="shared" si="120"/>
        <v>1.0085152760996201</v>
      </c>
      <c r="P283" s="342">
        <f t="shared" si="121"/>
        <v>0.15621675871282287</v>
      </c>
      <c r="Q283" s="343">
        <f t="shared" si="122"/>
        <v>-9.7479608823204327</v>
      </c>
      <c r="R283" s="344">
        <f t="shared" si="123"/>
        <v>-99.201093662184547</v>
      </c>
      <c r="S283" s="346">
        <f t="shared" si="124"/>
        <v>80.798906337815453</v>
      </c>
      <c r="U283" s="319">
        <f t="shared" si="130"/>
        <v>18409</v>
      </c>
      <c r="V283" s="319">
        <f t="shared" si="131"/>
        <v>338891281</v>
      </c>
      <c r="X283" s="345">
        <f t="shared" si="125"/>
        <v>17.611657071216989</v>
      </c>
      <c r="Y283" s="346">
        <f t="shared" si="126"/>
        <v>-5.7100165386522699</v>
      </c>
      <c r="AA283" s="345">
        <f t="shared" si="127"/>
        <v>21.51433203111683</v>
      </c>
      <c r="AB283" s="346">
        <f t="shared" si="128"/>
        <v>-93.491077123532293</v>
      </c>
      <c r="AD283">
        <f t="shared" si="132"/>
        <v>0</v>
      </c>
      <c r="AE283">
        <f t="shared" si="135"/>
        <v>0</v>
      </c>
    </row>
    <row r="284" spans="1:31" x14ac:dyDescent="0.2">
      <c r="A284" s="347">
        <v>18515</v>
      </c>
      <c r="B284" s="364">
        <f t="shared" si="129"/>
        <v>18.515000000000001</v>
      </c>
      <c r="C284" s="337">
        <f t="shared" si="110"/>
        <v>20.511825889300514</v>
      </c>
      <c r="D284" s="338">
        <f t="shared" si="111"/>
        <v>1.5220246298309328</v>
      </c>
      <c r="E284" s="338">
        <f t="shared" si="112"/>
        <v>1.001082087167567</v>
      </c>
      <c r="F284" s="339">
        <f t="shared" si="113"/>
        <v>4.6499727035458981E-2</v>
      </c>
      <c r="G284" s="338">
        <f t="shared" si="114"/>
        <v>1</v>
      </c>
      <c r="H284" s="339">
        <f t="shared" si="115"/>
        <v>0</v>
      </c>
      <c r="I284" s="337">
        <f t="shared" si="116"/>
        <v>290396.37141320942</v>
      </c>
      <c r="J284" s="340">
        <f t="shared" si="117"/>
        <v>1.5707928832256979</v>
      </c>
      <c r="K284" s="348">
        <f t="shared" si="133"/>
        <v>28.781918319309842</v>
      </c>
      <c r="L284" s="349">
        <f t="shared" si="134"/>
        <v>1.5360452970125933</v>
      </c>
      <c r="M284" s="337">
        <f t="shared" si="118"/>
        <v>1.0021216198281682</v>
      </c>
      <c r="N284" s="340">
        <f t="shared" si="119"/>
        <v>6.5082648191921333E-2</v>
      </c>
      <c r="O284" s="341">
        <f t="shared" si="120"/>
        <v>1.0086132834275545</v>
      </c>
      <c r="P284" s="342">
        <f t="shared" si="121"/>
        <v>0.15710832257244206</v>
      </c>
      <c r="Q284" s="343">
        <f t="shared" si="122"/>
        <v>-9.7987192427978957</v>
      </c>
      <c r="R284" s="344">
        <f t="shared" si="123"/>
        <v>-99.262844519046567</v>
      </c>
      <c r="S284" s="346">
        <f t="shared" si="124"/>
        <v>80.737155480953433</v>
      </c>
      <c r="U284" s="319">
        <f t="shared" si="130"/>
        <v>18515</v>
      </c>
      <c r="V284" s="319">
        <f t="shared" si="131"/>
        <v>342805225</v>
      </c>
      <c r="X284" s="345">
        <f t="shared" si="125"/>
        <v>17.611386784774645</v>
      </c>
      <c r="Y284" s="346">
        <f t="shared" si="126"/>
        <v>-5.7198511057455725</v>
      </c>
      <c r="AA284" s="345">
        <f t="shared" si="127"/>
        <v>21.463843957081718</v>
      </c>
      <c r="AB284" s="346">
        <f t="shared" si="128"/>
        <v>-93.542993413300991</v>
      </c>
      <c r="AD284">
        <f t="shared" si="132"/>
        <v>0</v>
      </c>
      <c r="AE284">
        <f t="shared" si="135"/>
        <v>0</v>
      </c>
    </row>
    <row r="285" spans="1:31" x14ac:dyDescent="0.2">
      <c r="A285" s="347">
        <v>18621</v>
      </c>
      <c r="B285" s="364">
        <f t="shared" si="129"/>
        <v>18.620999999999999</v>
      </c>
      <c r="C285" s="337">
        <f t="shared" si="110"/>
        <v>20.628979573752869</v>
      </c>
      <c r="D285" s="338">
        <f t="shared" si="111"/>
        <v>1.5223018262912664</v>
      </c>
      <c r="E285" s="338">
        <f t="shared" si="112"/>
        <v>1.001094505930219</v>
      </c>
      <c r="F285" s="339">
        <f t="shared" si="113"/>
        <v>4.6765555180776498E-2</v>
      </c>
      <c r="G285" s="338">
        <f t="shared" si="114"/>
        <v>1</v>
      </c>
      <c r="H285" s="339">
        <f t="shared" si="115"/>
        <v>0</v>
      </c>
      <c r="I285" s="337">
        <f t="shared" si="116"/>
        <v>292058.91612665454</v>
      </c>
      <c r="J285" s="340">
        <f t="shared" si="117"/>
        <v>1.5707929028282077</v>
      </c>
      <c r="K285" s="348">
        <f t="shared" si="133"/>
        <v>28.946498980602314</v>
      </c>
      <c r="L285" s="349">
        <f t="shared" si="134"/>
        <v>1.5362429593015672</v>
      </c>
      <c r="M285" s="337">
        <f t="shared" si="118"/>
        <v>1.002145956202438</v>
      </c>
      <c r="N285" s="340">
        <f t="shared" si="119"/>
        <v>6.5454191770054779E-2</v>
      </c>
      <c r="O285" s="341">
        <f t="shared" si="120"/>
        <v>1.0087118457532576</v>
      </c>
      <c r="P285" s="342">
        <f t="shared" si="121"/>
        <v>0.15799975142085121</v>
      </c>
      <c r="Q285" s="343">
        <f t="shared" si="122"/>
        <v>-9.849199179597683</v>
      </c>
      <c r="R285" s="344">
        <f t="shared" si="123"/>
        <v>-99.324534773483919</v>
      </c>
      <c r="S285" s="346">
        <f t="shared" si="124"/>
        <v>80.675465226516081</v>
      </c>
      <c r="U285" s="319">
        <f t="shared" si="130"/>
        <v>18621</v>
      </c>
      <c r="V285" s="319">
        <f t="shared" si="131"/>
        <v>346741641</v>
      </c>
      <c r="X285" s="345">
        <f t="shared" si="125"/>
        <v>17.611116334557742</v>
      </c>
      <c r="Y285" s="346">
        <f t="shared" si="126"/>
        <v>-5.72981489290318</v>
      </c>
      <c r="AA285" s="345">
        <f t="shared" si="127"/>
        <v>21.413634470498831</v>
      </c>
      <c r="AB285" s="346">
        <f t="shared" si="128"/>
        <v>-93.594719880580769</v>
      </c>
      <c r="AD285">
        <f t="shared" si="132"/>
        <v>0</v>
      </c>
      <c r="AE285">
        <f t="shared" si="135"/>
        <v>0</v>
      </c>
    </row>
    <row r="286" spans="1:31" x14ac:dyDescent="0.2">
      <c r="A286" s="347">
        <v>18729.5</v>
      </c>
      <c r="B286" s="364">
        <f t="shared" si="129"/>
        <v>18.729500000000002</v>
      </c>
      <c r="C286" s="337">
        <f t="shared" si="110"/>
        <v>20.748897939648323</v>
      </c>
      <c r="D286" s="338">
        <f t="shared" si="111"/>
        <v>1.5225823185245055</v>
      </c>
      <c r="E286" s="338">
        <f t="shared" si="112"/>
        <v>1.0011072908506584</v>
      </c>
      <c r="F286" s="339">
        <f t="shared" si="113"/>
        <v>4.7037646007697595E-2</v>
      </c>
      <c r="G286" s="338">
        <f t="shared" si="114"/>
        <v>1</v>
      </c>
      <c r="H286" s="339">
        <f t="shared" si="115"/>
        <v>0</v>
      </c>
      <c r="I286" s="337">
        <f t="shared" si="116"/>
        <v>293760.67180032254</v>
      </c>
      <c r="J286" s="340">
        <f t="shared" si="117"/>
        <v>1.570792922663248</v>
      </c>
      <c r="K286" s="348">
        <f t="shared" si="133"/>
        <v>29.114962419142092</v>
      </c>
      <c r="L286" s="349">
        <f t="shared" si="134"/>
        <v>1.5364429690648129</v>
      </c>
      <c r="M286" s="337">
        <f t="shared" si="118"/>
        <v>1.0021710098142254</v>
      </c>
      <c r="N286" s="340">
        <f t="shared" si="119"/>
        <v>6.5834479426206641E-2</v>
      </c>
      <c r="O286" s="341">
        <f t="shared" si="120"/>
        <v>1.0088133073126933</v>
      </c>
      <c r="P286" s="342">
        <f t="shared" si="121"/>
        <v>0.15891206395453214</v>
      </c>
      <c r="Q286" s="343">
        <f t="shared" si="122"/>
        <v>-9.9005846771149706</v>
      </c>
      <c r="R286" s="344">
        <f t="shared" si="123"/>
        <v>-99.38761809532393</v>
      </c>
      <c r="S286" s="346">
        <f t="shared" si="124"/>
        <v>80.61238190467607</v>
      </c>
      <c r="U286" s="319">
        <f t="shared" si="130"/>
        <v>18729.5</v>
      </c>
      <c r="V286" s="319">
        <f t="shared" si="131"/>
        <v>350794170.25</v>
      </c>
      <c r="X286" s="345">
        <f t="shared" si="125"/>
        <v>17.610839312116006</v>
      </c>
      <c r="Y286" s="346">
        <f t="shared" si="126"/>
        <v>-5.7401451917821085</v>
      </c>
      <c r="AA286" s="345">
        <f t="shared" si="127"/>
        <v>21.36252599542328</v>
      </c>
      <c r="AB286" s="346">
        <f t="shared" si="128"/>
        <v>-93.647472903541825</v>
      </c>
      <c r="AD286">
        <f t="shared" si="132"/>
        <v>0</v>
      </c>
      <c r="AE286">
        <f t="shared" si="135"/>
        <v>0</v>
      </c>
    </row>
    <row r="287" spans="1:31" x14ac:dyDescent="0.2">
      <c r="A287" s="347">
        <v>18838</v>
      </c>
      <c r="B287" s="364">
        <f t="shared" si="129"/>
        <v>18.838000000000001</v>
      </c>
      <c r="C287" s="337">
        <f t="shared" si="110"/>
        <v>20.868817919220831</v>
      </c>
      <c r="D287" s="338">
        <f t="shared" si="111"/>
        <v>1.5228595871542261</v>
      </c>
      <c r="E287" s="338">
        <f t="shared" si="112"/>
        <v>1.0011201498845961</v>
      </c>
      <c r="F287" s="339">
        <f t="shared" si="113"/>
        <v>4.7309729864940857E-2</v>
      </c>
      <c r="G287" s="338">
        <f t="shared" si="114"/>
        <v>1</v>
      </c>
      <c r="H287" s="339">
        <f t="shared" si="115"/>
        <v>0</v>
      </c>
      <c r="I287" s="337">
        <f t="shared" si="116"/>
        <v>295462.42747399065</v>
      </c>
      <c r="J287" s="340">
        <f t="shared" si="117"/>
        <v>1.570792942269803</v>
      </c>
      <c r="K287" s="348">
        <f t="shared" si="133"/>
        <v>29.283427008993197</v>
      </c>
      <c r="L287" s="349">
        <f t="shared" si="134"/>
        <v>1.5366406775640686</v>
      </c>
      <c r="M287" s="337">
        <f t="shared" si="118"/>
        <v>1.0021962083514242</v>
      </c>
      <c r="N287" s="340">
        <f t="shared" si="119"/>
        <v>6.6214748013963765E-2</v>
      </c>
      <c r="O287" s="341">
        <f t="shared" si="120"/>
        <v>1.0089153500809775</v>
      </c>
      <c r="P287" s="342">
        <f t="shared" si="121"/>
        <v>0.1598242335009401</v>
      </c>
      <c r="Q287" s="343">
        <f t="shared" si="122"/>
        <v>-9.9516852034321985</v>
      </c>
      <c r="R287" s="344">
        <f t="shared" si="123"/>
        <v>-99.450639672137711</v>
      </c>
      <c r="S287" s="346">
        <f t="shared" si="124"/>
        <v>80.549360327862289</v>
      </c>
      <c r="U287" s="319">
        <f t="shared" si="130"/>
        <v>18838</v>
      </c>
      <c r="V287" s="319">
        <f t="shared" si="131"/>
        <v>354870244</v>
      </c>
      <c r="X287" s="345">
        <f t="shared" si="125"/>
        <v>17.61056206989851</v>
      </c>
      <c r="Y287" s="346">
        <f t="shared" si="126"/>
        <v>-5.7506062377455738</v>
      </c>
      <c r="AA287" s="345">
        <f t="shared" si="127"/>
        <v>21.311702711323548</v>
      </c>
      <c r="AB287" s="346">
        <f t="shared" si="128"/>
        <v>-93.700033434392125</v>
      </c>
      <c r="AD287">
        <f t="shared" si="132"/>
        <v>0</v>
      </c>
      <c r="AE287">
        <f t="shared" si="135"/>
        <v>0</v>
      </c>
    </row>
    <row r="288" spans="1:31" x14ac:dyDescent="0.2">
      <c r="A288" s="347">
        <v>18946.5</v>
      </c>
      <c r="B288" s="364">
        <f t="shared" si="129"/>
        <v>18.9465</v>
      </c>
      <c r="C288" s="337">
        <f t="shared" si="110"/>
        <v>20.988739484810981</v>
      </c>
      <c r="D288" s="338">
        <f t="shared" si="111"/>
        <v>1.5231336873927099</v>
      </c>
      <c r="E288" s="338">
        <f t="shared" si="112"/>
        <v>1.0011330830291763</v>
      </c>
      <c r="F288" s="339">
        <f t="shared" si="113"/>
        <v>4.7581806712491091E-2</v>
      </c>
      <c r="G288" s="338">
        <f t="shared" si="114"/>
        <v>1</v>
      </c>
      <c r="H288" s="339">
        <f t="shared" si="115"/>
        <v>0</v>
      </c>
      <c r="I288" s="337">
        <f t="shared" si="116"/>
        <v>297164.18314765888</v>
      </c>
      <c r="J288" s="340">
        <f t="shared" si="117"/>
        <v>1.5707929616517982</v>
      </c>
      <c r="K288" s="348">
        <f t="shared" si="133"/>
        <v>29.451892730399152</v>
      </c>
      <c r="L288" s="349">
        <f t="shared" si="134"/>
        <v>1.5368361242736441</v>
      </c>
      <c r="M288" s="337">
        <f t="shared" si="118"/>
        <v>1.002221551803103</v>
      </c>
      <c r="N288" s="340">
        <f t="shared" si="119"/>
        <v>6.6594997424791802E-2</v>
      </c>
      <c r="O288" s="341">
        <f t="shared" si="120"/>
        <v>1.0090179739170031</v>
      </c>
      <c r="P288" s="342">
        <f t="shared" si="121"/>
        <v>0.160736259286237</v>
      </c>
      <c r="Q288" s="343">
        <f t="shared" si="122"/>
        <v>-10.00250408115676</v>
      </c>
      <c r="R288" s="344">
        <f t="shared" si="123"/>
        <v>-99.513600357605966</v>
      </c>
      <c r="S288" s="346">
        <f t="shared" si="124"/>
        <v>80.486399642394034</v>
      </c>
      <c r="U288" s="319">
        <f t="shared" si="130"/>
        <v>18946.5</v>
      </c>
      <c r="V288" s="319">
        <f t="shared" si="131"/>
        <v>358969862.25</v>
      </c>
      <c r="X288" s="345">
        <f t="shared" si="125"/>
        <v>17.610284584571826</v>
      </c>
      <c r="Y288" s="346">
        <f t="shared" si="126"/>
        <v>-5.7611957630885939</v>
      </c>
      <c r="AA288" s="345">
        <f t="shared" si="127"/>
        <v>21.261161318925673</v>
      </c>
      <c r="AB288" s="346">
        <f t="shared" si="128"/>
        <v>-93.752404594517373</v>
      </c>
      <c r="AD288">
        <f t="shared" si="132"/>
        <v>0</v>
      </c>
      <c r="AE288">
        <f t="shared" si="135"/>
        <v>0</v>
      </c>
    </row>
    <row r="289" spans="1:31" x14ac:dyDescent="0.2">
      <c r="A289" s="347">
        <v>19055</v>
      </c>
      <c r="B289" s="364">
        <f t="shared" si="129"/>
        <v>19.055</v>
      </c>
      <c r="C289" s="337">
        <f t="shared" si="110"/>
        <v>21.108662609387537</v>
      </c>
      <c r="D289" s="338">
        <f t="shared" si="111"/>
        <v>1.5234046731994741</v>
      </c>
      <c r="E289" s="338">
        <f t="shared" si="112"/>
        <v>1.001146090281527</v>
      </c>
      <c r="F289" s="339">
        <f t="shared" si="113"/>
        <v>4.7853876510339323E-2</v>
      </c>
      <c r="G289" s="338">
        <f t="shared" si="114"/>
        <v>1</v>
      </c>
      <c r="H289" s="339">
        <f t="shared" si="115"/>
        <v>0</v>
      </c>
      <c r="I289" s="337">
        <f t="shared" si="116"/>
        <v>298865.93882132717</v>
      </c>
      <c r="J289" s="340">
        <f t="shared" si="117"/>
        <v>1.5707929808130696</v>
      </c>
      <c r="K289" s="348">
        <f t="shared" si="133"/>
        <v>29.620359564052809</v>
      </c>
      <c r="L289" s="349">
        <f t="shared" si="134"/>
        <v>1.5370293477705028</v>
      </c>
      <c r="M289" s="337">
        <f t="shared" si="118"/>
        <v>1.002247040158269</v>
      </c>
      <c r="N289" s="340">
        <f t="shared" si="119"/>
        <v>6.6975227550189434E-2</v>
      </c>
      <c r="O289" s="341">
        <f t="shared" si="120"/>
        <v>1.0091211786789185</v>
      </c>
      <c r="P289" s="342">
        <f t="shared" si="121"/>
        <v>0.1616481405374974</v>
      </c>
      <c r="Q289" s="343">
        <f t="shared" si="122"/>
        <v>-10.05304457616605</v>
      </c>
      <c r="R289" s="344">
        <f t="shared" si="123"/>
        <v>-99.57650098509427</v>
      </c>
      <c r="S289" s="346">
        <f t="shared" si="124"/>
        <v>80.42349901490573</v>
      </c>
      <c r="U289" s="319">
        <f t="shared" si="130"/>
        <v>19055</v>
      </c>
      <c r="V289" s="319">
        <f t="shared" si="131"/>
        <v>363093025</v>
      </c>
      <c r="X289" s="345">
        <f t="shared" si="125"/>
        <v>17.610006833470607</v>
      </c>
      <c r="Y289" s="346">
        <f t="shared" si="126"/>
        <v>-5.7719115515170651</v>
      </c>
      <c r="AA289" s="345">
        <f t="shared" si="127"/>
        <v>21.210898575017598</v>
      </c>
      <c r="AB289" s="346">
        <f t="shared" si="128"/>
        <v>-93.804589433577192</v>
      </c>
      <c r="AD289">
        <f t="shared" si="132"/>
        <v>0</v>
      </c>
      <c r="AE289">
        <f t="shared" si="135"/>
        <v>0</v>
      </c>
    </row>
    <row r="290" spans="1:31" x14ac:dyDescent="0.2">
      <c r="A290" s="347">
        <v>19165.75</v>
      </c>
      <c r="B290" s="364">
        <f t="shared" si="129"/>
        <v>19.165749999999999</v>
      </c>
      <c r="C290" s="337">
        <f t="shared" si="110"/>
        <v>21.231074199417957</v>
      </c>
      <c r="D290" s="338">
        <f t="shared" si="111"/>
        <v>1.5236781213122932</v>
      </c>
      <c r="E290" s="338">
        <f t="shared" si="112"/>
        <v>1.0011594436954263</v>
      </c>
      <c r="F290" s="339">
        <f t="shared" si="113"/>
        <v>4.8131580996557184E-2</v>
      </c>
      <c r="G290" s="338">
        <f t="shared" si="114"/>
        <v>1</v>
      </c>
      <c r="H290" s="339">
        <f t="shared" si="115"/>
        <v>0</v>
      </c>
      <c r="I290" s="337">
        <f t="shared" si="116"/>
        <v>300602.98435919615</v>
      </c>
      <c r="J290" s="340">
        <f t="shared" si="117"/>
        <v>1.5707930001479502</v>
      </c>
      <c r="K290" s="348">
        <f t="shared" si="133"/>
        <v>29.792321077047063</v>
      </c>
      <c r="L290" s="349">
        <f t="shared" si="134"/>
        <v>1.5372243245103827</v>
      </c>
      <c r="M290" s="337">
        <f t="shared" si="118"/>
        <v>1.0022732065043256</v>
      </c>
      <c r="N290" s="340">
        <f t="shared" si="119"/>
        <v>6.73633226299966E-2</v>
      </c>
      <c r="O290" s="341">
        <f t="shared" si="120"/>
        <v>1.0092271226047451</v>
      </c>
      <c r="P290" s="342">
        <f t="shared" si="121"/>
        <v>0.1625787819059468</v>
      </c>
      <c r="Q290" s="343">
        <f t="shared" si="122"/>
        <v>-10.104349377589985</v>
      </c>
      <c r="R290" s="344">
        <f t="shared" si="123"/>
        <v>-99.64064490921966</v>
      </c>
      <c r="S290" s="346">
        <f t="shared" si="124"/>
        <v>80.35935509078034</v>
      </c>
      <c r="U290" s="319">
        <f t="shared" si="130"/>
        <v>19165.75</v>
      </c>
      <c r="V290" s="319">
        <f t="shared" si="131"/>
        <v>367325973.0625</v>
      </c>
      <c r="X290" s="345">
        <f t="shared" si="125"/>
        <v>17.60972302559194</v>
      </c>
      <c r="Y290" s="346">
        <f t="shared" si="126"/>
        <v>-5.7829775251611713</v>
      </c>
      <c r="AA290" s="345">
        <f t="shared" si="127"/>
        <v>21.15987758147233</v>
      </c>
      <c r="AB290" s="346">
        <f t="shared" si="128"/>
        <v>-93.857667384058487</v>
      </c>
      <c r="AD290">
        <f t="shared" si="132"/>
        <v>0</v>
      </c>
      <c r="AE290">
        <f t="shared" si="135"/>
        <v>0</v>
      </c>
    </row>
    <row r="291" spans="1:31" x14ac:dyDescent="0.2">
      <c r="A291" s="347">
        <v>19276.5</v>
      </c>
      <c r="B291" s="364">
        <f t="shared" si="129"/>
        <v>19.276499999999999</v>
      </c>
      <c r="C291" s="337">
        <f t="shared" si="110"/>
        <v>21.353487358776473</v>
      </c>
      <c r="D291" s="338">
        <f t="shared" si="111"/>
        <v>1.5239484342525662</v>
      </c>
      <c r="E291" s="338">
        <f t="shared" si="112"/>
        <v>1.0011728743164605</v>
      </c>
      <c r="F291" s="339">
        <f t="shared" si="113"/>
        <v>4.8409278053441862E-2</v>
      </c>
      <c r="G291" s="338">
        <f t="shared" si="114"/>
        <v>1</v>
      </c>
      <c r="H291" s="339">
        <f t="shared" si="115"/>
        <v>0</v>
      </c>
      <c r="I291" s="337">
        <f t="shared" si="116"/>
        <v>302340.02989706519</v>
      </c>
      <c r="J291" s="340">
        <f t="shared" si="117"/>
        <v>1.5707930192606598</v>
      </c>
      <c r="K291" s="348">
        <f t="shared" si="133"/>
        <v>29.964283709624539</v>
      </c>
      <c r="L291" s="349">
        <f t="shared" si="134"/>
        <v>1.5374170633456239</v>
      </c>
      <c r="M291" s="337">
        <f t="shared" si="118"/>
        <v>1.0022995238026631</v>
      </c>
      <c r="N291" s="340">
        <f t="shared" si="119"/>
        <v>6.7751397387889309E-2</v>
      </c>
      <c r="O291" s="341">
        <f t="shared" si="120"/>
        <v>1.0093336714989658</v>
      </c>
      <c r="P291" s="342">
        <f t="shared" si="121"/>
        <v>0.16350927105929941</v>
      </c>
      <c r="Q291" s="343">
        <f t="shared" si="122"/>
        <v>-10.155370831615677</v>
      </c>
      <c r="R291" s="344">
        <f t="shared" si="123"/>
        <v>-99.70472795097821</v>
      </c>
      <c r="S291" s="346">
        <f t="shared" si="124"/>
        <v>80.29527204902179</v>
      </c>
      <c r="U291" s="319">
        <f t="shared" si="130"/>
        <v>19276.5</v>
      </c>
      <c r="V291" s="319">
        <f t="shared" si="131"/>
        <v>371583452.25</v>
      </c>
      <c r="X291" s="345">
        <f t="shared" si="125"/>
        <v>17.609438895112987</v>
      </c>
      <c r="Y291" s="346">
        <f t="shared" si="126"/>
        <v>-5.7941705442067919</v>
      </c>
      <c r="AA291" s="345">
        <f t="shared" si="127"/>
        <v>21.109140257925588</v>
      </c>
      <c r="AB291" s="346">
        <f t="shared" si="128"/>
        <v>-93.910557406771431</v>
      </c>
      <c r="AD291">
        <f t="shared" si="132"/>
        <v>0</v>
      </c>
      <c r="AE291">
        <f t="shared" si="135"/>
        <v>0</v>
      </c>
    </row>
    <row r="292" spans="1:31" x14ac:dyDescent="0.2">
      <c r="A292" s="347">
        <v>19387.25</v>
      </c>
      <c r="B292" s="364">
        <f t="shared" si="129"/>
        <v>19.387250000000002</v>
      </c>
      <c r="C292" s="337">
        <f t="shared" si="110"/>
        <v>21.475902060627451</v>
      </c>
      <c r="D292" s="338">
        <f t="shared" si="111"/>
        <v>1.524215665592801</v>
      </c>
      <c r="E292" s="338">
        <f t="shared" si="112"/>
        <v>1.0011863821415221</v>
      </c>
      <c r="F292" s="339">
        <f t="shared" si="113"/>
        <v>4.8686967638463648E-2</v>
      </c>
      <c r="G292" s="338">
        <f t="shared" si="114"/>
        <v>1</v>
      </c>
      <c r="H292" s="339">
        <f t="shared" si="115"/>
        <v>0</v>
      </c>
      <c r="I292" s="337">
        <f t="shared" si="116"/>
        <v>304077.07543493429</v>
      </c>
      <c r="J292" s="340">
        <f t="shared" si="117"/>
        <v>1.5707930381550064</v>
      </c>
      <c r="K292" s="348">
        <f t="shared" si="133"/>
        <v>30.136247442619627</v>
      </c>
      <c r="L292" s="349">
        <f t="shared" si="134"/>
        <v>1.537607602571639</v>
      </c>
      <c r="M292" s="337">
        <f t="shared" si="118"/>
        <v>1.0023259920413912</v>
      </c>
      <c r="N292" s="340">
        <f t="shared" si="119"/>
        <v>6.8139451708583237E-2</v>
      </c>
      <c r="O292" s="341">
        <f t="shared" si="120"/>
        <v>1.0094408252083333</v>
      </c>
      <c r="P292" s="342">
        <f t="shared" si="121"/>
        <v>0.16443960717851017</v>
      </c>
      <c r="Q292" s="343">
        <f t="shared" si="122"/>
        <v>-10.20611223683739</v>
      </c>
      <c r="R292" s="344">
        <f t="shared" si="123"/>
        <v>-99.768750934804913</v>
      </c>
      <c r="S292" s="346">
        <f t="shared" si="124"/>
        <v>80.231249065195087</v>
      </c>
      <c r="U292" s="319">
        <f t="shared" si="130"/>
        <v>19387.25</v>
      </c>
      <c r="V292" s="319">
        <f t="shared" si="131"/>
        <v>375865462.5625</v>
      </c>
      <c r="X292" s="345">
        <f t="shared" si="125"/>
        <v>17.609154419939635</v>
      </c>
      <c r="Y292" s="346">
        <f t="shared" si="126"/>
        <v>-5.8054884081012528</v>
      </c>
      <c r="AA292" s="345">
        <f t="shared" si="127"/>
        <v>21.058683327877226</v>
      </c>
      <c r="AB292" s="346">
        <f t="shared" si="128"/>
        <v>-93.963262526703616</v>
      </c>
      <c r="AD292">
        <f t="shared" si="132"/>
        <v>0</v>
      </c>
      <c r="AE292">
        <f t="shared" si="135"/>
        <v>0</v>
      </c>
    </row>
    <row r="293" spans="1:31" x14ac:dyDescent="0.2">
      <c r="A293" s="347">
        <v>19498</v>
      </c>
      <c r="B293" s="364">
        <f t="shared" si="129"/>
        <v>19.498000000000001</v>
      </c>
      <c r="C293" s="337">
        <f t="shared" si="110"/>
        <v>21.598318278743335</v>
      </c>
      <c r="D293" s="338">
        <f t="shared" si="111"/>
        <v>1.5244798676927236</v>
      </c>
      <c r="E293" s="338">
        <f t="shared" si="112"/>
        <v>1.0011999671674863</v>
      </c>
      <c r="F293" s="339">
        <f t="shared" si="113"/>
        <v>4.8964649709099695E-2</v>
      </c>
      <c r="G293" s="338">
        <f t="shared" si="114"/>
        <v>1</v>
      </c>
      <c r="H293" s="339">
        <f t="shared" si="115"/>
        <v>0</v>
      </c>
      <c r="I293" s="337">
        <f t="shared" si="116"/>
        <v>305814.12097280356</v>
      </c>
      <c r="J293" s="340">
        <f t="shared" si="117"/>
        <v>1.5707930568347104</v>
      </c>
      <c r="K293" s="348">
        <f t="shared" si="133"/>
        <v>30.308212257301573</v>
      </c>
      <c r="L293" s="349">
        <f t="shared" si="134"/>
        <v>1.5377959796153551</v>
      </c>
      <c r="M293" s="337">
        <f t="shared" si="118"/>
        <v>1.002352611208553</v>
      </c>
      <c r="N293" s="340">
        <f t="shared" si="119"/>
        <v>6.852748547683081E-2</v>
      </c>
      <c r="O293" s="341">
        <f t="shared" si="120"/>
        <v>1.0095485835787987</v>
      </c>
      <c r="P293" s="342">
        <f t="shared" si="121"/>
        <v>0.16536978944554337</v>
      </c>
      <c r="Q293" s="343">
        <f t="shared" si="122"/>
        <v>-10.256576835651039</v>
      </c>
      <c r="R293" s="344">
        <f t="shared" si="123"/>
        <v>-99.832714665462277</v>
      </c>
      <c r="S293" s="346">
        <f t="shared" si="124"/>
        <v>80.167285334537723</v>
      </c>
      <c r="U293" s="319">
        <f t="shared" si="130"/>
        <v>19498</v>
      </c>
      <c r="V293" s="319">
        <f t="shared" si="131"/>
        <v>380172004</v>
      </c>
      <c r="X293" s="345">
        <f t="shared" si="125"/>
        <v>17.60886957860976</v>
      </c>
      <c r="Y293" s="346">
        <f t="shared" si="126"/>
        <v>-5.8169289660495878</v>
      </c>
      <c r="AA293" s="345">
        <f t="shared" si="127"/>
        <v>21.008503570393458</v>
      </c>
      <c r="AB293" s="346">
        <f t="shared" si="128"/>
        <v>-94.015785699412717</v>
      </c>
      <c r="AD293">
        <f t="shared" si="132"/>
        <v>0</v>
      </c>
      <c r="AE293">
        <f t="shared" si="135"/>
        <v>0</v>
      </c>
    </row>
    <row r="294" spans="1:31" x14ac:dyDescent="0.2">
      <c r="A294" s="347">
        <v>19611.75</v>
      </c>
      <c r="B294" s="364">
        <f t="shared" si="129"/>
        <v>19.611750000000001</v>
      </c>
      <c r="C294" s="337">
        <f t="shared" si="110"/>
        <v>21.72405206330248</v>
      </c>
      <c r="D294" s="338">
        <f t="shared" si="111"/>
        <v>1.5247481268250298</v>
      </c>
      <c r="E294" s="338">
        <f t="shared" si="112"/>
        <v>1.0012140005478809</v>
      </c>
      <c r="F294" s="339">
        <f t="shared" si="113"/>
        <v>4.9249845774568153E-2</v>
      </c>
      <c r="G294" s="338">
        <f t="shared" si="114"/>
        <v>1</v>
      </c>
      <c r="H294" s="339">
        <f t="shared" si="115"/>
        <v>0</v>
      </c>
      <c r="I294" s="337">
        <f t="shared" si="116"/>
        <v>307598.2196629403</v>
      </c>
      <c r="J294" s="340">
        <f t="shared" si="117"/>
        <v>1.5707930758007878</v>
      </c>
      <c r="K294" s="348">
        <f t="shared" si="133"/>
        <v>30.48483636790148</v>
      </c>
      <c r="L294" s="349">
        <f t="shared" si="134"/>
        <v>1.5379872470145342</v>
      </c>
      <c r="M294" s="337">
        <f t="shared" si="118"/>
        <v>1.0023801085403841</v>
      </c>
      <c r="N294" s="340">
        <f t="shared" si="119"/>
        <v>6.8926008801715913E-2</v>
      </c>
      <c r="O294" s="341">
        <f t="shared" si="120"/>
        <v>1.0096598902007952</v>
      </c>
      <c r="P294" s="342">
        <f t="shared" si="121"/>
        <v>0.16632500750527809</v>
      </c>
      <c r="Q294" s="343">
        <f t="shared" si="122"/>
        <v>-10.308123613887432</v>
      </c>
      <c r="R294" s="344">
        <f t="shared" si="123"/>
        <v>-99.898350190584907</v>
      </c>
      <c r="S294" s="346">
        <f t="shared" si="124"/>
        <v>80.101649809415093</v>
      </c>
      <c r="U294" s="319">
        <f t="shared" si="130"/>
        <v>19611.75</v>
      </c>
      <c r="V294" s="319">
        <f t="shared" si="131"/>
        <v>384620738.0625</v>
      </c>
      <c r="X294" s="345">
        <f t="shared" si="125"/>
        <v>17.608576618420997</v>
      </c>
      <c r="Y294" s="346">
        <f t="shared" si="126"/>
        <v>-5.8288049425613782</v>
      </c>
      <c r="AA294" s="345">
        <f t="shared" si="127"/>
        <v>20.957249752345824</v>
      </c>
      <c r="AB294" s="346">
        <f t="shared" si="128"/>
        <v>-94.069545248023516</v>
      </c>
      <c r="AD294">
        <f t="shared" si="132"/>
        <v>0</v>
      </c>
      <c r="AE294">
        <f t="shared" si="135"/>
        <v>0</v>
      </c>
    </row>
    <row r="295" spans="1:31" x14ac:dyDescent="0.2">
      <c r="A295" s="347">
        <v>19725.5</v>
      </c>
      <c r="B295" s="364">
        <f t="shared" si="129"/>
        <v>19.7255</v>
      </c>
      <c r="C295" s="337">
        <f t="shared" si="110"/>
        <v>21.849787393196486</v>
      </c>
      <c r="D295" s="338">
        <f t="shared" si="111"/>
        <v>1.5250132985639981</v>
      </c>
      <c r="E295" s="338">
        <f t="shared" si="112"/>
        <v>1.0012281153615277</v>
      </c>
      <c r="F295" s="339">
        <f t="shared" si="113"/>
        <v>4.9535033822129114E-2</v>
      </c>
      <c r="G295" s="338">
        <f t="shared" si="114"/>
        <v>1</v>
      </c>
      <c r="H295" s="339">
        <f t="shared" si="115"/>
        <v>0</v>
      </c>
      <c r="I295" s="337">
        <f t="shared" si="116"/>
        <v>309382.31835307711</v>
      </c>
      <c r="J295" s="340">
        <f t="shared" si="117"/>
        <v>1.5707930945481241</v>
      </c>
      <c r="K295" s="348">
        <f t="shared" si="133"/>
        <v>30.661461580886257</v>
      </c>
      <c r="L295" s="349">
        <f t="shared" si="134"/>
        <v>1.5381763108305599</v>
      </c>
      <c r="M295" s="337">
        <f t="shared" si="118"/>
        <v>1.0024077650623175</v>
      </c>
      <c r="N295" s="340">
        <f t="shared" si="119"/>
        <v>6.9324510199298459E-2</v>
      </c>
      <c r="O295" s="341">
        <f t="shared" si="120"/>
        <v>1.0097718343537205</v>
      </c>
      <c r="P295" s="342">
        <f t="shared" si="121"/>
        <v>0.16728006151884767</v>
      </c>
      <c r="Q295" s="343">
        <f t="shared" si="122"/>
        <v>-10.359385143164875</v>
      </c>
      <c r="R295" s="344">
        <f t="shared" si="123"/>
        <v>-99.963924868478458</v>
      </c>
      <c r="S295" s="346">
        <f t="shared" si="124"/>
        <v>80.036075131521542</v>
      </c>
      <c r="U295" s="319">
        <f t="shared" si="130"/>
        <v>19725.5</v>
      </c>
      <c r="V295" s="319">
        <f t="shared" si="131"/>
        <v>389095350.25</v>
      </c>
      <c r="X295" s="345">
        <f t="shared" si="125"/>
        <v>17.60828322803221</v>
      </c>
      <c r="Y295" s="346">
        <f t="shared" si="126"/>
        <v>-5.840805906212978</v>
      </c>
      <c r="AA295" s="345">
        <f t="shared" si="127"/>
        <v>20.906281613457168</v>
      </c>
      <c r="AB295" s="346">
        <f t="shared" si="128"/>
        <v>-94.123118962265508</v>
      </c>
      <c r="AD295">
        <f t="shared" si="132"/>
        <v>0</v>
      </c>
      <c r="AE295">
        <f t="shared" si="135"/>
        <v>0</v>
      </c>
    </row>
    <row r="296" spans="1:31" x14ac:dyDescent="0.2">
      <c r="A296" s="347">
        <v>19839.25</v>
      </c>
      <c r="B296" s="364">
        <f t="shared" si="129"/>
        <v>19.83925</v>
      </c>
      <c r="C296" s="337">
        <f t="shared" si="110"/>
        <v>21.975524241899944</v>
      </c>
      <c r="D296" s="338">
        <f t="shared" si="111"/>
        <v>1.525275435867214</v>
      </c>
      <c r="E296" s="338">
        <f t="shared" si="112"/>
        <v>1.0012423116049824</v>
      </c>
      <c r="F296" s="339">
        <f t="shared" si="113"/>
        <v>4.9820213805732705E-2</v>
      </c>
      <c r="G296" s="338">
        <f t="shared" si="114"/>
        <v>1</v>
      </c>
      <c r="H296" s="339">
        <f t="shared" si="115"/>
        <v>0</v>
      </c>
      <c r="I296" s="337">
        <f t="shared" si="116"/>
        <v>311166.41704321402</v>
      </c>
      <c r="J296" s="340">
        <f t="shared" si="117"/>
        <v>1.5707931130804813</v>
      </c>
      <c r="K296" s="348">
        <f t="shared" si="133"/>
        <v>30.838087877314184</v>
      </c>
      <c r="L296" s="349">
        <f t="shared" si="134"/>
        <v>1.5383632089131123</v>
      </c>
      <c r="M296" s="337">
        <f t="shared" si="118"/>
        <v>1.002435580761178</v>
      </c>
      <c r="N296" s="340">
        <f t="shared" si="119"/>
        <v>6.9722989544831859E-2</v>
      </c>
      <c r="O296" s="341">
        <f t="shared" si="120"/>
        <v>1.0098844158680342</v>
      </c>
      <c r="P296" s="342">
        <f t="shared" si="121"/>
        <v>0.16823495060328028</v>
      </c>
      <c r="Q296" s="343">
        <f t="shared" si="122"/>
        <v>-10.41036475970474</v>
      </c>
      <c r="R296" s="344">
        <f t="shared" si="123"/>
        <v>-100.02943950987826</v>
      </c>
      <c r="S296" s="346">
        <f t="shared" si="124"/>
        <v>79.970560490121741</v>
      </c>
      <c r="U296" s="319">
        <f t="shared" si="130"/>
        <v>19839.25</v>
      </c>
      <c r="V296" s="319">
        <f t="shared" si="131"/>
        <v>393595840.5625</v>
      </c>
      <c r="X296" s="345">
        <f t="shared" si="125"/>
        <v>17.607989386133415</v>
      </c>
      <c r="Y296" s="346">
        <f t="shared" si="126"/>
        <v>-5.8529296814455449</v>
      </c>
      <c r="AA296" s="345">
        <f t="shared" si="127"/>
        <v>20.8555958388161</v>
      </c>
      <c r="AB296" s="346">
        <f t="shared" si="128"/>
        <v>-94.176509828432742</v>
      </c>
      <c r="AD296">
        <f t="shared" si="132"/>
        <v>0</v>
      </c>
      <c r="AE296">
        <f t="shared" si="135"/>
        <v>0</v>
      </c>
    </row>
    <row r="297" spans="1:31" x14ac:dyDescent="0.2">
      <c r="A297" s="347">
        <v>19953</v>
      </c>
      <c r="B297" s="364">
        <f t="shared" si="129"/>
        <v>19.952999999999999</v>
      </c>
      <c r="C297" s="337">
        <f t="shared" si="110"/>
        <v>22.101262583490765</v>
      </c>
      <c r="D297" s="338">
        <f t="shared" si="111"/>
        <v>1.5255345904888094</v>
      </c>
      <c r="E297" s="338">
        <f t="shared" si="112"/>
        <v>1.0012565892747813</v>
      </c>
      <c r="F297" s="339">
        <f t="shared" si="113"/>
        <v>5.0105385679336902E-2</v>
      </c>
      <c r="G297" s="338">
        <f t="shared" si="114"/>
        <v>1</v>
      </c>
      <c r="H297" s="339">
        <f t="shared" si="115"/>
        <v>0</v>
      </c>
      <c r="I297" s="337">
        <f t="shared" si="116"/>
        <v>312950.515733351</v>
      </c>
      <c r="J297" s="340">
        <f t="shared" si="117"/>
        <v>1.5707931314015366</v>
      </c>
      <c r="K297" s="348">
        <f t="shared" si="133"/>
        <v>31.014715238674885</v>
      </c>
      <c r="L297" s="349">
        <f t="shared" si="134"/>
        <v>1.538547978250276</v>
      </c>
      <c r="M297" s="337">
        <f t="shared" si="118"/>
        <v>1.0024635556237145</v>
      </c>
      <c r="N297" s="340">
        <f t="shared" si="119"/>
        <v>7.0121446713611368E-2</v>
      </c>
      <c r="O297" s="341">
        <f t="shared" si="120"/>
        <v>1.0099976345733093</v>
      </c>
      <c r="P297" s="342">
        <f t="shared" si="121"/>
        <v>0.16918967387674894</v>
      </c>
      <c r="Q297" s="343">
        <f t="shared" si="122"/>
        <v>-10.461065742662738</v>
      </c>
      <c r="R297" s="344">
        <f t="shared" si="123"/>
        <v>-100.09489490599515</v>
      </c>
      <c r="S297" s="346">
        <f t="shared" si="124"/>
        <v>79.905105094004853</v>
      </c>
      <c r="U297" s="319">
        <f t="shared" si="130"/>
        <v>19953</v>
      </c>
      <c r="V297" s="319">
        <f t="shared" si="131"/>
        <v>398122209</v>
      </c>
      <c r="X297" s="345">
        <f t="shared" si="125"/>
        <v>17.607695072027433</v>
      </c>
      <c r="Y297" s="346">
        <f t="shared" si="126"/>
        <v>-5.8651741420635641</v>
      </c>
      <c r="AA297" s="345">
        <f t="shared" si="127"/>
        <v>20.805189169964088</v>
      </c>
      <c r="AB297" s="346">
        <f t="shared" si="128"/>
        <v>-94.229720763931567</v>
      </c>
      <c r="AD297">
        <f t="shared" si="132"/>
        <v>0</v>
      </c>
      <c r="AE297">
        <f t="shared" si="135"/>
        <v>0</v>
      </c>
    </row>
    <row r="298" spans="1:31" x14ac:dyDescent="0.2">
      <c r="A298" s="347">
        <v>20069</v>
      </c>
      <c r="B298" s="364">
        <f t="shared" si="129"/>
        <v>20.068999999999999</v>
      </c>
      <c r="C298" s="337">
        <f t="shared" si="110"/>
        <v>22.22948956832532</v>
      </c>
      <c r="D298" s="338">
        <f t="shared" si="111"/>
        <v>1.525795851916546</v>
      </c>
      <c r="E298" s="338">
        <f t="shared" si="112"/>
        <v>1.0012712332146361</v>
      </c>
      <c r="F298" s="339">
        <f t="shared" si="113"/>
        <v>5.0396189915342289E-2</v>
      </c>
      <c r="G298" s="338">
        <f t="shared" si="114"/>
        <v>1</v>
      </c>
      <c r="H298" s="339">
        <f t="shared" si="115"/>
        <v>0</v>
      </c>
      <c r="I298" s="337">
        <f t="shared" si="116"/>
        <v>314769.90428768867</v>
      </c>
      <c r="J298" s="340">
        <f t="shared" si="117"/>
        <v>1.5707931498710981</v>
      </c>
      <c r="K298" s="348">
        <f t="shared" si="133"/>
        <v>31.194837406048258</v>
      </c>
      <c r="L298" s="349">
        <f t="shared" si="134"/>
        <v>1.5387342475149475</v>
      </c>
      <c r="M298" s="337">
        <f t="shared" si="118"/>
        <v>1.0024922477386193</v>
      </c>
      <c r="N298" s="340">
        <f t="shared" si="119"/>
        <v>7.0527762484446255E-2</v>
      </c>
      <c r="O298" s="341">
        <f t="shared" si="120"/>
        <v>1.0101137488131433</v>
      </c>
      <c r="P298" s="342">
        <f t="shared" si="121"/>
        <v>0.17016311011037577</v>
      </c>
      <c r="Q298" s="343">
        <f t="shared" si="122"/>
        <v>-10.512485988223172</v>
      </c>
      <c r="R298" s="344">
        <f t="shared" si="123"/>
        <v>-100.16158480998222</v>
      </c>
      <c r="S298" s="346">
        <f t="shared" si="124"/>
        <v>79.838415190017784</v>
      </c>
      <c r="U298" s="319">
        <f t="shared" si="130"/>
        <v>20069</v>
      </c>
      <c r="V298" s="319">
        <f t="shared" si="131"/>
        <v>402764761</v>
      </c>
      <c r="X298" s="345">
        <f t="shared" si="125"/>
        <v>17.607394429174526</v>
      </c>
      <c r="Y298" s="346">
        <f t="shared" si="126"/>
        <v>-5.8777829364056586</v>
      </c>
      <c r="AA298" s="345">
        <f t="shared" si="127"/>
        <v>20.754069567256558</v>
      </c>
      <c r="AB298" s="346">
        <f t="shared" si="128"/>
        <v>-94.283801873576536</v>
      </c>
      <c r="AD298">
        <f t="shared" si="132"/>
        <v>0</v>
      </c>
      <c r="AE298">
        <f t="shared" si="135"/>
        <v>0</v>
      </c>
    </row>
    <row r="299" spans="1:31" x14ac:dyDescent="0.2">
      <c r="A299" s="347">
        <v>20185</v>
      </c>
      <c r="B299" s="364">
        <f t="shared" si="129"/>
        <v>20.184999999999999</v>
      </c>
      <c r="C299" s="337">
        <f t="shared" si="110"/>
        <v>22.357718053085424</v>
      </c>
      <c r="D299" s="338">
        <f t="shared" si="111"/>
        <v>1.5260541165302302</v>
      </c>
      <c r="E299" s="338">
        <f t="shared" si="112"/>
        <v>1.0012859618266181</v>
      </c>
      <c r="F299" s="339">
        <f t="shared" si="113"/>
        <v>5.0686985620655094E-2</v>
      </c>
      <c r="G299" s="338">
        <f t="shared" si="114"/>
        <v>1</v>
      </c>
      <c r="H299" s="339">
        <f t="shared" si="115"/>
        <v>0</v>
      </c>
      <c r="I299" s="337">
        <f t="shared" si="116"/>
        <v>316589.29284202645</v>
      </c>
      <c r="J299" s="340">
        <f t="shared" si="117"/>
        <v>1.5707931681283762</v>
      </c>
      <c r="K299" s="348">
        <f t="shared" si="133"/>
        <v>31.374960643337779</v>
      </c>
      <c r="L299" s="349">
        <f t="shared" si="134"/>
        <v>1.5389183780471389</v>
      </c>
      <c r="M299" s="337">
        <f t="shared" si="118"/>
        <v>1.0025211053479919</v>
      </c>
      <c r="N299" s="340">
        <f t="shared" si="119"/>
        <v>7.0934054930722953E-2</v>
      </c>
      <c r="O299" s="341">
        <f t="shared" si="120"/>
        <v>1.0102305253400172</v>
      </c>
      <c r="P299" s="342">
        <f t="shared" si="121"/>
        <v>0.1711363720600127</v>
      </c>
      <c r="Q299" s="343">
        <f t="shared" si="122"/>
        <v>-10.563623180376769</v>
      </c>
      <c r="R299" s="344">
        <f t="shared" si="123"/>
        <v>-100.22821470399055</v>
      </c>
      <c r="S299" s="346">
        <f t="shared" si="124"/>
        <v>79.771785296009455</v>
      </c>
      <c r="U299" s="319">
        <f t="shared" si="130"/>
        <v>20185</v>
      </c>
      <c r="V299" s="319">
        <f t="shared" si="131"/>
        <v>407434225</v>
      </c>
      <c r="X299" s="345">
        <f t="shared" si="125"/>
        <v>17.607093253633344</v>
      </c>
      <c r="Y299" s="346">
        <f t="shared" si="126"/>
        <v>-5.8905129225308164</v>
      </c>
      <c r="AA299" s="345">
        <f t="shared" si="127"/>
        <v>20.703233550644143</v>
      </c>
      <c r="AB299" s="346">
        <f t="shared" si="128"/>
        <v>-94.337701781459728</v>
      </c>
      <c r="AD299">
        <f t="shared" si="132"/>
        <v>0</v>
      </c>
      <c r="AE299">
        <f t="shared" si="135"/>
        <v>0</v>
      </c>
    </row>
    <row r="300" spans="1:31" x14ac:dyDescent="0.2">
      <c r="A300" s="347">
        <v>20301</v>
      </c>
      <c r="B300" s="364">
        <f t="shared" si="129"/>
        <v>20.300999999999998</v>
      </c>
      <c r="C300" s="337">
        <f t="shared" si="110"/>
        <v>22.485948012110633</v>
      </c>
      <c r="D300" s="338">
        <f t="shared" si="111"/>
        <v>1.5263094355646434</v>
      </c>
      <c r="E300" s="338">
        <f t="shared" si="112"/>
        <v>1.0013007751069909</v>
      </c>
      <c r="F300" s="339">
        <f t="shared" si="113"/>
        <v>5.0977772746472222E-2</v>
      </c>
      <c r="G300" s="338">
        <f t="shared" si="114"/>
        <v>1</v>
      </c>
      <c r="H300" s="339">
        <f t="shared" si="115"/>
        <v>0</v>
      </c>
      <c r="I300" s="337">
        <f t="shared" si="116"/>
        <v>318408.68139636435</v>
      </c>
      <c r="J300" s="340">
        <f t="shared" si="117"/>
        <v>1.5707931861770101</v>
      </c>
      <c r="K300" s="348">
        <f t="shared" si="133"/>
        <v>31.555084932221511</v>
      </c>
      <c r="L300" s="349">
        <f t="shared" si="134"/>
        <v>1.5391004064595106</v>
      </c>
      <c r="M300" s="337">
        <f t="shared" si="118"/>
        <v>1.0025501284375411</v>
      </c>
      <c r="N300" s="340">
        <f t="shared" si="119"/>
        <v>7.1340323920325119E-2</v>
      </c>
      <c r="O300" s="341">
        <f t="shared" si="120"/>
        <v>1.0103479639703541</v>
      </c>
      <c r="P300" s="342">
        <f t="shared" si="121"/>
        <v>0.17210945879417616</v>
      </c>
      <c r="Q300" s="343">
        <f t="shared" si="122"/>
        <v>-10.614480621591776</v>
      </c>
      <c r="R300" s="344">
        <f t="shared" si="123"/>
        <v>-100.29478536787093</v>
      </c>
      <c r="S300" s="346">
        <f t="shared" si="124"/>
        <v>79.705214632129071</v>
      </c>
      <c r="U300" s="319">
        <f t="shared" si="130"/>
        <v>20301</v>
      </c>
      <c r="V300" s="319">
        <f t="shared" si="131"/>
        <v>412130601</v>
      </c>
      <c r="X300" s="345">
        <f t="shared" si="125"/>
        <v>17.606791525292365</v>
      </c>
      <c r="Y300" s="346">
        <f t="shared" si="126"/>
        <v>-5.9033619953269385</v>
      </c>
      <c r="AA300" s="345">
        <f t="shared" si="127"/>
        <v>20.652677837770117</v>
      </c>
      <c r="AB300" s="346">
        <f t="shared" si="128"/>
        <v>-94.391423372544025</v>
      </c>
      <c r="AD300">
        <f t="shared" si="132"/>
        <v>0</v>
      </c>
      <c r="AE300">
        <f t="shared" si="135"/>
        <v>0</v>
      </c>
    </row>
    <row r="301" spans="1:31" x14ac:dyDescent="0.2">
      <c r="A301" s="347">
        <v>20417</v>
      </c>
      <c r="B301" s="364">
        <f t="shared" si="129"/>
        <v>20.417000000000002</v>
      </c>
      <c r="C301" s="337">
        <f t="shared" si="110"/>
        <v>22.614179420322216</v>
      </c>
      <c r="D301" s="338">
        <f t="shared" si="111"/>
        <v>1.526561859094036</v>
      </c>
      <c r="E301" s="338">
        <f t="shared" si="112"/>
        <v>1.0013156730519968</v>
      </c>
      <c r="F301" s="339">
        <f t="shared" si="113"/>
        <v>5.1268551243999282E-2</v>
      </c>
      <c r="G301" s="338">
        <f t="shared" si="114"/>
        <v>1</v>
      </c>
      <c r="H301" s="339">
        <f t="shared" si="115"/>
        <v>0</v>
      </c>
      <c r="I301" s="337">
        <f t="shared" si="116"/>
        <v>320228.06995070225</v>
      </c>
      <c r="J301" s="340">
        <f t="shared" si="117"/>
        <v>1.5707932040205559</v>
      </c>
      <c r="K301" s="348">
        <f t="shared" si="133"/>
        <v>31.735210254793376</v>
      </c>
      <c r="L301" s="349">
        <f t="shared" si="134"/>
        <v>1.5392803685340506</v>
      </c>
      <c r="M301" s="337">
        <f t="shared" si="118"/>
        <v>1.002579316992896</v>
      </c>
      <c r="N301" s="340">
        <f t="shared" si="119"/>
        <v>7.1746569321182674E-2</v>
      </c>
      <c r="O301" s="341">
        <f t="shared" si="120"/>
        <v>1.0104660645196266</v>
      </c>
      <c r="P301" s="342">
        <f t="shared" si="121"/>
        <v>0.17308236938264393</v>
      </c>
      <c r="Q301" s="343">
        <f t="shared" si="122"/>
        <v>-10.665061558023375</v>
      </c>
      <c r="R301" s="344">
        <f t="shared" si="123"/>
        <v>-100.36129756264434</v>
      </c>
      <c r="S301" s="346">
        <f t="shared" si="124"/>
        <v>79.638702437355661</v>
      </c>
      <c r="U301" s="319">
        <f t="shared" si="130"/>
        <v>20417</v>
      </c>
      <c r="V301" s="319">
        <f t="shared" si="131"/>
        <v>416853889</v>
      </c>
      <c r="X301" s="345">
        <f t="shared" si="125"/>
        <v>17.606489224617562</v>
      </c>
      <c r="Y301" s="346">
        <f t="shared" si="126"/>
        <v>-5.9163280972737962</v>
      </c>
      <c r="AA301" s="345">
        <f t="shared" si="127"/>
        <v>20.602399202013324</v>
      </c>
      <c r="AB301" s="346">
        <f t="shared" si="128"/>
        <v>-94.444969465370534</v>
      </c>
      <c r="AD301">
        <f t="shared" si="132"/>
        <v>0</v>
      </c>
      <c r="AE301">
        <f t="shared" si="135"/>
        <v>0</v>
      </c>
    </row>
    <row r="302" spans="1:31" x14ac:dyDescent="0.2">
      <c r="A302" s="347">
        <v>20536</v>
      </c>
      <c r="B302" s="364">
        <f t="shared" si="129"/>
        <v>20.536000000000001</v>
      </c>
      <c r="C302" s="337">
        <f t="shared" si="110"/>
        <v>22.745728638257582</v>
      </c>
      <c r="D302" s="338">
        <f t="shared" si="111"/>
        <v>1.5268178533116992</v>
      </c>
      <c r="E302" s="338">
        <f t="shared" si="112"/>
        <v>1.001331044262074</v>
      </c>
      <c r="F302" s="339">
        <f t="shared" si="113"/>
        <v>5.1566840858057877E-2</v>
      </c>
      <c r="G302" s="338">
        <f t="shared" si="114"/>
        <v>1</v>
      </c>
      <c r="H302" s="339">
        <f t="shared" si="115"/>
        <v>0</v>
      </c>
      <c r="I302" s="337">
        <f t="shared" si="116"/>
        <v>322094.51165730768</v>
      </c>
      <c r="J302" s="340">
        <f t="shared" si="117"/>
        <v>1.5707932221161027</v>
      </c>
      <c r="K302" s="348">
        <f t="shared" si="133"/>
        <v>31.919995046672977</v>
      </c>
      <c r="L302" s="349">
        <f t="shared" si="134"/>
        <v>1.5394628742628189</v>
      </c>
      <c r="M302" s="337">
        <f t="shared" si="118"/>
        <v>1.0026094323496091</v>
      </c>
      <c r="N302" s="340">
        <f t="shared" si="119"/>
        <v>7.2163296418528575E-2</v>
      </c>
      <c r="O302" s="341">
        <f t="shared" si="120"/>
        <v>1.0105879070172337</v>
      </c>
      <c r="P302" s="342">
        <f t="shared" si="121"/>
        <v>0.17408025744039146</v>
      </c>
      <c r="Q302" s="343">
        <f t="shared" si="122"/>
        <v>-10.716666642581396</v>
      </c>
      <c r="R302" s="344">
        <f t="shared" si="123"/>
        <v>-100.42946992184109</v>
      </c>
      <c r="S302" s="346">
        <f t="shared" si="124"/>
        <v>79.57053007815891</v>
      </c>
      <c r="U302" s="319">
        <f t="shared" si="130"/>
        <v>20536</v>
      </c>
      <c r="V302" s="319">
        <f t="shared" si="131"/>
        <v>421727296</v>
      </c>
      <c r="X302" s="345">
        <f t="shared" si="125"/>
        <v>17.606178491209256</v>
      </c>
      <c r="Y302" s="346">
        <f t="shared" si="126"/>
        <v>-5.929749029978864</v>
      </c>
      <c r="AA302" s="345">
        <f t="shared" si="127"/>
        <v>20.551104850863609</v>
      </c>
      <c r="AB302" s="346">
        <f t="shared" si="128"/>
        <v>-94.499720891862239</v>
      </c>
      <c r="AD302">
        <f t="shared" si="132"/>
        <v>0</v>
      </c>
      <c r="AE302">
        <f t="shared" si="135"/>
        <v>0</v>
      </c>
    </row>
    <row r="303" spans="1:31" x14ac:dyDescent="0.2">
      <c r="A303" s="347">
        <v>20655</v>
      </c>
      <c r="B303" s="364">
        <f t="shared" si="129"/>
        <v>20.655000000000001</v>
      </c>
      <c r="C303" s="337">
        <f t="shared" si="110"/>
        <v>22.877279329647124</v>
      </c>
      <c r="D303" s="338">
        <f t="shared" si="111"/>
        <v>1.5270709034705026</v>
      </c>
      <c r="E303" s="338">
        <f t="shared" si="112"/>
        <v>1.0013465045645367</v>
      </c>
      <c r="F303" s="339">
        <f t="shared" si="113"/>
        <v>5.1865121287762987E-2</v>
      </c>
      <c r="G303" s="338">
        <f t="shared" si="114"/>
        <v>1</v>
      </c>
      <c r="H303" s="339">
        <f t="shared" si="115"/>
        <v>0</v>
      </c>
      <c r="I303" s="337">
        <f t="shared" si="116"/>
        <v>323960.95336391329</v>
      </c>
      <c r="J303" s="340">
        <f t="shared" si="117"/>
        <v>1.570793240003141</v>
      </c>
      <c r="K303" s="348">
        <f t="shared" si="133"/>
        <v>32.104780889515737</v>
      </c>
      <c r="L303" s="349">
        <f t="shared" si="134"/>
        <v>1.5396432790970511</v>
      </c>
      <c r="M303" s="337">
        <f t="shared" si="118"/>
        <v>1.0026397218104766</v>
      </c>
      <c r="N303" s="340">
        <f t="shared" si="119"/>
        <v>7.2579998409821711E-2</v>
      </c>
      <c r="O303" s="341">
        <f t="shared" si="120"/>
        <v>1.0107104457172071</v>
      </c>
      <c r="P303" s="342">
        <f t="shared" si="121"/>
        <v>0.17507795814450861</v>
      </c>
      <c r="Q303" s="343">
        <f t="shared" si="122"/>
        <v>-10.767987479830662</v>
      </c>
      <c r="R303" s="344">
        <f t="shared" si="123"/>
        <v>-100.4975823125155</v>
      </c>
      <c r="S303" s="346">
        <f t="shared" si="124"/>
        <v>79.502417687484495</v>
      </c>
      <c r="U303" s="319">
        <f t="shared" si="130"/>
        <v>20655</v>
      </c>
      <c r="V303" s="319">
        <f t="shared" si="131"/>
        <v>426629025</v>
      </c>
      <c r="X303" s="345">
        <f t="shared" si="125"/>
        <v>17.605867115616036</v>
      </c>
      <c r="Y303" s="346">
        <f t="shared" si="126"/>
        <v>-5.9432888846566652</v>
      </c>
      <c r="AA303" s="345">
        <f t="shared" si="127"/>
        <v>20.500095389207551</v>
      </c>
      <c r="AB303" s="346">
        <f t="shared" si="128"/>
        <v>-94.554293427858838</v>
      </c>
      <c r="AD303">
        <f t="shared" si="132"/>
        <v>0</v>
      </c>
      <c r="AE303">
        <f t="shared" si="135"/>
        <v>0</v>
      </c>
    </row>
    <row r="304" spans="1:31" x14ac:dyDescent="0.2">
      <c r="A304" s="347">
        <v>20774</v>
      </c>
      <c r="B304" s="364">
        <f t="shared" si="129"/>
        <v>20.774000000000001</v>
      </c>
      <c r="C304" s="337">
        <f t="shared" si="110"/>
        <v>23.008831469217863</v>
      </c>
      <c r="D304" s="338">
        <f t="shared" si="111"/>
        <v>1.5273210600353986</v>
      </c>
      <c r="E304" s="338">
        <f t="shared" si="112"/>
        <v>1.001362053955259</v>
      </c>
      <c r="F304" s="339">
        <f t="shared" si="113"/>
        <v>5.2163392480464518E-2</v>
      </c>
      <c r="G304" s="338">
        <f t="shared" si="114"/>
        <v>1</v>
      </c>
      <c r="H304" s="339">
        <f t="shared" si="115"/>
        <v>0</v>
      </c>
      <c r="I304" s="337">
        <f t="shared" si="116"/>
        <v>325827.39507051883</v>
      </c>
      <c r="J304" s="340">
        <f t="shared" si="117"/>
        <v>1.5707932576852541</v>
      </c>
      <c r="K304" s="348">
        <f t="shared" si="133"/>
        <v>32.289567765278385</v>
      </c>
      <c r="L304" s="349">
        <f t="shared" si="134"/>
        <v>1.5398216190939267</v>
      </c>
      <c r="M304" s="337">
        <f t="shared" si="118"/>
        <v>1.00267018535972</v>
      </c>
      <c r="N304" s="340">
        <f t="shared" si="119"/>
        <v>7.2996675152631224E-2</v>
      </c>
      <c r="O304" s="341">
        <f t="shared" si="120"/>
        <v>1.0108336804172211</v>
      </c>
      <c r="P304" s="342">
        <f t="shared" si="121"/>
        <v>0.17607547049489561</v>
      </c>
      <c r="Q304" s="343">
        <f t="shared" si="122"/>
        <v>-10.819027397867076</v>
      </c>
      <c r="R304" s="344">
        <f t="shared" si="123"/>
        <v>-100.56563549793188</v>
      </c>
      <c r="S304" s="346">
        <f t="shared" si="124"/>
        <v>79.434364502068121</v>
      </c>
      <c r="U304" s="319">
        <f t="shared" si="130"/>
        <v>20774</v>
      </c>
      <c r="V304" s="319">
        <f t="shared" si="131"/>
        <v>431559076</v>
      </c>
      <c r="X304" s="345">
        <f t="shared" si="125"/>
        <v>17.605555078517785</v>
      </c>
      <c r="Y304" s="346">
        <f t="shared" si="126"/>
        <v>-5.956945587427624</v>
      </c>
      <c r="AA304" s="345">
        <f t="shared" si="127"/>
        <v>20.449367508269397</v>
      </c>
      <c r="AB304" s="346">
        <f t="shared" si="128"/>
        <v>-94.608689910504253</v>
      </c>
      <c r="AD304">
        <f t="shared" si="132"/>
        <v>0</v>
      </c>
      <c r="AE304">
        <f t="shared" si="135"/>
        <v>0</v>
      </c>
    </row>
    <row r="305" spans="1:31" x14ac:dyDescent="0.2">
      <c r="A305" s="347">
        <v>20893</v>
      </c>
      <c r="B305" s="364">
        <f t="shared" si="129"/>
        <v>20.893000000000001</v>
      </c>
      <c r="C305" s="337">
        <f t="shared" si="110"/>
        <v>23.140385032271261</v>
      </c>
      <c r="D305" s="338">
        <f t="shared" si="111"/>
        <v>1.5275683723252307</v>
      </c>
      <c r="E305" s="338">
        <f t="shared" si="112"/>
        <v>1.0013776924300903</v>
      </c>
      <c r="F305" s="339">
        <f t="shared" si="113"/>
        <v>5.246165438352219E-2</v>
      </c>
      <c r="G305" s="338">
        <f t="shared" si="114"/>
        <v>1</v>
      </c>
      <c r="H305" s="339">
        <f t="shared" si="115"/>
        <v>0</v>
      </c>
      <c r="I305" s="337">
        <f t="shared" si="116"/>
        <v>327693.83677712461</v>
      </c>
      <c r="J305" s="340">
        <f t="shared" si="117"/>
        <v>1.5707932751659437</v>
      </c>
      <c r="K305" s="348">
        <f t="shared" si="133"/>
        <v>32.474355656328257</v>
      </c>
      <c r="L305" s="349">
        <f t="shared" si="134"/>
        <v>1.5399979294904573</v>
      </c>
      <c r="M305" s="337">
        <f t="shared" si="118"/>
        <v>1.0027008229814725</v>
      </c>
      <c r="N305" s="340">
        <f t="shared" si="119"/>
        <v>7.3413326504578588E-2</v>
      </c>
      <c r="O305" s="341">
        <f t="shared" si="120"/>
        <v>1.0109576109139049</v>
      </c>
      <c r="P305" s="342">
        <f t="shared" si="121"/>
        <v>0.17707279349287608</v>
      </c>
      <c r="Q305" s="343">
        <f t="shared" si="122"/>
        <v>-10.869789667877313</v>
      </c>
      <c r="R305" s="344">
        <f t="shared" si="123"/>
        <v>-100.63363022275878</v>
      </c>
      <c r="S305" s="346">
        <f t="shared" si="124"/>
        <v>79.366369777241218</v>
      </c>
      <c r="U305" s="319">
        <f t="shared" si="130"/>
        <v>20893</v>
      </c>
      <c r="V305" s="319">
        <f t="shared" si="131"/>
        <v>436517449</v>
      </c>
      <c r="X305" s="345">
        <f t="shared" si="125"/>
        <v>17.605242361151742</v>
      </c>
      <c r="Y305" s="346">
        <f t="shared" si="126"/>
        <v>-5.9707171114026201</v>
      </c>
      <c r="AA305" s="345">
        <f t="shared" si="127"/>
        <v>20.398917955625198</v>
      </c>
      <c r="AB305" s="346">
        <f t="shared" si="128"/>
        <v>-94.66291311135619</v>
      </c>
      <c r="AD305">
        <f t="shared" si="132"/>
        <v>0</v>
      </c>
      <c r="AE305">
        <f t="shared" si="135"/>
        <v>0</v>
      </c>
    </row>
    <row r="306" spans="1:31" x14ac:dyDescent="0.2">
      <c r="A306" s="347">
        <v>21014.75</v>
      </c>
      <c r="B306" s="364">
        <f t="shared" si="129"/>
        <v>21.014749999999999</v>
      </c>
      <c r="C306" s="337">
        <f t="shared" si="110"/>
        <v>23.274980146705925</v>
      </c>
      <c r="D306" s="338">
        <f t="shared" si="111"/>
        <v>1.5278185064535827</v>
      </c>
      <c r="E306" s="338">
        <f t="shared" si="112"/>
        <v>1.0013937844897907</v>
      </c>
      <c r="F306" s="339">
        <f t="shared" si="113"/>
        <v>5.2766799224555627E-2</v>
      </c>
      <c r="G306" s="338">
        <f t="shared" si="114"/>
        <v>1</v>
      </c>
      <c r="H306" s="339">
        <f t="shared" si="115"/>
        <v>0</v>
      </c>
      <c r="I306" s="337">
        <f t="shared" si="116"/>
        <v>329603.41053997551</v>
      </c>
      <c r="J306" s="340">
        <f t="shared" si="117"/>
        <v>1.570793292845708</v>
      </c>
      <c r="K306" s="348">
        <f t="shared" si="133"/>
        <v>32.663414888566066</v>
      </c>
      <c r="L306" s="349">
        <f t="shared" si="134"/>
        <v>1.540176249703741</v>
      </c>
      <c r="M306" s="337">
        <f t="shared" si="118"/>
        <v>1.0027323487518665</v>
      </c>
      <c r="N306" s="340">
        <f t="shared" si="119"/>
        <v>7.3839579927935731E-2</v>
      </c>
      <c r="O306" s="341">
        <f t="shared" si="120"/>
        <v>1.0110851252389095</v>
      </c>
      <c r="P306" s="342">
        <f t="shared" si="121"/>
        <v>0.17809296686438567</v>
      </c>
      <c r="Q306" s="343">
        <f t="shared" si="122"/>
        <v>-10.921441022231013</v>
      </c>
      <c r="R306" s="344">
        <f t="shared" si="123"/>
        <v>-100.70313650924693</v>
      </c>
      <c r="S306" s="346">
        <f t="shared" si="124"/>
        <v>79.296863490753069</v>
      </c>
      <c r="U306" s="319">
        <f t="shared" si="130"/>
        <v>21014.75</v>
      </c>
      <c r="V306" s="319">
        <f t="shared" si="131"/>
        <v>441619717.5625</v>
      </c>
      <c r="X306" s="345">
        <f t="shared" si="125"/>
        <v>17.60492169409082</v>
      </c>
      <c r="Y306" s="346">
        <f t="shared" si="126"/>
        <v>-5.9849236509330632</v>
      </c>
      <c r="AA306" s="345">
        <f t="shared" si="127"/>
        <v>20.347587268332422</v>
      </c>
      <c r="AB306" s="346">
        <f t="shared" si="128"/>
        <v>-94.718212858313848</v>
      </c>
      <c r="AD306">
        <f t="shared" si="132"/>
        <v>0</v>
      </c>
      <c r="AE306">
        <f t="shared" si="135"/>
        <v>0</v>
      </c>
    </row>
    <row r="307" spans="1:31" x14ac:dyDescent="0.2">
      <c r="A307" s="347">
        <v>21136.5</v>
      </c>
      <c r="B307" s="364">
        <f t="shared" si="129"/>
        <v>21.136500000000002</v>
      </c>
      <c r="C307" s="337">
        <f t="shared" si="110"/>
        <v>23.409576700642528</v>
      </c>
      <c r="D307" s="338">
        <f t="shared" si="111"/>
        <v>1.5280657642366866</v>
      </c>
      <c r="E307" s="338">
        <f t="shared" si="112"/>
        <v>1.001409969789643</v>
      </c>
      <c r="F307" s="339">
        <f t="shared" si="113"/>
        <v>5.3071934230186635E-2</v>
      </c>
      <c r="G307" s="338">
        <f t="shared" si="114"/>
        <v>1</v>
      </c>
      <c r="H307" s="339">
        <f t="shared" si="115"/>
        <v>0</v>
      </c>
      <c r="I307" s="337">
        <f t="shared" si="116"/>
        <v>331512.98430282652</v>
      </c>
      <c r="J307" s="340">
        <f t="shared" si="117"/>
        <v>1.570793310321795</v>
      </c>
      <c r="K307" s="348">
        <f t="shared" si="133"/>
        <v>32.8524751474841</v>
      </c>
      <c r="L307" s="349">
        <f t="shared" si="134"/>
        <v>1.5403525175191852</v>
      </c>
      <c r="M307" s="337">
        <f t="shared" si="118"/>
        <v>1.0027640566992124</v>
      </c>
      <c r="N307" s="340">
        <f t="shared" si="119"/>
        <v>7.4265806471998486E-2</v>
      </c>
      <c r="O307" s="341">
        <f t="shared" si="120"/>
        <v>1.0112133674568149</v>
      </c>
      <c r="P307" s="342">
        <f t="shared" si="121"/>
        <v>0.17911293992048369</v>
      </c>
      <c r="Q307" s="343">
        <f t="shared" si="122"/>
        <v>-10.97280849828628</v>
      </c>
      <c r="R307" s="344">
        <f t="shared" si="123"/>
        <v>-100.77258312158533</v>
      </c>
      <c r="S307" s="346">
        <f t="shared" si="124"/>
        <v>79.227416878414672</v>
      </c>
      <c r="U307" s="319">
        <f t="shared" si="130"/>
        <v>21136.5</v>
      </c>
      <c r="V307" s="319">
        <f t="shared" si="131"/>
        <v>446751632.25</v>
      </c>
      <c r="X307" s="345">
        <f t="shared" si="125"/>
        <v>17.604600276930341</v>
      </c>
      <c r="Y307" s="346">
        <f t="shared" si="126"/>
        <v>-5.9992462324577636</v>
      </c>
      <c r="AA307" s="345">
        <f t="shared" si="127"/>
        <v>20.296541209437635</v>
      </c>
      <c r="AB307" s="346">
        <f t="shared" si="128"/>
        <v>-94.773336889127563</v>
      </c>
      <c r="AD307">
        <f t="shared" si="132"/>
        <v>0</v>
      </c>
      <c r="AE307">
        <f t="shared" si="135"/>
        <v>0</v>
      </c>
    </row>
    <row r="308" spans="1:31" x14ac:dyDescent="0.2">
      <c r="A308" s="347">
        <v>21258.25</v>
      </c>
      <c r="B308" s="364">
        <f t="shared" si="129"/>
        <v>21.25825</v>
      </c>
      <c r="C308" s="337">
        <f t="shared" si="110"/>
        <v>23.544174669393168</v>
      </c>
      <c r="D308" s="338">
        <f t="shared" si="111"/>
        <v>1.52831019497475</v>
      </c>
      <c r="E308" s="338">
        <f t="shared" si="112"/>
        <v>1.0014262483251271</v>
      </c>
      <c r="F308" s="339">
        <f t="shared" si="113"/>
        <v>5.3377059344072844E-2</v>
      </c>
      <c r="G308" s="338">
        <f t="shared" si="114"/>
        <v>1</v>
      </c>
      <c r="H308" s="339">
        <f t="shared" si="115"/>
        <v>0</v>
      </c>
      <c r="I308" s="337">
        <f t="shared" si="116"/>
        <v>333422.5580656777</v>
      </c>
      <c r="J308" s="340">
        <f t="shared" si="117"/>
        <v>1.5707933275977044</v>
      </c>
      <c r="K308" s="348">
        <f t="shared" si="133"/>
        <v>33.041536415458658</v>
      </c>
      <c r="L308" s="349">
        <f t="shared" si="134"/>
        <v>1.5405267681567549</v>
      </c>
      <c r="M308" s="337">
        <f t="shared" si="118"/>
        <v>1.0027959468062293</v>
      </c>
      <c r="N308" s="340">
        <f t="shared" si="119"/>
        <v>7.4692005984459589E-2</v>
      </c>
      <c r="O308" s="341">
        <f t="shared" si="120"/>
        <v>1.0113423373464387</v>
      </c>
      <c r="P308" s="342">
        <f t="shared" si="121"/>
        <v>0.18013271159631386</v>
      </c>
      <c r="Q308" s="343">
        <f t="shared" si="122"/>
        <v>-11.023895422625682</v>
      </c>
      <c r="R308" s="344">
        <f t="shared" si="123"/>
        <v>-100.84197080020287</v>
      </c>
      <c r="S308" s="346">
        <f t="shared" si="124"/>
        <v>79.158029199797127</v>
      </c>
      <c r="U308" s="319">
        <f t="shared" si="130"/>
        <v>21258.25</v>
      </c>
      <c r="V308" s="319">
        <f t="shared" si="131"/>
        <v>451913193.0625</v>
      </c>
      <c r="X308" s="345">
        <f t="shared" si="125"/>
        <v>17.604278091267705</v>
      </c>
      <c r="Y308" s="346">
        <f t="shared" si="126"/>
        <v>-6.0136828294952966</v>
      </c>
      <c r="AA308" s="345">
        <f t="shared" si="127"/>
        <v>20.245776470760866</v>
      </c>
      <c r="AB308" s="346">
        <f t="shared" si="128"/>
        <v>-94.828287970707578</v>
      </c>
      <c r="AD308">
        <f t="shared" si="132"/>
        <v>0</v>
      </c>
      <c r="AE308">
        <f t="shared" si="135"/>
        <v>0</v>
      </c>
    </row>
    <row r="309" spans="1:31" x14ac:dyDescent="0.2">
      <c r="A309" s="347">
        <v>21380</v>
      </c>
      <c r="B309" s="364">
        <f t="shared" si="129"/>
        <v>21.38</v>
      </c>
      <c r="C309" s="337">
        <f t="shared" si="110"/>
        <v>23.678774028831047</v>
      </c>
      <c r="D309" s="338">
        <f t="shared" si="111"/>
        <v>1.5285518468483827</v>
      </c>
      <c r="E309" s="338">
        <f t="shared" si="112"/>
        <v>1.0014426200916955</v>
      </c>
      <c r="F309" s="339">
        <f t="shared" si="113"/>
        <v>5.3682174509882899E-2</v>
      </c>
      <c r="G309" s="338">
        <f t="shared" si="114"/>
        <v>1</v>
      </c>
      <c r="H309" s="339">
        <f t="shared" si="115"/>
        <v>0</v>
      </c>
      <c r="I309" s="337">
        <f t="shared" si="116"/>
        <v>335332.13182852889</v>
      </c>
      <c r="J309" s="340">
        <f t="shared" si="117"/>
        <v>1.5707933446768558</v>
      </c>
      <c r="K309" s="348">
        <f t="shared" si="133"/>
        <v>33.230598675267061</v>
      </c>
      <c r="L309" s="349">
        <f t="shared" si="134"/>
        <v>1.5406990360353894</v>
      </c>
      <c r="M309" s="337">
        <f t="shared" si="118"/>
        <v>1.002828019055539</v>
      </c>
      <c r="N309" s="340">
        <f t="shared" si="119"/>
        <v>7.5118178313070411E-2</v>
      </c>
      <c r="O309" s="341">
        <f t="shared" si="120"/>
        <v>1.0114720346854624</v>
      </c>
      <c r="P309" s="342">
        <f t="shared" si="121"/>
        <v>0.18115228082860807</v>
      </c>
      <c r="Q309" s="343">
        <f t="shared" si="122"/>
        <v>-11.074705064941867</v>
      </c>
      <c r="R309" s="344">
        <f t="shared" si="123"/>
        <v>-100.91130026736471</v>
      </c>
      <c r="S309" s="346">
        <f t="shared" si="124"/>
        <v>79.088699732635291</v>
      </c>
      <c r="U309" s="319">
        <f t="shared" si="130"/>
        <v>21380</v>
      </c>
      <c r="V309" s="319">
        <f t="shared" si="131"/>
        <v>457104400</v>
      </c>
      <c r="X309" s="345">
        <f t="shared" si="125"/>
        <v>17.603955119232459</v>
      </c>
      <c r="Y309" s="346">
        <f t="shared" si="126"/>
        <v>-6.0282314614584473</v>
      </c>
      <c r="AA309" s="345">
        <f t="shared" si="127"/>
        <v>20.195289800479923</v>
      </c>
      <c r="AB309" s="346">
        <f t="shared" si="128"/>
        <v>-94.883068805906262</v>
      </c>
      <c r="AD309">
        <f t="shared" si="132"/>
        <v>0</v>
      </c>
      <c r="AE309">
        <f t="shared" si="135"/>
        <v>0</v>
      </c>
    </row>
    <row r="310" spans="1:31" x14ac:dyDescent="0.2">
      <c r="A310" s="347">
        <v>21504.5</v>
      </c>
      <c r="B310" s="364">
        <f t="shared" si="129"/>
        <v>21.5045</v>
      </c>
      <c r="C310" s="337">
        <f t="shared" si="110"/>
        <v>23.816415033799643</v>
      </c>
      <c r="D310" s="338">
        <f t="shared" si="111"/>
        <v>1.528796132314715</v>
      </c>
      <c r="E310" s="338">
        <f t="shared" si="112"/>
        <v>1.0014594580606155</v>
      </c>
      <c r="F310" s="339">
        <f t="shared" si="113"/>
        <v>5.3994171047672311E-2</v>
      </c>
      <c r="G310" s="338">
        <f t="shared" si="114"/>
        <v>1</v>
      </c>
      <c r="H310" s="339">
        <f t="shared" si="115"/>
        <v>0</v>
      </c>
      <c r="I310" s="337">
        <f t="shared" si="116"/>
        <v>337284.83764762536</v>
      </c>
      <c r="J310" s="340">
        <f t="shared" si="117"/>
        <v>1.5707933619417862</v>
      </c>
      <c r="K310" s="348">
        <f t="shared" si="133"/>
        <v>33.423932343348916</v>
      </c>
      <c r="L310" s="349">
        <f t="shared" si="134"/>
        <v>1.5408731795789086</v>
      </c>
      <c r="M310" s="337">
        <f t="shared" si="118"/>
        <v>1.0028610040710637</v>
      </c>
      <c r="N310" s="340">
        <f t="shared" si="119"/>
        <v>7.555394844033772E-2</v>
      </c>
      <c r="O310" s="341">
        <f t="shared" si="120"/>
        <v>1.0116054135819532</v>
      </c>
      <c r="P310" s="342">
        <f t="shared" si="121"/>
        <v>0.18219466888509145</v>
      </c>
      <c r="Q310" s="343">
        <f t="shared" si="122"/>
        <v>-11.126378959504281</v>
      </c>
      <c r="R310" s="344">
        <f t="shared" si="123"/>
        <v>-100.98213623334102</v>
      </c>
      <c r="S310" s="346">
        <f t="shared" si="124"/>
        <v>79.017863766658976</v>
      </c>
      <c r="U310" s="319">
        <f t="shared" si="130"/>
        <v>21504.5</v>
      </c>
      <c r="V310" s="319">
        <f t="shared" si="131"/>
        <v>462443520.25</v>
      </c>
      <c r="X310" s="345">
        <f t="shared" si="125"/>
        <v>17.603624020843817</v>
      </c>
      <c r="Y310" s="346">
        <f t="shared" si="126"/>
        <v>-6.0432225497404239</v>
      </c>
      <c r="AA310" s="345">
        <f t="shared" si="127"/>
        <v>20.14394700430616</v>
      </c>
      <c r="AB310" s="346">
        <f t="shared" si="128"/>
        <v>-94.938913683600617</v>
      </c>
      <c r="AD310">
        <f t="shared" si="132"/>
        <v>0</v>
      </c>
      <c r="AE310">
        <f t="shared" si="135"/>
        <v>0</v>
      </c>
    </row>
    <row r="311" spans="1:31" x14ac:dyDescent="0.2">
      <c r="A311" s="347">
        <v>21629</v>
      </c>
      <c r="B311" s="364">
        <f t="shared" si="129"/>
        <v>21.629000000000001</v>
      </c>
      <c r="C311" s="337">
        <f t="shared" si="110"/>
        <v>23.95405744368886</v>
      </c>
      <c r="D311" s="338">
        <f t="shared" si="111"/>
        <v>1.5290376104178753</v>
      </c>
      <c r="E311" s="338">
        <f t="shared" si="112"/>
        <v>1.001476393510158</v>
      </c>
      <c r="F311" s="339">
        <f t="shared" si="113"/>
        <v>5.4306157063805857E-2</v>
      </c>
      <c r="G311" s="338">
        <f t="shared" si="114"/>
        <v>1</v>
      </c>
      <c r="H311" s="339">
        <f t="shared" si="115"/>
        <v>0</v>
      </c>
      <c r="I311" s="337">
        <f t="shared" si="116"/>
        <v>339237.54346672184</v>
      </c>
      <c r="J311" s="340">
        <f t="shared" si="117"/>
        <v>1.5707933790079571</v>
      </c>
      <c r="K311" s="348">
        <f t="shared" si="133"/>
        <v>33.617267013385423</v>
      </c>
      <c r="L311" s="349">
        <f t="shared" si="134"/>
        <v>1.5410453201102494</v>
      </c>
      <c r="M311" s="337">
        <f t="shared" si="118"/>
        <v>1.0028941795129365</v>
      </c>
      <c r="N311" s="340">
        <f t="shared" si="119"/>
        <v>7.598968982005283E-2</v>
      </c>
      <c r="O311" s="341">
        <f t="shared" si="120"/>
        <v>1.0117395526873405</v>
      </c>
      <c r="P311" s="342">
        <f t="shared" si="121"/>
        <v>0.18323684300577608</v>
      </c>
      <c r="Q311" s="343">
        <f t="shared" si="122"/>
        <v>-11.177769643273678</v>
      </c>
      <c r="R311" s="344">
        <f t="shared" si="123"/>
        <v>-101.05291280012676</v>
      </c>
      <c r="S311" s="346">
        <f t="shared" si="124"/>
        <v>78.947087199873238</v>
      </c>
      <c r="U311" s="319">
        <f t="shared" si="130"/>
        <v>21629</v>
      </c>
      <c r="V311" s="319">
        <f t="shared" si="131"/>
        <v>467813641</v>
      </c>
      <c r="X311" s="345">
        <f t="shared" si="125"/>
        <v>17.603292063988189</v>
      </c>
      <c r="Y311" s="346">
        <f t="shared" si="126"/>
        <v>-6.0583267436651642</v>
      </c>
      <c r="AA311" s="345">
        <f t="shared" si="127"/>
        <v>20.092888277392387</v>
      </c>
      <c r="AB311" s="346">
        <f t="shared" si="128"/>
        <v>-94.994586056461571</v>
      </c>
      <c r="AD311">
        <f t="shared" si="132"/>
        <v>0</v>
      </c>
      <c r="AE311">
        <f t="shared" si="135"/>
        <v>0</v>
      </c>
    </row>
    <row r="312" spans="1:31" x14ac:dyDescent="0.2">
      <c r="A312" s="347">
        <v>21753.5</v>
      </c>
      <c r="B312" s="364">
        <f t="shared" si="129"/>
        <v>21.753499999999999</v>
      </c>
      <c r="C312" s="337">
        <f t="shared" si="110"/>
        <v>24.091701234418615</v>
      </c>
      <c r="D312" s="338">
        <f t="shared" si="111"/>
        <v>1.5292763292476172</v>
      </c>
      <c r="E312" s="338">
        <f t="shared" si="112"/>
        <v>1.0014934264353776</v>
      </c>
      <c r="F312" s="339">
        <f t="shared" si="113"/>
        <v>5.4618132498084372E-2</v>
      </c>
      <c r="G312" s="338">
        <f t="shared" si="114"/>
        <v>1</v>
      </c>
      <c r="H312" s="339">
        <f t="shared" si="115"/>
        <v>0</v>
      </c>
      <c r="I312" s="337">
        <f t="shared" si="116"/>
        <v>341190.24928581849</v>
      </c>
      <c r="J312" s="340">
        <f t="shared" si="117"/>
        <v>1.5707933958787814</v>
      </c>
      <c r="K312" s="348">
        <f t="shared" si="133"/>
        <v>33.810602668188551</v>
      </c>
      <c r="L312" s="349">
        <f t="shared" si="134"/>
        <v>1.5412154919799703</v>
      </c>
      <c r="M312" s="337">
        <f t="shared" si="118"/>
        <v>1.0029275453622597</v>
      </c>
      <c r="N312" s="340">
        <f t="shared" si="119"/>
        <v>7.6425402289607883E-2</v>
      </c>
      <c r="O312" s="341">
        <f t="shared" si="120"/>
        <v>1.0118744517602272</v>
      </c>
      <c r="P312" s="342">
        <f t="shared" si="121"/>
        <v>0.18427880205890476</v>
      </c>
      <c r="Q312" s="343">
        <f t="shared" si="122"/>
        <v>-11.228880436249728</v>
      </c>
      <c r="R312" s="344">
        <f t="shared" si="123"/>
        <v>-101.12363068440273</v>
      </c>
      <c r="S312" s="346">
        <f t="shared" si="124"/>
        <v>78.876369315597273</v>
      </c>
      <c r="U312" s="319">
        <f t="shared" si="130"/>
        <v>21753.5</v>
      </c>
      <c r="V312" s="319">
        <f t="shared" si="131"/>
        <v>473214762.25</v>
      </c>
      <c r="X312" s="345">
        <f t="shared" si="125"/>
        <v>17.602959231168491</v>
      </c>
      <c r="Y312" s="346">
        <f t="shared" si="126"/>
        <v>-6.0735420659694377</v>
      </c>
      <c r="AA312" s="345">
        <f t="shared" si="127"/>
        <v>20.042110317236034</v>
      </c>
      <c r="AB312" s="346">
        <f t="shared" si="128"/>
        <v>-95.050088618433307</v>
      </c>
      <c r="AD312">
        <f t="shared" si="132"/>
        <v>0</v>
      </c>
      <c r="AE312">
        <f t="shared" si="135"/>
        <v>0</v>
      </c>
    </row>
    <row r="313" spans="1:31" x14ac:dyDescent="0.2">
      <c r="A313" s="347">
        <v>21878</v>
      </c>
      <c r="B313" s="364">
        <f t="shared" si="129"/>
        <v>21.878</v>
      </c>
      <c r="C313" s="337">
        <f t="shared" si="110"/>
        <v>24.229346382455788</v>
      </c>
      <c r="D313" s="338">
        <f t="shared" si="111"/>
        <v>1.5295123358021909</v>
      </c>
      <c r="E313" s="338">
        <f t="shared" si="112"/>
        <v>1.001510556831301</v>
      </c>
      <c r="F313" s="339">
        <f t="shared" si="113"/>
        <v>5.4930097290320994E-2</v>
      </c>
      <c r="G313" s="338">
        <f t="shared" si="114"/>
        <v>1</v>
      </c>
      <c r="H313" s="339">
        <f t="shared" si="115"/>
        <v>0</v>
      </c>
      <c r="I313" s="337">
        <f t="shared" si="116"/>
        <v>343142.95510491519</v>
      </c>
      <c r="J313" s="340">
        <f t="shared" si="117"/>
        <v>1.5707934125575937</v>
      </c>
      <c r="K313" s="348">
        <f t="shared" si="133"/>
        <v>34.003939290961071</v>
      </c>
      <c r="L313" s="349">
        <f t="shared" si="134"/>
        <v>1.5413837287578622</v>
      </c>
      <c r="M313" s="337">
        <f t="shared" si="118"/>
        <v>1.0029611016000308</v>
      </c>
      <c r="N313" s="340">
        <f t="shared" si="119"/>
        <v>7.6861085686460495E-2</v>
      </c>
      <c r="O313" s="341">
        <f t="shared" si="120"/>
        <v>1.0120101105579848</v>
      </c>
      <c r="P313" s="342">
        <f t="shared" si="121"/>
        <v>0.18532054491448871</v>
      </c>
      <c r="Q313" s="343">
        <f t="shared" si="122"/>
        <v>-11.279714601676066</v>
      </c>
      <c r="R313" s="344">
        <f t="shared" si="123"/>
        <v>-101.19429058514605</v>
      </c>
      <c r="S313" s="346">
        <f t="shared" si="124"/>
        <v>78.805709414853951</v>
      </c>
      <c r="U313" s="319">
        <f t="shared" si="130"/>
        <v>21878</v>
      </c>
      <c r="V313" s="319">
        <f t="shared" si="131"/>
        <v>478646884</v>
      </c>
      <c r="X313" s="345">
        <f t="shared" si="125"/>
        <v>17.602625505394695</v>
      </c>
      <c r="Y313" s="346">
        <f t="shared" si="126"/>
        <v>-6.0888665841239957</v>
      </c>
      <c r="AA313" s="345">
        <f t="shared" si="127"/>
        <v>19.991609877583493</v>
      </c>
      <c r="AB313" s="346">
        <f t="shared" si="128"/>
        <v>-95.105424001022072</v>
      </c>
      <c r="AD313">
        <f t="shared" si="132"/>
        <v>0</v>
      </c>
      <c r="AE313">
        <f t="shared" si="135"/>
        <v>0</v>
      </c>
    </row>
    <row r="314" spans="1:31" x14ac:dyDescent="0.2">
      <c r="A314" s="347">
        <v>22005.25</v>
      </c>
      <c r="B314" s="364">
        <f t="shared" si="129"/>
        <v>22.00525</v>
      </c>
      <c r="C314" s="337">
        <f t="shared" si="110"/>
        <v>24.370033263836671</v>
      </c>
      <c r="D314" s="338">
        <f t="shared" si="111"/>
        <v>1.5297508003659035</v>
      </c>
      <c r="E314" s="338">
        <f t="shared" si="112"/>
        <v>1.0015281663281896</v>
      </c>
      <c r="F314" s="339">
        <f t="shared" si="113"/>
        <v>5.524894181126476E-2</v>
      </c>
      <c r="G314" s="338">
        <f t="shared" si="114"/>
        <v>1</v>
      </c>
      <c r="H314" s="339">
        <f t="shared" si="115"/>
        <v>0</v>
      </c>
      <c r="I314" s="337">
        <f t="shared" si="116"/>
        <v>345138.79298025713</v>
      </c>
      <c r="J314" s="340">
        <f t="shared" si="117"/>
        <v>1.5707934294097856</v>
      </c>
      <c r="K314" s="348">
        <f t="shared" si="133"/>
        <v>34.201547384573843</v>
      </c>
      <c r="L314" s="349">
        <f t="shared" si="134"/>
        <v>1.541553716082358</v>
      </c>
      <c r="M314" s="337">
        <f t="shared" si="118"/>
        <v>1.0029955957628918</v>
      </c>
      <c r="N314" s="340">
        <f t="shared" si="119"/>
        <v>7.7306362399977083E-2</v>
      </c>
      <c r="O314" s="341">
        <f t="shared" si="120"/>
        <v>1.0121495506631619</v>
      </c>
      <c r="P314" s="342">
        <f t="shared" si="121"/>
        <v>0.18638507356653358</v>
      </c>
      <c r="Q314" s="343">
        <f t="shared" si="122"/>
        <v>-11.331389088638165</v>
      </c>
      <c r="R314" s="344">
        <f t="shared" si="123"/>
        <v>-101.26645203754978</v>
      </c>
      <c r="S314" s="346">
        <f t="shared" si="124"/>
        <v>78.733547962450217</v>
      </c>
      <c r="U314" s="319">
        <f t="shared" si="130"/>
        <v>22005.25</v>
      </c>
      <c r="V314" s="319">
        <f t="shared" si="131"/>
        <v>484231027.5625</v>
      </c>
      <c r="X314" s="345">
        <f t="shared" si="125"/>
        <v>17.602283468236763</v>
      </c>
      <c r="Y314" s="346">
        <f t="shared" si="126"/>
        <v>-6.1046404698371148</v>
      </c>
      <c r="AA314" s="345">
        <f t="shared" si="127"/>
        <v>19.940277427779336</v>
      </c>
      <c r="AB314" s="346">
        <f t="shared" si="128"/>
        <v>-95.161811567712633</v>
      </c>
      <c r="AD314">
        <f t="shared" si="132"/>
        <v>0</v>
      </c>
      <c r="AE314">
        <f t="shared" si="135"/>
        <v>0</v>
      </c>
    </row>
    <row r="315" spans="1:31" x14ac:dyDescent="0.2">
      <c r="A315" s="347">
        <v>22132.5</v>
      </c>
      <c r="B315" s="364">
        <f t="shared" si="129"/>
        <v>22.1325</v>
      </c>
      <c r="C315" s="337">
        <f t="shared" si="110"/>
        <v>24.510721515119354</v>
      </c>
      <c r="D315" s="338">
        <f t="shared" si="111"/>
        <v>1.5299865274337223</v>
      </c>
      <c r="E315" s="338">
        <f t="shared" si="112"/>
        <v>1.0015458776386763</v>
      </c>
      <c r="F315" s="339">
        <f t="shared" si="113"/>
        <v>5.5567775087744804E-2</v>
      </c>
      <c r="G315" s="338">
        <f t="shared" si="114"/>
        <v>1</v>
      </c>
      <c r="H315" s="339">
        <f t="shared" si="115"/>
        <v>0</v>
      </c>
      <c r="I315" s="337">
        <f t="shared" si="116"/>
        <v>347134.63085559919</v>
      </c>
      <c r="J315" s="340">
        <f t="shared" si="117"/>
        <v>1.5707934460681954</v>
      </c>
      <c r="K315" s="348">
        <f t="shared" si="133"/>
        <v>34.399156455109477</v>
      </c>
      <c r="L315" s="349">
        <f t="shared" si="134"/>
        <v>1.5417217503964928</v>
      </c>
      <c r="M315" s="337">
        <f t="shared" si="118"/>
        <v>1.0030302887773441</v>
      </c>
      <c r="N315" s="340">
        <f t="shared" si="119"/>
        <v>7.7751608399126135E-2</v>
      </c>
      <c r="O315" s="341">
        <f t="shared" si="120"/>
        <v>1.0122897839095628</v>
      </c>
      <c r="P315" s="342">
        <f t="shared" si="121"/>
        <v>0.18744937398334868</v>
      </c>
      <c r="Q315" s="343">
        <f t="shared" si="122"/>
        <v>-11.382781309961207</v>
      </c>
      <c r="R315" s="344">
        <f t="shared" si="123"/>
        <v>-101.33855433868163</v>
      </c>
      <c r="S315" s="346">
        <f t="shared" si="124"/>
        <v>78.661445661318368</v>
      </c>
      <c r="U315" s="319">
        <f t="shared" si="130"/>
        <v>22132.5</v>
      </c>
      <c r="V315" s="319">
        <f t="shared" si="131"/>
        <v>489847556.25</v>
      </c>
      <c r="X315" s="345">
        <f t="shared" si="125"/>
        <v>17.601940463899417</v>
      </c>
      <c r="Y315" s="346">
        <f t="shared" si="126"/>
        <v>-6.1205244838948651</v>
      </c>
      <c r="AA315" s="345">
        <f t="shared" si="127"/>
        <v>19.889228210793632</v>
      </c>
      <c r="AB315" s="346">
        <f t="shared" si="128"/>
        <v>-95.218029854786764</v>
      </c>
      <c r="AD315">
        <f t="shared" si="132"/>
        <v>0</v>
      </c>
      <c r="AE315">
        <f t="shared" si="135"/>
        <v>0</v>
      </c>
    </row>
    <row r="316" spans="1:31" x14ac:dyDescent="0.2">
      <c r="A316" s="347">
        <v>22259.75</v>
      </c>
      <c r="B316" s="364">
        <f t="shared" si="129"/>
        <v>22.25975</v>
      </c>
      <c r="C316" s="337">
        <f t="shared" si="110"/>
        <v>24.651411112849313</v>
      </c>
      <c r="D316" s="338">
        <f t="shared" si="111"/>
        <v>1.5302195638492209</v>
      </c>
      <c r="E316" s="338">
        <f t="shared" si="112"/>
        <v>1.0015636907573604</v>
      </c>
      <c r="F316" s="339">
        <f t="shared" si="113"/>
        <v>5.5886597055537605E-2</v>
      </c>
      <c r="G316" s="338">
        <f t="shared" si="114"/>
        <v>1</v>
      </c>
      <c r="H316" s="339">
        <f t="shared" si="115"/>
        <v>0</v>
      </c>
      <c r="I316" s="337">
        <f t="shared" si="116"/>
        <v>349130.4687309413</v>
      </c>
      <c r="J316" s="340">
        <f t="shared" si="117"/>
        <v>1.5707934625361464</v>
      </c>
      <c r="K316" s="348">
        <f t="shared" si="133"/>
        <v>34.596766485828077</v>
      </c>
      <c r="L316" s="349">
        <f t="shared" si="134"/>
        <v>1.5418878651563461</v>
      </c>
      <c r="M316" s="337">
        <f t="shared" si="118"/>
        <v>1.0030651806227548</v>
      </c>
      <c r="N316" s="340">
        <f t="shared" si="119"/>
        <v>7.8196823510569058E-2</v>
      </c>
      <c r="O316" s="341">
        <f t="shared" si="120"/>
        <v>1.0124308100341504</v>
      </c>
      <c r="P316" s="342">
        <f t="shared" si="121"/>
        <v>0.18851344496417882</v>
      </c>
      <c r="Q316" s="343">
        <f t="shared" si="122"/>
        <v>-11.433894574353669</v>
      </c>
      <c r="R316" s="344">
        <f t="shared" si="123"/>
        <v>-101.41059818072901</v>
      </c>
      <c r="S316" s="346">
        <f t="shared" si="124"/>
        <v>78.589401819270989</v>
      </c>
      <c r="U316" s="319">
        <f t="shared" si="130"/>
        <v>22259.75</v>
      </c>
      <c r="V316" s="319">
        <f t="shared" si="131"/>
        <v>495496470.0625</v>
      </c>
      <c r="X316" s="345">
        <f t="shared" si="125"/>
        <v>17.601596475775185</v>
      </c>
      <c r="Y316" s="346">
        <f t="shared" si="126"/>
        <v>-6.1365166996639307</v>
      </c>
      <c r="AA316" s="345">
        <f t="shared" si="127"/>
        <v>19.838458934525406</v>
      </c>
      <c r="AB316" s="346">
        <f t="shared" si="128"/>
        <v>-95.274081481065068</v>
      </c>
      <c r="AD316">
        <f t="shared" si="132"/>
        <v>0</v>
      </c>
      <c r="AE316">
        <f t="shared" si="135"/>
        <v>0</v>
      </c>
    </row>
    <row r="317" spans="1:31" x14ac:dyDescent="0.2">
      <c r="A317" s="347">
        <v>22387</v>
      </c>
      <c r="B317" s="364">
        <f t="shared" si="129"/>
        <v>22.387</v>
      </c>
      <c r="C317" s="337">
        <f t="shared" si="110"/>
        <v>24.792102034104193</v>
      </c>
      <c r="D317" s="338">
        <f t="shared" si="111"/>
        <v>1.5304499553938404</v>
      </c>
      <c r="E317" s="338">
        <f t="shared" si="112"/>
        <v>1.0015816056788092</v>
      </c>
      <c r="F317" s="339">
        <f t="shared" si="113"/>
        <v>5.6205407650433394E-2</v>
      </c>
      <c r="G317" s="338">
        <f t="shared" si="114"/>
        <v>1</v>
      </c>
      <c r="H317" s="339">
        <f t="shared" si="115"/>
        <v>0</v>
      </c>
      <c r="I317" s="337">
        <f t="shared" si="116"/>
        <v>351126.30660628353</v>
      </c>
      <c r="J317" s="340">
        <f t="shared" si="117"/>
        <v>1.5707934788168865</v>
      </c>
      <c r="K317" s="348">
        <f t="shared" si="133"/>
        <v>34.794377460369958</v>
      </c>
      <c r="L317" s="349">
        <f t="shared" si="134"/>
        <v>1.5420520930583863</v>
      </c>
      <c r="M317" s="337">
        <f t="shared" si="118"/>
        <v>1.0031002712783756</v>
      </c>
      <c r="N317" s="340">
        <f t="shared" si="119"/>
        <v>7.8642007561040395E-2</v>
      </c>
      <c r="O317" s="341">
        <f t="shared" si="120"/>
        <v>1.0125726287725543</v>
      </c>
      <c r="P317" s="342">
        <f t="shared" si="121"/>
        <v>0.18957728531023338</v>
      </c>
      <c r="Q317" s="343">
        <f t="shared" si="122"/>
        <v>-11.484732134008002</v>
      </c>
      <c r="R317" s="344">
        <f t="shared" si="123"/>
        <v>-101.48258423865762</v>
      </c>
      <c r="S317" s="346">
        <f t="shared" si="124"/>
        <v>78.517415761342377</v>
      </c>
      <c r="U317" s="319">
        <f t="shared" si="130"/>
        <v>22387</v>
      </c>
      <c r="V317" s="319">
        <f t="shared" si="131"/>
        <v>501177769</v>
      </c>
      <c r="X317" s="345">
        <f t="shared" si="125"/>
        <v>17.601251487738907</v>
      </c>
      <c r="Y317" s="346">
        <f t="shared" si="126"/>
        <v>-6.1526152340333775</v>
      </c>
      <c r="AA317" s="345">
        <f t="shared" si="127"/>
        <v>19.787966362907351</v>
      </c>
      <c r="AB317" s="346">
        <f t="shared" si="128"/>
        <v>-95.329969004624203</v>
      </c>
      <c r="AD317">
        <f t="shared" si="132"/>
        <v>0</v>
      </c>
      <c r="AE317">
        <f t="shared" si="135"/>
        <v>0</v>
      </c>
    </row>
    <row r="318" spans="1:31" x14ac:dyDescent="0.2">
      <c r="A318" s="347">
        <v>22517.5</v>
      </c>
      <c r="B318" s="364">
        <f t="shared" si="129"/>
        <v>22.517499999999998</v>
      </c>
      <c r="C318" s="337">
        <f t="shared" si="110"/>
        <v>24.936387591380633</v>
      </c>
      <c r="D318" s="338">
        <f t="shared" si="111"/>
        <v>1.5306835310093967</v>
      </c>
      <c r="E318" s="338">
        <f t="shared" si="112"/>
        <v>1.0016000838826316</v>
      </c>
      <c r="F318" s="339">
        <f t="shared" si="113"/>
        <v>5.6532348876060907E-2</v>
      </c>
      <c r="G318" s="338">
        <f t="shared" si="114"/>
        <v>1</v>
      </c>
      <c r="H318" s="339">
        <f t="shared" si="115"/>
        <v>0</v>
      </c>
      <c r="I318" s="337">
        <f t="shared" si="116"/>
        <v>353173.11872991547</v>
      </c>
      <c r="J318" s="340">
        <f t="shared" si="117"/>
        <v>1.5707934953223213</v>
      </c>
      <c r="K318" s="348">
        <f t="shared" si="133"/>
        <v>34.997036437096725</v>
      </c>
      <c r="L318" s="349">
        <f t="shared" si="134"/>
        <v>1.542218589097504</v>
      </c>
      <c r="M318" s="337">
        <f t="shared" si="118"/>
        <v>1.0031364646286913</v>
      </c>
      <c r="N318" s="340">
        <f t="shared" si="119"/>
        <v>7.9098529292132791E-2</v>
      </c>
      <c r="O318" s="341">
        <f t="shared" si="120"/>
        <v>1.0127188925599127</v>
      </c>
      <c r="P318" s="342">
        <f t="shared" si="121"/>
        <v>0.1906680556319956</v>
      </c>
      <c r="Q318" s="343">
        <f t="shared" si="122"/>
        <v>-11.53658509027367</v>
      </c>
      <c r="R318" s="344">
        <f t="shared" si="123"/>
        <v>-101.55634951298052</v>
      </c>
      <c r="S318" s="346">
        <f t="shared" si="124"/>
        <v>78.443650487019482</v>
      </c>
      <c r="U318" s="319">
        <f t="shared" si="130"/>
        <v>22517.5</v>
      </c>
      <c r="V318" s="319">
        <f t="shared" si="131"/>
        <v>507037806.25</v>
      </c>
      <c r="X318" s="345">
        <f t="shared" si="125"/>
        <v>17.600896633668576</v>
      </c>
      <c r="Y318" s="346">
        <f t="shared" si="126"/>
        <v>-6.1692334278446292</v>
      </c>
      <c r="AA318" s="345">
        <f t="shared" si="127"/>
        <v>19.736468260712009</v>
      </c>
      <c r="AB318" s="346">
        <f t="shared" si="128"/>
        <v>-95.387116085135858</v>
      </c>
      <c r="AD318">
        <f t="shared" si="132"/>
        <v>0</v>
      </c>
      <c r="AE318">
        <f t="shared" si="135"/>
        <v>0</v>
      </c>
    </row>
    <row r="319" spans="1:31" x14ac:dyDescent="0.2">
      <c r="A319" s="347">
        <v>22648</v>
      </c>
      <c r="B319" s="364">
        <f t="shared" si="129"/>
        <v>22.648</v>
      </c>
      <c r="C319" s="337">
        <f t="shared" si="110"/>
        <v>25.080674493472529</v>
      </c>
      <c r="D319" s="338">
        <f t="shared" si="111"/>
        <v>1.5309144191577138</v>
      </c>
      <c r="E319" s="338">
        <f t="shared" si="112"/>
        <v>1.0016186691440956</v>
      </c>
      <c r="F319" s="339">
        <f t="shared" si="113"/>
        <v>5.6859278003695883E-2</v>
      </c>
      <c r="G319" s="338">
        <f t="shared" si="114"/>
        <v>1</v>
      </c>
      <c r="H319" s="339">
        <f t="shared" si="115"/>
        <v>0</v>
      </c>
      <c r="I319" s="337">
        <f t="shared" si="116"/>
        <v>355219.93085354759</v>
      </c>
      <c r="J319" s="340">
        <f t="shared" si="117"/>
        <v>1.5707935116375444</v>
      </c>
      <c r="K319" s="348">
        <f t="shared" si="133"/>
        <v>35.199696372802812</v>
      </c>
      <c r="L319" s="349">
        <f t="shared" si="134"/>
        <v>1.5423831679611606</v>
      </c>
      <c r="M319" s="337">
        <f t="shared" si="118"/>
        <v>1.003172867029664</v>
      </c>
      <c r="N319" s="340">
        <f t="shared" si="119"/>
        <v>7.9555017986505938E-2</v>
      </c>
      <c r="O319" s="341">
        <f t="shared" si="120"/>
        <v>1.0128659893977809</v>
      </c>
      <c r="P319" s="342">
        <f t="shared" si="121"/>
        <v>0.19175858084014785</v>
      </c>
      <c r="Q319" s="343">
        <f t="shared" si="122"/>
        <v>-11.58815483014579</v>
      </c>
      <c r="R319" s="344">
        <f t="shared" si="123"/>
        <v>-101.63005539826111</v>
      </c>
      <c r="S319" s="346">
        <f t="shared" si="124"/>
        <v>78.369944601738894</v>
      </c>
      <c r="U319" s="319">
        <f t="shared" si="130"/>
        <v>22648</v>
      </c>
      <c r="V319" s="319">
        <f t="shared" si="131"/>
        <v>512931904</v>
      </c>
      <c r="X319" s="345">
        <f t="shared" si="125"/>
        <v>17.600540695092917</v>
      </c>
      <c r="Y319" s="346">
        <f t="shared" si="126"/>
        <v>-6.1859595639556098</v>
      </c>
      <c r="AA319" s="345">
        <f t="shared" si="127"/>
        <v>19.68525445941555</v>
      </c>
      <c r="AB319" s="346">
        <f t="shared" si="128"/>
        <v>-95.444095834305514</v>
      </c>
      <c r="AD319">
        <f t="shared" si="132"/>
        <v>0</v>
      </c>
      <c r="AE319">
        <f t="shared" si="135"/>
        <v>0</v>
      </c>
    </row>
    <row r="320" spans="1:31" x14ac:dyDescent="0.2">
      <c r="A320" s="347">
        <v>22778.5</v>
      </c>
      <c r="B320" s="364">
        <f t="shared" si="129"/>
        <v>22.778500000000001</v>
      </c>
      <c r="C320" s="337">
        <f t="shared" si="110"/>
        <v>25.224962717302834</v>
      </c>
      <c r="D320" s="338">
        <f t="shared" si="111"/>
        <v>1.5311426659313583</v>
      </c>
      <c r="E320" s="338">
        <f t="shared" si="112"/>
        <v>1.0016373614572425</v>
      </c>
      <c r="F320" s="339">
        <f t="shared" si="113"/>
        <v>5.7186194964127572E-2</v>
      </c>
      <c r="G320" s="338">
        <f t="shared" si="114"/>
        <v>1</v>
      </c>
      <c r="H320" s="339">
        <f t="shared" si="115"/>
        <v>0</v>
      </c>
      <c r="I320" s="337">
        <f t="shared" si="116"/>
        <v>357266.74297717982</v>
      </c>
      <c r="J320" s="340">
        <f t="shared" si="117"/>
        <v>1.5707935277658247</v>
      </c>
      <c r="K320" s="348">
        <f t="shared" si="133"/>
        <v>35.402357251019247</v>
      </c>
      <c r="L320" s="349">
        <f t="shared" si="134"/>
        <v>1.5425458625649899</v>
      </c>
      <c r="M320" s="337">
        <f t="shared" si="118"/>
        <v>1.0032094784585368</v>
      </c>
      <c r="N320" s="340">
        <f t="shared" si="119"/>
        <v>8.0011473457518592E-2</v>
      </c>
      <c r="O320" s="341">
        <f t="shared" si="120"/>
        <v>1.0130139189966638</v>
      </c>
      <c r="P320" s="342">
        <f t="shared" si="121"/>
        <v>0.19284885964817641</v>
      </c>
      <c r="Q320" s="343">
        <f t="shared" si="122"/>
        <v>-11.639444684502038</v>
      </c>
      <c r="R320" s="344">
        <f t="shared" si="123"/>
        <v>-101.70370256922931</v>
      </c>
      <c r="S320" s="346">
        <f t="shared" si="124"/>
        <v>78.296297430770693</v>
      </c>
      <c r="U320" s="319">
        <f t="shared" si="130"/>
        <v>22778.5</v>
      </c>
      <c r="V320" s="319">
        <f t="shared" si="131"/>
        <v>518860062.25</v>
      </c>
      <c r="X320" s="345">
        <f t="shared" si="125"/>
        <v>17.600183656095407</v>
      </c>
      <c r="Y320" s="346">
        <f t="shared" si="126"/>
        <v>-6.2027917459329425</v>
      </c>
      <c r="AA320" s="345">
        <f t="shared" si="127"/>
        <v>19.634321644056811</v>
      </c>
      <c r="AB320" s="346">
        <f t="shared" si="128"/>
        <v>-95.500910823296351</v>
      </c>
      <c r="AD320">
        <f t="shared" si="132"/>
        <v>0</v>
      </c>
      <c r="AE320">
        <f t="shared" si="135"/>
        <v>0</v>
      </c>
    </row>
    <row r="321" spans="1:31" x14ac:dyDescent="0.2">
      <c r="A321" s="347">
        <v>22909</v>
      </c>
      <c r="B321" s="364">
        <f t="shared" si="129"/>
        <v>22.908999999999999</v>
      </c>
      <c r="C321" s="337">
        <f t="shared" si="110"/>
        <v>25.369252240319287</v>
      </c>
      <c r="D321" s="338">
        <f t="shared" si="111"/>
        <v>1.5313683163753922</v>
      </c>
      <c r="E321" s="338">
        <f t="shared" si="112"/>
        <v>1.0016561608160788</v>
      </c>
      <c r="F321" s="339">
        <f t="shared" si="113"/>
        <v>5.7513099688160832E-2</v>
      </c>
      <c r="G321" s="338">
        <f t="shared" si="114"/>
        <v>1</v>
      </c>
      <c r="H321" s="339">
        <f t="shared" si="115"/>
        <v>0</v>
      </c>
      <c r="I321" s="337">
        <f t="shared" si="116"/>
        <v>359313.55510081205</v>
      </c>
      <c r="J321" s="340">
        <f t="shared" si="117"/>
        <v>1.5707935437103573</v>
      </c>
      <c r="K321" s="348">
        <f t="shared" si="133"/>
        <v>35.605019055651965</v>
      </c>
      <c r="L321" s="349">
        <f t="shared" si="134"/>
        <v>1.5427067050756136</v>
      </c>
      <c r="M321" s="337">
        <f t="shared" si="118"/>
        <v>1.0032462988924258</v>
      </c>
      <c r="N321" s="340">
        <f t="shared" si="119"/>
        <v>8.046789551861197E-2</v>
      </c>
      <c r="O321" s="341">
        <f t="shared" si="120"/>
        <v>1.0131626810656043</v>
      </c>
      <c r="P321" s="342">
        <f t="shared" si="121"/>
        <v>0.19393889077177923</v>
      </c>
      <c r="Q321" s="343">
        <f t="shared" si="122"/>
        <v>-11.690457927182525</v>
      </c>
      <c r="R321" s="344">
        <f t="shared" si="123"/>
        <v>-101.77729168363882</v>
      </c>
      <c r="S321" s="346">
        <f t="shared" si="124"/>
        <v>78.222708316361178</v>
      </c>
      <c r="U321" s="319">
        <f t="shared" si="130"/>
        <v>22909</v>
      </c>
      <c r="V321" s="319">
        <f t="shared" si="131"/>
        <v>524822281</v>
      </c>
      <c r="X321" s="345">
        <f t="shared" si="125"/>
        <v>17.59982550122454</v>
      </c>
      <c r="Y321" s="346">
        <f t="shared" si="126"/>
        <v>-6.2197281202590107</v>
      </c>
      <c r="AA321" s="345">
        <f t="shared" si="127"/>
        <v>19.583666556247191</v>
      </c>
      <c r="AB321" s="346">
        <f t="shared" si="128"/>
        <v>-95.55756356337983</v>
      </c>
      <c r="AD321">
        <f t="shared" si="132"/>
        <v>0</v>
      </c>
      <c r="AE321">
        <f t="shared" si="135"/>
        <v>0</v>
      </c>
    </row>
    <row r="322" spans="1:31" x14ac:dyDescent="0.2">
      <c r="A322" s="347">
        <v>23042.25</v>
      </c>
      <c r="B322" s="364">
        <f t="shared" si="129"/>
        <v>23.042249999999999</v>
      </c>
      <c r="C322" s="337">
        <f t="shared" si="110"/>
        <v>25.516583664793977</v>
      </c>
      <c r="D322" s="338">
        <f t="shared" si="111"/>
        <v>1.5315960886736701</v>
      </c>
      <c r="E322" s="338">
        <f t="shared" si="112"/>
        <v>1.0016754667768086</v>
      </c>
      <c r="F322" s="339">
        <f t="shared" si="113"/>
        <v>5.7846880511279758E-2</v>
      </c>
      <c r="G322" s="338">
        <f t="shared" si="114"/>
        <v>1</v>
      </c>
      <c r="H322" s="339">
        <f t="shared" si="115"/>
        <v>0</v>
      </c>
      <c r="I322" s="337">
        <f t="shared" si="116"/>
        <v>361403.49928068952</v>
      </c>
      <c r="J322" s="340">
        <f t="shared" si="117"/>
        <v>1.5707935598045326</v>
      </c>
      <c r="K322" s="348">
        <f t="shared" si="133"/>
        <v>35.811952450902844</v>
      </c>
      <c r="L322" s="349">
        <f t="shared" si="134"/>
        <v>1.5428690586036922</v>
      </c>
      <c r="M322" s="337">
        <f t="shared" si="118"/>
        <v>1.0032841108698316</v>
      </c>
      <c r="N322" s="340">
        <f t="shared" si="119"/>
        <v>8.0933901001954842E-2</v>
      </c>
      <c r="O322" s="341">
        <f t="shared" si="120"/>
        <v>1.0133154366321668</v>
      </c>
      <c r="P322" s="342">
        <f t="shared" si="121"/>
        <v>0.19505163499920633</v>
      </c>
      <c r="Q322" s="343">
        <f t="shared" si="122"/>
        <v>-11.742264088555777</v>
      </c>
      <c r="R322" s="344">
        <f t="shared" si="123"/>
        <v>-101.85237228817381</v>
      </c>
      <c r="S322" s="346">
        <f t="shared" si="124"/>
        <v>78.147627711826189</v>
      </c>
      <c r="U322" s="319">
        <f t="shared" si="130"/>
        <v>23042.25</v>
      </c>
      <c r="V322" s="319">
        <f t="shared" si="131"/>
        <v>530945285.0625</v>
      </c>
      <c r="X322" s="345">
        <f t="shared" si="125"/>
        <v>17.599458632049789</v>
      </c>
      <c r="Y322" s="346">
        <f t="shared" si="126"/>
        <v>-6.2371270178847444</v>
      </c>
      <c r="AA322" s="345">
        <f t="shared" si="127"/>
        <v>19.532227264048686</v>
      </c>
      <c r="AB322" s="346">
        <f t="shared" si="128"/>
        <v>-95.615245270289066</v>
      </c>
      <c r="AD322">
        <f t="shared" si="132"/>
        <v>0</v>
      </c>
      <c r="AE322">
        <f t="shared" si="135"/>
        <v>0</v>
      </c>
    </row>
    <row r="323" spans="1:31" x14ac:dyDescent="0.2">
      <c r="A323" s="347">
        <v>23175.5</v>
      </c>
      <c r="B323" s="364">
        <f t="shared" si="129"/>
        <v>23.1755</v>
      </c>
      <c r="C323" s="337">
        <f t="shared" si="110"/>
        <v>25.663916397875195</v>
      </c>
      <c r="D323" s="338">
        <f t="shared" si="111"/>
        <v>1.531821245769635</v>
      </c>
      <c r="E323" s="338">
        <f t="shared" si="112"/>
        <v>1.0016948843295306</v>
      </c>
      <c r="F323" s="339">
        <f t="shared" si="113"/>
        <v>5.8180648431101614E-2</v>
      </c>
      <c r="G323" s="338">
        <f t="shared" si="114"/>
        <v>1</v>
      </c>
      <c r="H323" s="339">
        <f t="shared" si="115"/>
        <v>0</v>
      </c>
      <c r="I323" s="337">
        <f t="shared" si="116"/>
        <v>363493.44346056716</v>
      </c>
      <c r="J323" s="340">
        <f t="shared" si="117"/>
        <v>1.5707935757136378</v>
      </c>
      <c r="K323" s="348">
        <f t="shared" si="133"/>
        <v>36.018886779262779</v>
      </c>
      <c r="L323" s="349">
        <f t="shared" si="134"/>
        <v>1.5430295466414219</v>
      </c>
      <c r="M323" s="337">
        <f t="shared" si="118"/>
        <v>1.0033221407050799</v>
      </c>
      <c r="N323" s="340">
        <f t="shared" si="119"/>
        <v>8.1399871259619228E-2</v>
      </c>
      <c r="O323" s="341">
        <f t="shared" si="120"/>
        <v>1.0134690595056723</v>
      </c>
      <c r="P323" s="342">
        <f t="shared" si="121"/>
        <v>0.19616411829428507</v>
      </c>
      <c r="Q323" s="343">
        <f t="shared" si="122"/>
        <v>-11.793788579650396</v>
      </c>
      <c r="R323" s="344">
        <f t="shared" si="123"/>
        <v>-101.92739369747302</v>
      </c>
      <c r="S323" s="346">
        <f t="shared" si="124"/>
        <v>78.072606302526978</v>
      </c>
      <c r="U323" s="319">
        <f t="shared" si="130"/>
        <v>23175.5</v>
      </c>
      <c r="V323" s="319">
        <f t="shared" si="131"/>
        <v>537103800.25</v>
      </c>
      <c r="X323" s="345">
        <f t="shared" si="125"/>
        <v>17.599090568333857</v>
      </c>
      <c r="Y323" s="346">
        <f t="shared" si="126"/>
        <v>-6.2546307713478813</v>
      </c>
      <c r="AA323" s="345">
        <f t="shared" si="127"/>
        <v>19.481070836670007</v>
      </c>
      <c r="AB323" s="346">
        <f t="shared" si="128"/>
        <v>-95.672762926125159</v>
      </c>
      <c r="AD323">
        <f t="shared" si="132"/>
        <v>0</v>
      </c>
      <c r="AE323">
        <f t="shared" si="135"/>
        <v>0</v>
      </c>
    </row>
    <row r="324" spans="1:31" x14ac:dyDescent="0.2">
      <c r="A324" s="347">
        <v>23308.75</v>
      </c>
      <c r="B324" s="364">
        <f t="shared" si="129"/>
        <v>23.30875</v>
      </c>
      <c r="C324" s="337">
        <f t="shared" si="110"/>
        <v>25.811250417154024</v>
      </c>
      <c r="D324" s="338">
        <f t="shared" si="111"/>
        <v>1.5320438324240184</v>
      </c>
      <c r="E324" s="338">
        <f t="shared" si="112"/>
        <v>1.0017144134677554</v>
      </c>
      <c r="F324" s="339">
        <f t="shared" si="113"/>
        <v>5.8514403374014749E-2</v>
      </c>
      <c r="G324" s="338">
        <f t="shared" si="114"/>
        <v>1</v>
      </c>
      <c r="H324" s="339">
        <f t="shared" si="115"/>
        <v>0</v>
      </c>
      <c r="I324" s="337">
        <f t="shared" si="116"/>
        <v>365583.38764044474</v>
      </c>
      <c r="J324" s="340">
        <f t="shared" si="117"/>
        <v>1.5707935914408466</v>
      </c>
      <c r="K324" s="348">
        <f t="shared" si="133"/>
        <v>36.225822024741049</v>
      </c>
      <c r="L324" s="349">
        <f t="shared" si="134"/>
        <v>1.5431882011495688</v>
      </c>
      <c r="M324" s="337">
        <f t="shared" si="118"/>
        <v>1.0033603883733979</v>
      </c>
      <c r="N324" s="340">
        <f t="shared" si="119"/>
        <v>8.1865806093271487E-2</v>
      </c>
      <c r="O324" s="341">
        <f t="shared" si="120"/>
        <v>1.0136235493716881</v>
      </c>
      <c r="P324" s="342">
        <f t="shared" si="121"/>
        <v>0.19727633929699892</v>
      </c>
      <c r="Q324" s="343">
        <f t="shared" si="122"/>
        <v>-11.845034709829916</v>
      </c>
      <c r="R324" s="344">
        <f t="shared" si="123"/>
        <v>-102.00235656003311</v>
      </c>
      <c r="S324" s="346">
        <f t="shared" si="124"/>
        <v>77.997643439966893</v>
      </c>
      <c r="U324" s="319">
        <f t="shared" si="130"/>
        <v>23308.75</v>
      </c>
      <c r="V324" s="319">
        <f t="shared" si="131"/>
        <v>543297826.5625</v>
      </c>
      <c r="X324" s="345">
        <f t="shared" si="125"/>
        <v>17.598721295029112</v>
      </c>
      <c r="Y324" s="346">
        <f t="shared" si="126"/>
        <v>-6.2722375382495521</v>
      </c>
      <c r="AA324" s="345">
        <f t="shared" si="127"/>
        <v>19.430193979795234</v>
      </c>
      <c r="AB324" s="346">
        <f t="shared" si="128"/>
        <v>-95.730119021783565</v>
      </c>
      <c r="AD324">
        <f t="shared" si="132"/>
        <v>0</v>
      </c>
      <c r="AE324">
        <f t="shared" si="135"/>
        <v>0</v>
      </c>
    </row>
    <row r="325" spans="1:31" x14ac:dyDescent="0.2">
      <c r="A325" s="347">
        <v>23442</v>
      </c>
      <c r="B325" s="364">
        <f t="shared" si="129"/>
        <v>23.442</v>
      </c>
      <c r="C325" s="337">
        <f t="shared" si="110"/>
        <v>25.958585700730133</v>
      </c>
      <c r="D325" s="338">
        <f t="shared" si="111"/>
        <v>1.5322638923823757</v>
      </c>
      <c r="E325" s="338">
        <f t="shared" si="112"/>
        <v>1.0017340541849566</v>
      </c>
      <c r="F325" s="339">
        <f t="shared" si="113"/>
        <v>5.8848145266424817E-2</v>
      </c>
      <c r="G325" s="338">
        <f t="shared" si="114"/>
        <v>1</v>
      </c>
      <c r="H325" s="339">
        <f t="shared" si="115"/>
        <v>0</v>
      </c>
      <c r="I325" s="337">
        <f t="shared" si="116"/>
        <v>367673.33182032255</v>
      </c>
      <c r="J325" s="340">
        <f t="shared" si="117"/>
        <v>1.570793606989261</v>
      </c>
      <c r="K325" s="348">
        <f t="shared" si="133"/>
        <v>36.432758171710162</v>
      </c>
      <c r="L325" s="349">
        <f t="shared" si="134"/>
        <v>1.5433450533631314</v>
      </c>
      <c r="M325" s="337">
        <f t="shared" si="118"/>
        <v>1.0033988538498761</v>
      </c>
      <c r="N325" s="340">
        <f t="shared" si="119"/>
        <v>8.2331705304669656E-2</v>
      </c>
      <c r="O325" s="341">
        <f t="shared" si="120"/>
        <v>1.013778905914209</v>
      </c>
      <c r="P325" s="342">
        <f t="shared" si="121"/>
        <v>0.19838829664977745</v>
      </c>
      <c r="Q325" s="343">
        <f t="shared" si="122"/>
        <v>-11.896005731891242</v>
      </c>
      <c r="R325" s="344">
        <f t="shared" si="123"/>
        <v>-102.07726150790903</v>
      </c>
      <c r="S325" s="346">
        <f t="shared" si="124"/>
        <v>77.922738492090971</v>
      </c>
      <c r="U325" s="319">
        <f t="shared" si="130"/>
        <v>23442</v>
      </c>
      <c r="V325" s="319">
        <f t="shared" si="131"/>
        <v>549527364</v>
      </c>
      <c r="X325" s="345">
        <f t="shared" si="125"/>
        <v>17.598350797528507</v>
      </c>
      <c r="Y325" s="346">
        <f t="shared" si="126"/>
        <v>-6.28994551777547</v>
      </c>
      <c r="AA325" s="345">
        <f t="shared" si="127"/>
        <v>19.379593455234509</v>
      </c>
      <c r="AB325" s="346">
        <f t="shared" si="128"/>
        <v>-95.78731599013355</v>
      </c>
      <c r="AD325">
        <f t="shared" si="132"/>
        <v>0</v>
      </c>
      <c r="AE325">
        <f t="shared" si="135"/>
        <v>0</v>
      </c>
    </row>
    <row r="326" spans="1:31" x14ac:dyDescent="0.2">
      <c r="A326" s="347">
        <v>23578.5</v>
      </c>
      <c r="B326" s="364">
        <f t="shared" si="129"/>
        <v>23.578499999999998</v>
      </c>
      <c r="C326" s="337">
        <f t="shared" si="110"/>
        <v>26.109515816363178</v>
      </c>
      <c r="D326" s="338">
        <f t="shared" si="111"/>
        <v>1.5324867444594841</v>
      </c>
      <c r="E326" s="338">
        <f t="shared" si="112"/>
        <v>1.0017542896315026</v>
      </c>
      <c r="F326" s="339">
        <f t="shared" si="113"/>
        <v>5.9190013596238135E-2</v>
      </c>
      <c r="G326" s="338">
        <f t="shared" si="114"/>
        <v>1</v>
      </c>
      <c r="H326" s="339">
        <f t="shared" si="115"/>
        <v>0</v>
      </c>
      <c r="I326" s="337">
        <f t="shared" si="116"/>
        <v>369814.25024849013</v>
      </c>
      <c r="J326" s="340">
        <f t="shared" si="117"/>
        <v>1.5707936227346844</v>
      </c>
      <c r="K326" s="348">
        <f t="shared" si="133"/>
        <v>36.64474246055201</v>
      </c>
      <c r="L326" s="349">
        <f t="shared" si="134"/>
        <v>1.5435038943808723</v>
      </c>
      <c r="M326" s="337">
        <f t="shared" si="118"/>
        <v>1.0034384833240597</v>
      </c>
      <c r="N326" s="340">
        <f t="shared" si="119"/>
        <v>8.2808930768236963E-2</v>
      </c>
      <c r="O326" s="341">
        <f t="shared" si="120"/>
        <v>1.0139389499506888</v>
      </c>
      <c r="P326" s="342">
        <f t="shared" si="121"/>
        <v>0.19952710012301186</v>
      </c>
      <c r="Q326" s="343">
        <f t="shared" si="122"/>
        <v>-11.947938036783848</v>
      </c>
      <c r="R326" s="344">
        <f t="shared" si="123"/>
        <v>-102.15393399888912</v>
      </c>
      <c r="S326" s="346">
        <f t="shared" si="124"/>
        <v>77.846066001110884</v>
      </c>
      <c r="U326" s="319">
        <f t="shared" si="130"/>
        <v>23578.5</v>
      </c>
      <c r="V326" s="319">
        <f t="shared" si="131"/>
        <v>555945662.25</v>
      </c>
      <c r="X326" s="345">
        <f t="shared" si="125"/>
        <v>17.597969979334685</v>
      </c>
      <c r="Y326" s="346">
        <f t="shared" si="126"/>
        <v>-6.3081885049510831</v>
      </c>
      <c r="AA326" s="345">
        <f t="shared" si="127"/>
        <v>19.328041968535729</v>
      </c>
      <c r="AB326" s="346">
        <f t="shared" si="128"/>
        <v>-95.84574549393804</v>
      </c>
      <c r="AD326">
        <f t="shared" si="132"/>
        <v>0</v>
      </c>
      <c r="AE326">
        <f t="shared" si="135"/>
        <v>0</v>
      </c>
    </row>
    <row r="327" spans="1:31" x14ac:dyDescent="0.2">
      <c r="A327" s="347">
        <v>23715</v>
      </c>
      <c r="B327" s="364">
        <f t="shared" si="129"/>
        <v>23.715</v>
      </c>
      <c r="C327" s="337">
        <f t="shared" si="110"/>
        <v>26.260447213769194</v>
      </c>
      <c r="D327" s="338">
        <f t="shared" si="111"/>
        <v>1.5327070348716778</v>
      </c>
      <c r="E327" s="338">
        <f t="shared" si="112"/>
        <v>1.0017746421522966</v>
      </c>
      <c r="F327" s="339">
        <f t="shared" si="113"/>
        <v>5.9531868074891164E-2</v>
      </c>
      <c r="G327" s="338">
        <f t="shared" si="114"/>
        <v>1</v>
      </c>
      <c r="H327" s="339">
        <f t="shared" si="115"/>
        <v>0</v>
      </c>
      <c r="I327" s="337">
        <f t="shared" si="116"/>
        <v>371955.16867665778</v>
      </c>
      <c r="J327" s="340">
        <f t="shared" si="117"/>
        <v>1.5707936382988514</v>
      </c>
      <c r="K327" s="348">
        <f t="shared" si="133"/>
        <v>36.856727663322488</v>
      </c>
      <c r="L327" s="349">
        <f t="shared" si="134"/>
        <v>1.5436609082221282</v>
      </c>
      <c r="M327" s="337">
        <f t="shared" si="118"/>
        <v>1.0034783413074004</v>
      </c>
      <c r="N327" s="340">
        <f t="shared" si="119"/>
        <v>8.3286118429850731E-2</v>
      </c>
      <c r="O327" s="341">
        <f t="shared" si="120"/>
        <v>1.014099902779803</v>
      </c>
      <c r="P327" s="342">
        <f t="shared" si="121"/>
        <v>0.20066562405246238</v>
      </c>
      <c r="Q327" s="343">
        <f t="shared" si="122"/>
        <v>-11.999588383576683</v>
      </c>
      <c r="R327" s="344">
        <f t="shared" si="123"/>
        <v>-102.23054700743845</v>
      </c>
      <c r="S327" s="346">
        <f t="shared" si="124"/>
        <v>77.769452992561554</v>
      </c>
      <c r="U327" s="319">
        <f t="shared" si="130"/>
        <v>23715</v>
      </c>
      <c r="V327" s="319">
        <f t="shared" si="131"/>
        <v>562401225</v>
      </c>
      <c r="X327" s="345">
        <f t="shared" si="125"/>
        <v>17.597587846823465</v>
      </c>
      <c r="Y327" s="346">
        <f t="shared" si="126"/>
        <v>-6.326534005350223</v>
      </c>
      <c r="AA327" s="345">
        <f t="shared" si="127"/>
        <v>19.276773754254105</v>
      </c>
      <c r="AB327" s="346">
        <f t="shared" si="128"/>
        <v>-95.904013002088234</v>
      </c>
      <c r="AD327">
        <f t="shared" si="132"/>
        <v>0</v>
      </c>
      <c r="AE327">
        <f t="shared" si="135"/>
        <v>0</v>
      </c>
    </row>
    <row r="328" spans="1:31" x14ac:dyDescent="0.2">
      <c r="A328" s="347">
        <v>23851.5</v>
      </c>
      <c r="B328" s="364">
        <f t="shared" si="129"/>
        <v>23.851500000000001</v>
      </c>
      <c r="C328" s="337">
        <f t="shared" si="110"/>
        <v>26.411379870973583</v>
      </c>
      <c r="D328" s="338">
        <f t="shared" si="111"/>
        <v>1.5329248075146977</v>
      </c>
      <c r="E328" s="338">
        <f t="shared" si="112"/>
        <v>1.0017951117402029</v>
      </c>
      <c r="F328" s="339">
        <f t="shared" si="113"/>
        <v>5.9873708623329247E-2</v>
      </c>
      <c r="G328" s="338">
        <f t="shared" si="114"/>
        <v>1</v>
      </c>
      <c r="H328" s="339">
        <f t="shared" si="115"/>
        <v>0</v>
      </c>
      <c r="I328" s="337">
        <f t="shared" si="116"/>
        <v>374096.08710482548</v>
      </c>
      <c r="J328" s="340">
        <f t="shared" si="117"/>
        <v>1.5707936536848737</v>
      </c>
      <c r="K328" s="348">
        <f t="shared" si="133"/>
        <v>37.0687137643421</v>
      </c>
      <c r="L328" s="349">
        <f t="shared" si="134"/>
        <v>1.5438161262264971</v>
      </c>
      <c r="M328" s="337">
        <f t="shared" si="118"/>
        <v>1.0035184277726701</v>
      </c>
      <c r="N328" s="340">
        <f t="shared" si="119"/>
        <v>8.376326807670928E-2</v>
      </c>
      <c r="O328" s="341">
        <f t="shared" si="120"/>
        <v>1.0142617640567486</v>
      </c>
      <c r="P328" s="342">
        <f t="shared" si="121"/>
        <v>0.20180386698683472</v>
      </c>
      <c r="Q328" s="343">
        <f t="shared" si="122"/>
        <v>-12.050960092545054</v>
      </c>
      <c r="R328" s="344">
        <f t="shared" si="123"/>
        <v>-102.30710116233305</v>
      </c>
      <c r="S328" s="346">
        <f t="shared" si="124"/>
        <v>77.692898837666945</v>
      </c>
      <c r="U328" s="319">
        <f t="shared" si="130"/>
        <v>23851.5</v>
      </c>
      <c r="V328" s="319">
        <f t="shared" si="131"/>
        <v>568894052.25</v>
      </c>
      <c r="X328" s="345">
        <f t="shared" si="125"/>
        <v>17.597204385635891</v>
      </c>
      <c r="Y328" s="346">
        <f t="shared" si="126"/>
        <v>-6.3449802113318077</v>
      </c>
      <c r="AA328" s="345">
        <f t="shared" si="127"/>
        <v>19.225785506473308</v>
      </c>
      <c r="AB328" s="346">
        <f t="shared" si="128"/>
        <v>-95.962120951001253</v>
      </c>
      <c r="AD328">
        <f t="shared" si="132"/>
        <v>0</v>
      </c>
      <c r="AE328">
        <f t="shared" si="135"/>
        <v>0</v>
      </c>
    </row>
    <row r="329" spans="1:31" x14ac:dyDescent="0.2">
      <c r="A329" s="347">
        <v>23988</v>
      </c>
      <c r="B329" s="364">
        <f t="shared" si="129"/>
        <v>23.988</v>
      </c>
      <c r="C329" s="337">
        <f t="shared" si="110"/>
        <v>26.562313766501035</v>
      </c>
      <c r="D329" s="338">
        <f t="shared" si="111"/>
        <v>1.5331401052875453</v>
      </c>
      <c r="E329" s="338">
        <f t="shared" si="112"/>
        <v>1.0018156983880455</v>
      </c>
      <c r="F329" s="339">
        <f t="shared" si="113"/>
        <v>6.0215535162517216E-2</v>
      </c>
      <c r="G329" s="338">
        <f t="shared" si="114"/>
        <v>1</v>
      </c>
      <c r="H329" s="339">
        <f t="shared" si="115"/>
        <v>0</v>
      </c>
      <c r="I329" s="337">
        <f t="shared" si="116"/>
        <v>376237.00553299329</v>
      </c>
      <c r="J329" s="340">
        <f t="shared" si="117"/>
        <v>1.5707936688957924</v>
      </c>
      <c r="K329" s="348">
        <f t="shared" si="133"/>
        <v>37.280700748287948</v>
      </c>
      <c r="L329" s="349">
        <f t="shared" si="134"/>
        <v>1.5439695790211101</v>
      </c>
      <c r="M329" s="337">
        <f t="shared" si="118"/>
        <v>1.0035587426924895</v>
      </c>
      <c r="N329" s="340">
        <f t="shared" si="119"/>
        <v>8.4240379496114084E-2</v>
      </c>
      <c r="O329" s="341">
        <f t="shared" si="120"/>
        <v>1.0144245334350086</v>
      </c>
      <c r="P329" s="342">
        <f t="shared" si="121"/>
        <v>0.20294182747757455</v>
      </c>
      <c r="Q329" s="343">
        <f t="shared" si="122"/>
        <v>-12.102056427129922</v>
      </c>
      <c r="R329" s="344">
        <f t="shared" si="123"/>
        <v>-102.38359707621919</v>
      </c>
      <c r="S329" s="346">
        <f t="shared" si="124"/>
        <v>77.616402923780811</v>
      </c>
      <c r="U329" s="319">
        <f t="shared" si="130"/>
        <v>23988</v>
      </c>
      <c r="V329" s="319">
        <f t="shared" si="131"/>
        <v>575424144</v>
      </c>
      <c r="X329" s="345">
        <f t="shared" si="125"/>
        <v>17.596819581835998</v>
      </c>
      <c r="Y329" s="346">
        <f t="shared" si="126"/>
        <v>-6.3635253560780285</v>
      </c>
      <c r="AA329" s="345">
        <f t="shared" si="127"/>
        <v>19.175073975688335</v>
      </c>
      <c r="AB329" s="346">
        <f t="shared" si="128"/>
        <v>-96.020071720141189</v>
      </c>
      <c r="AD329">
        <f t="shared" si="132"/>
        <v>0</v>
      </c>
      <c r="AE329">
        <f t="shared" si="135"/>
        <v>0</v>
      </c>
    </row>
    <row r="330" spans="1:31" x14ac:dyDescent="0.2">
      <c r="A330" s="347">
        <v>24127.75</v>
      </c>
      <c r="B330" s="364">
        <f t="shared" si="129"/>
        <v>24.127749999999999</v>
      </c>
      <c r="C330" s="337">
        <f t="shared" si="110"/>
        <v>26.716842587192215</v>
      </c>
      <c r="D330" s="338">
        <f t="shared" si="111"/>
        <v>1.5333580090166097</v>
      </c>
      <c r="E330" s="338">
        <f t="shared" si="112"/>
        <v>1.0018368964604631</v>
      </c>
      <c r="F330" s="339">
        <f t="shared" si="113"/>
        <v>6.0565485832767801E-2</v>
      </c>
      <c r="G330" s="338">
        <f t="shared" si="114"/>
        <v>1</v>
      </c>
      <c r="H330" s="339">
        <f t="shared" si="115"/>
        <v>0</v>
      </c>
      <c r="I330" s="337">
        <f t="shared" si="116"/>
        <v>378428.89820945094</v>
      </c>
      <c r="J330" s="340">
        <f t="shared" si="117"/>
        <v>1.5707936842905723</v>
      </c>
      <c r="K330" s="348">
        <f t="shared" si="133"/>
        <v>37.497735940448351</v>
      </c>
      <c r="L330" s="349">
        <f t="shared" si="134"/>
        <v>1.5441248879546854</v>
      </c>
      <c r="M330" s="337">
        <f t="shared" si="118"/>
        <v>1.0036002541409978</v>
      </c>
      <c r="N330" s="340">
        <f t="shared" si="119"/>
        <v>8.4728810885668485E-2</v>
      </c>
      <c r="O330" s="341">
        <f t="shared" si="120"/>
        <v>1.0145921187019216</v>
      </c>
      <c r="P330" s="342">
        <f t="shared" si="121"/>
        <v>0.20410658814503105</v>
      </c>
      <c r="Q330" s="343">
        <f t="shared" si="122"/>
        <v>-12.154087403277993</v>
      </c>
      <c r="R330" s="344">
        <f t="shared" si="123"/>
        <v>-102.46185460711374</v>
      </c>
      <c r="S330" s="346">
        <f t="shared" si="124"/>
        <v>77.538145392886264</v>
      </c>
      <c r="U330" s="319">
        <f t="shared" si="130"/>
        <v>24127.75</v>
      </c>
      <c r="V330" s="319">
        <f t="shared" si="131"/>
        <v>582148320.0625</v>
      </c>
      <c r="X330" s="345">
        <f t="shared" si="125"/>
        <v>17.596424210974668</v>
      </c>
      <c r="Y330" s="346">
        <f t="shared" si="126"/>
        <v>-6.3826127489443865</v>
      </c>
      <c r="AA330" s="345">
        <f t="shared" si="127"/>
        <v>19.123438370401601</v>
      </c>
      <c r="AB330" s="346">
        <f t="shared" si="128"/>
        <v>-96.079241858169325</v>
      </c>
      <c r="AD330">
        <f t="shared" si="132"/>
        <v>0</v>
      </c>
      <c r="AE330">
        <f t="shared" si="135"/>
        <v>0</v>
      </c>
    </row>
    <row r="331" spans="1:31" x14ac:dyDescent="0.2">
      <c r="A331" s="347">
        <v>24267.5</v>
      </c>
      <c r="B331" s="364">
        <f t="shared" si="129"/>
        <v>24.267499999999998</v>
      </c>
      <c r="C331" s="337">
        <f t="shared" si="110"/>
        <v>26.87137266186312</v>
      </c>
      <c r="D331" s="338">
        <f t="shared" si="111"/>
        <v>1.5335734065437137</v>
      </c>
      <c r="E331" s="338">
        <f t="shared" si="112"/>
        <v>1.0018582172181081</v>
      </c>
      <c r="F331" s="339">
        <f t="shared" si="113"/>
        <v>6.0915421651122743E-2</v>
      </c>
      <c r="G331" s="338">
        <f t="shared" si="114"/>
        <v>1</v>
      </c>
      <c r="H331" s="339">
        <f t="shared" si="115"/>
        <v>0</v>
      </c>
      <c r="I331" s="337">
        <f t="shared" si="116"/>
        <v>380620.79088590865</v>
      </c>
      <c r="J331" s="340">
        <f t="shared" si="117"/>
        <v>1.5707936995080434</v>
      </c>
      <c r="K331" s="348">
        <f t="shared" si="133"/>
        <v>37.714772026676656</v>
      </c>
      <c r="L331" s="349">
        <f t="shared" si="134"/>
        <v>1.5442784093884494</v>
      </c>
      <c r="M331" s="337">
        <f t="shared" si="118"/>
        <v>1.0036420049937849</v>
      </c>
      <c r="N331" s="340">
        <f t="shared" si="119"/>
        <v>8.5217201754873476E-2</v>
      </c>
      <c r="O331" s="341">
        <f t="shared" si="120"/>
        <v>1.0147606550873023</v>
      </c>
      <c r="P331" s="342">
        <f t="shared" si="121"/>
        <v>0.20527104969503163</v>
      </c>
      <c r="Q331" s="343">
        <f t="shared" si="122"/>
        <v>-12.205836481681933</v>
      </c>
      <c r="R331" s="344">
        <f t="shared" si="123"/>
        <v>-102.54005234038732</v>
      </c>
      <c r="S331" s="346">
        <f t="shared" si="124"/>
        <v>77.459947659612681</v>
      </c>
      <c r="U331" s="319">
        <f t="shared" si="130"/>
        <v>24267.5</v>
      </c>
      <c r="V331" s="319">
        <f t="shared" si="131"/>
        <v>588911556.25</v>
      </c>
      <c r="X331" s="345">
        <f t="shared" si="125"/>
        <v>17.596027404540919</v>
      </c>
      <c r="Y331" s="346">
        <f t="shared" si="126"/>
        <v>-6.4018002262018774</v>
      </c>
      <c r="AA331" s="345">
        <f t="shared" si="127"/>
        <v>19.072086098431406</v>
      </c>
      <c r="AB331" s="346">
        <f t="shared" si="128"/>
        <v>-96.138252114185462</v>
      </c>
      <c r="AD331">
        <f t="shared" si="132"/>
        <v>0</v>
      </c>
      <c r="AE331">
        <f t="shared" si="135"/>
        <v>0</v>
      </c>
    </row>
    <row r="332" spans="1:31" x14ac:dyDescent="0.2">
      <c r="A332" s="347">
        <v>24407.25</v>
      </c>
      <c r="B332" s="364">
        <f t="shared" si="129"/>
        <v>24.407250000000001</v>
      </c>
      <c r="C332" s="337">
        <f t="shared" si="110"/>
        <v>27.025903969003554</v>
      </c>
      <c r="D332" s="338">
        <f t="shared" si="111"/>
        <v>1.5337863408393027</v>
      </c>
      <c r="E332" s="338">
        <f t="shared" si="112"/>
        <v>1.0018796606531479</v>
      </c>
      <c r="F332" s="339">
        <f t="shared" si="113"/>
        <v>6.1265342532830142E-2</v>
      </c>
      <c r="G332" s="338">
        <f t="shared" si="114"/>
        <v>1</v>
      </c>
      <c r="H332" s="339">
        <f t="shared" si="115"/>
        <v>0</v>
      </c>
      <c r="I332" s="337">
        <f t="shared" si="116"/>
        <v>382812.68356236647</v>
      </c>
      <c r="J332" s="340">
        <f t="shared" si="117"/>
        <v>1.5707937145512512</v>
      </c>
      <c r="K332" s="348">
        <f t="shared" si="133"/>
        <v>37.931808991625999</v>
      </c>
      <c r="L332" s="349">
        <f t="shared" si="134"/>
        <v>1.5444301739980741</v>
      </c>
      <c r="M332" s="337">
        <f t="shared" si="118"/>
        <v>1.0036839952209748</v>
      </c>
      <c r="N332" s="340">
        <f t="shared" si="119"/>
        <v>8.5705551875812774E-2</v>
      </c>
      <c r="O332" s="341">
        <f t="shared" si="120"/>
        <v>1.0149301422137325</v>
      </c>
      <c r="P332" s="342">
        <f t="shared" si="121"/>
        <v>0.2064352105820722</v>
      </c>
      <c r="Q332" s="343">
        <f t="shared" si="122"/>
        <v>-12.257306987621476</v>
      </c>
      <c r="R332" s="344">
        <f t="shared" si="123"/>
        <v>-102.61819088389966</v>
      </c>
      <c r="S332" s="346">
        <f t="shared" si="124"/>
        <v>77.381809116100342</v>
      </c>
      <c r="U332" s="319">
        <f t="shared" si="130"/>
        <v>24407.25</v>
      </c>
      <c r="V332" s="319">
        <f t="shared" si="131"/>
        <v>595713852.5625</v>
      </c>
      <c r="X332" s="345">
        <f t="shared" si="125"/>
        <v>17.595629148866397</v>
      </c>
      <c r="Y332" s="346">
        <f t="shared" si="126"/>
        <v>-6.4210860173798014</v>
      </c>
      <c r="AA332" s="345">
        <f t="shared" si="127"/>
        <v>19.021013848166387</v>
      </c>
      <c r="AB332" s="346">
        <f t="shared" si="128"/>
        <v>-96.197104866519851</v>
      </c>
      <c r="AD332">
        <f t="shared" si="132"/>
        <v>0</v>
      </c>
      <c r="AE332">
        <f t="shared" si="135"/>
        <v>0</v>
      </c>
    </row>
    <row r="333" spans="1:31" x14ac:dyDescent="0.2">
      <c r="A333" s="347">
        <v>24547</v>
      </c>
      <c r="B333" s="364">
        <f t="shared" si="129"/>
        <v>24.547000000000001</v>
      </c>
      <c r="C333" s="337">
        <f t="shared" ref="C333:C396" si="136">SQRT(1+(A333/pole1)^2)</f>
        <v>27.18043648759231</v>
      </c>
      <c r="D333" s="338">
        <f t="shared" ref="D333:D396" si="137">ATAN(A333/pole1)</f>
        <v>1.5339968538975053</v>
      </c>
      <c r="E333" s="338">
        <f t="shared" ref="E333:E396" si="138">SQRT(1+(A333/Zero1)^2)</f>
        <v>1.0019012267577054</v>
      </c>
      <c r="F333" s="339">
        <f t="shared" ref="F333:F396" si="139">ATAN(A333/Zero1)</f>
        <v>6.1615248393159953E-2</v>
      </c>
      <c r="G333" s="338">
        <f t="shared" ref="G333:G396" si="140">IF(VIN_nom&gt;Vout, 1, SQRT(1+(A333/z_RHP)^2))</f>
        <v>1</v>
      </c>
      <c r="H333" s="339">
        <f t="shared" ref="H333:H396" si="141">IF(VIN_nom&gt;Vout, 0, -ATAN(A333/z_RHP))</f>
        <v>0</v>
      </c>
      <c r="I333" s="337">
        <f t="shared" ref="I333:I396" si="142">SQRT(1+(A333/Pole2)^2)</f>
        <v>385004.5762388244</v>
      </c>
      <c r="J333" s="340">
        <f t="shared" ref="J333:J396" si="143">ATAN(A333/Pole2)</f>
        <v>1.5707937294231724</v>
      </c>
      <c r="K333" s="348">
        <f t="shared" si="133"/>
        <v>38.148846820298658</v>
      </c>
      <c r="L333" s="349">
        <f t="shared" si="134"/>
        <v>1.5445802117614744</v>
      </c>
      <c r="M333" s="337">
        <f t="shared" ref="M333:M396" si="144">SQRT(1+(A333/pole4)^2)</f>
        <v>1.0037262247925256</v>
      </c>
      <c r="N333" s="340">
        <f t="shared" ref="N333:N396" si="145">ATAN(A333/pole4)</f>
        <v>8.6193861020685936E-2</v>
      </c>
      <c r="O333" s="341">
        <f t="shared" ref="O333:O396" si="146">SQRT((1-(V333/pterm2))^2+(A333/pterm1)^2)</f>
        <v>1.0151005797019321</v>
      </c>
      <c r="P333" s="342">
        <f t="shared" ref="P333:P396" si="147">IF((ATAN((A333/pterm1)/(1-A333^2/pterm2))&gt;0),ATAN((A333/pterm1)/(1-A333^2/pterm2)),PI()+ATAN((A333/pterm1)/(1-A333^2/pterm2)))</f>
        <v>0.20759906926371</v>
      </c>
      <c r="Q333" s="343">
        <f t="shared" ref="Q333:Q396" si="148">20*LOG10(((E333*K333*G333)/(C333*I333*O333*M333))*Adc)</f>
        <v>-12.308502189407267</v>
      </c>
      <c r="R333" s="344">
        <f t="shared" ref="R333:R396" si="149">((F333+L333+H333)-(D333+J333+P333+N333))*radconv</f>
        <v>-102.69627082972676</v>
      </c>
      <c r="S333" s="346">
        <f t="shared" ref="S333:S396" si="150">IF(R333&gt;0,R333,R333+180)</f>
        <v>77.303729170273243</v>
      </c>
      <c r="U333" s="319">
        <f t="shared" si="130"/>
        <v>24547</v>
      </c>
      <c r="V333" s="319">
        <f t="shared" si="131"/>
        <v>602555209</v>
      </c>
      <c r="X333" s="345">
        <f t="shared" ref="X333:X396" si="151">20*LOG10((K333/(I333*M333))*AEA)</f>
        <v>17.595229430687887</v>
      </c>
      <c r="Y333" s="346">
        <f t="shared" ref="Y333:Y396" si="152">(L333-(J333+N333))*radconv</f>
        <v>-6.4404683919887207</v>
      </c>
      <c r="AA333" s="345">
        <f t="shared" ref="AA333:AA396" si="153">20*LOG10((E333*G333/(C333*O333))*Acs*Am)</f>
        <v>18.970218364559098</v>
      </c>
      <c r="AB333" s="346">
        <f t="shared" ref="AB333:AB396" si="154">(F333+H333-(D333+P333))*radconv</f>
        <v>-96.255802437738041</v>
      </c>
      <c r="AD333">
        <f t="shared" si="132"/>
        <v>0</v>
      </c>
      <c r="AE333">
        <f t="shared" si="135"/>
        <v>0</v>
      </c>
    </row>
    <row r="334" spans="1:31" x14ac:dyDescent="0.2">
      <c r="A334" s="347">
        <v>24690</v>
      </c>
      <c r="B334" s="364">
        <f t="shared" ref="B334:B397" si="155">A334/1000</f>
        <v>24.69</v>
      </c>
      <c r="C334" s="337">
        <f t="shared" si="136"/>
        <v>27.33856401828853</v>
      </c>
      <c r="D334" s="338">
        <f t="shared" si="137"/>
        <v>1.5342097990663548</v>
      </c>
      <c r="E334" s="338">
        <f t="shared" si="138"/>
        <v>1.0019234213731738</v>
      </c>
      <c r="F334" s="339">
        <f t="shared" si="139"/>
        <v>6.1973275961272188E-2</v>
      </c>
      <c r="G334" s="338">
        <f t="shared" si="140"/>
        <v>1</v>
      </c>
      <c r="H334" s="339">
        <f t="shared" si="141"/>
        <v>0</v>
      </c>
      <c r="I334" s="337">
        <f t="shared" si="142"/>
        <v>387247.443163572</v>
      </c>
      <c r="J334" s="340">
        <f t="shared" si="143"/>
        <v>1.5707937444666782</v>
      </c>
      <c r="K334" s="348">
        <f t="shared" si="133"/>
        <v>38.370932919133281</v>
      </c>
      <c r="L334" s="349">
        <f t="shared" si="134"/>
        <v>1.5447319817841618</v>
      </c>
      <c r="M334" s="337">
        <f t="shared" si="144"/>
        <v>1.0037696841739272</v>
      </c>
      <c r="N334" s="340">
        <f t="shared" si="145"/>
        <v>8.6693483538125227E-2</v>
      </c>
      <c r="O334" s="341">
        <f t="shared" si="146"/>
        <v>1.0152759642259579</v>
      </c>
      <c r="P334" s="342">
        <f t="shared" si="147"/>
        <v>0.20878967999132511</v>
      </c>
      <c r="Q334" s="343">
        <f t="shared" si="148"/>
        <v>-12.360606346062754</v>
      </c>
      <c r="R334" s="344">
        <f t="shared" si="149"/>
        <v>-102.77610653216573</v>
      </c>
      <c r="S334" s="346">
        <f t="shared" si="150"/>
        <v>77.223893467834273</v>
      </c>
      <c r="U334" s="319">
        <f t="shared" ref="U334:U397" si="156">IF(Q334&lt;0,A334,1000000000)</f>
        <v>24690</v>
      </c>
      <c r="V334" s="319">
        <f t="shared" ref="V334:V397" si="157">A334^2</f>
        <v>609596100</v>
      </c>
      <c r="X334" s="345">
        <f t="shared" si="151"/>
        <v>17.594818889395636</v>
      </c>
      <c r="Y334" s="346">
        <f t="shared" si="152"/>
        <v>-6.4603997337832721</v>
      </c>
      <c r="AA334" s="345">
        <f t="shared" si="153"/>
        <v>18.918524749195868</v>
      </c>
      <c r="AB334" s="346">
        <f t="shared" si="154"/>
        <v>-96.315706798382465</v>
      </c>
      <c r="AD334">
        <f t="shared" ref="AD334:AD397" si="158">SUM((Q335&lt;0)*(Q334&gt;0))*A334</f>
        <v>0</v>
      </c>
      <c r="AE334">
        <f t="shared" si="135"/>
        <v>0</v>
      </c>
    </row>
    <row r="335" spans="1:31" x14ac:dyDescent="0.2">
      <c r="A335" s="347">
        <v>24833</v>
      </c>
      <c r="B335" s="364">
        <f t="shared" si="155"/>
        <v>24.832999999999998</v>
      </c>
      <c r="C335" s="337">
        <f t="shared" si="136"/>
        <v>27.496692774411223</v>
      </c>
      <c r="D335" s="338">
        <f t="shared" si="137"/>
        <v>1.5344202950224952</v>
      </c>
      <c r="E335" s="338">
        <f t="shared" si="138"/>
        <v>1.0019457444132334</v>
      </c>
      <c r="F335" s="339">
        <f t="shared" si="139"/>
        <v>6.2331287621787898E-2</v>
      </c>
      <c r="G335" s="338">
        <f t="shared" si="140"/>
        <v>1</v>
      </c>
      <c r="H335" s="339">
        <f t="shared" si="141"/>
        <v>0</v>
      </c>
      <c r="I335" s="337">
        <f t="shared" si="142"/>
        <v>389490.31008831976</v>
      </c>
      <c r="J335" s="340">
        <f t="shared" si="143"/>
        <v>1.5707937593369288</v>
      </c>
      <c r="K335" s="348">
        <f t="shared" si="133"/>
        <v>38.59301989163707</v>
      </c>
      <c r="L335" s="349">
        <f t="shared" si="134"/>
        <v>1.5448820050620284</v>
      </c>
      <c r="M335" s="337">
        <f t="shared" si="144"/>
        <v>1.0038133940972549</v>
      </c>
      <c r="N335" s="340">
        <f t="shared" si="145"/>
        <v>8.7193062669262494E-2</v>
      </c>
      <c r="O335" s="341">
        <f t="shared" si="146"/>
        <v>1.0154523430191706</v>
      </c>
      <c r="P335" s="342">
        <f t="shared" si="147"/>
        <v>0.20997997103630409</v>
      </c>
      <c r="Q335" s="343">
        <f t="shared" si="148"/>
        <v>-12.412428991438611</v>
      </c>
      <c r="R335" s="344">
        <f t="shared" si="149"/>
        <v>-102.85588208535286</v>
      </c>
      <c r="S335" s="346">
        <f t="shared" si="150"/>
        <v>77.14411791464714</v>
      </c>
      <c r="U335" s="319">
        <f t="shared" si="156"/>
        <v>24833</v>
      </c>
      <c r="V335" s="319">
        <f t="shared" si="157"/>
        <v>616677889</v>
      </c>
      <c r="X335" s="345">
        <f t="shared" si="151"/>
        <v>17.594406789928584</v>
      </c>
      <c r="Y335" s="346">
        <f t="shared" si="152"/>
        <v>-6.480428660905261</v>
      </c>
      <c r="AA335" s="345">
        <f t="shared" si="153"/>
        <v>18.867114203287066</v>
      </c>
      <c r="AB335" s="346">
        <f t="shared" si="154"/>
        <v>-96.375453424447642</v>
      </c>
      <c r="AD335">
        <f t="shared" si="158"/>
        <v>0</v>
      </c>
      <c r="AE335">
        <f t="shared" si="135"/>
        <v>0</v>
      </c>
    </row>
    <row r="336" spans="1:31" x14ac:dyDescent="0.2">
      <c r="A336" s="347">
        <v>24976</v>
      </c>
      <c r="B336" s="364">
        <f t="shared" si="155"/>
        <v>24.975999999999999</v>
      </c>
      <c r="C336" s="337">
        <f t="shared" si="136"/>
        <v>27.654822734939618</v>
      </c>
      <c r="D336" s="338">
        <f t="shared" si="137"/>
        <v>1.5346283837608223</v>
      </c>
      <c r="E336" s="338">
        <f t="shared" si="138"/>
        <v>1.001968195869301</v>
      </c>
      <c r="F336" s="339">
        <f t="shared" si="139"/>
        <v>6.2689283283999017E-2</v>
      </c>
      <c r="G336" s="338">
        <f t="shared" si="140"/>
        <v>1</v>
      </c>
      <c r="H336" s="339">
        <f t="shared" si="141"/>
        <v>0</v>
      </c>
      <c r="I336" s="337">
        <f t="shared" si="142"/>
        <v>391733.17701306765</v>
      </c>
      <c r="J336" s="340">
        <f t="shared" si="143"/>
        <v>1.5707937740369005</v>
      </c>
      <c r="K336" s="348">
        <f t="shared" si="133"/>
        <v>38.815107722813515</v>
      </c>
      <c r="L336" s="349">
        <f t="shared" si="134"/>
        <v>1.5450303115712347</v>
      </c>
      <c r="M336" s="337">
        <f t="shared" si="144"/>
        <v>1.0038573545297815</v>
      </c>
      <c r="N336" s="340">
        <f t="shared" si="145"/>
        <v>8.7692598170412236E-2</v>
      </c>
      <c r="O336" s="341">
        <f t="shared" si="146"/>
        <v>1.0156297156691823</v>
      </c>
      <c r="P336" s="342">
        <f t="shared" si="147"/>
        <v>0.21116994075610673</v>
      </c>
      <c r="Q336" s="343">
        <f t="shared" si="148"/>
        <v>-12.463973450272492</v>
      </c>
      <c r="R336" s="344">
        <f t="shared" si="149"/>
        <v>-102.93559807520604</v>
      </c>
      <c r="S336" s="346">
        <f t="shared" si="150"/>
        <v>77.064401924793955</v>
      </c>
      <c r="U336" s="319">
        <f t="shared" si="156"/>
        <v>24976</v>
      </c>
      <c r="V336" s="319">
        <f t="shared" si="157"/>
        <v>623800576</v>
      </c>
      <c r="X336" s="345">
        <f t="shared" si="151"/>
        <v>17.593993119306891</v>
      </c>
      <c r="Y336" s="346">
        <f t="shared" si="152"/>
        <v>-6.5005534420555851</v>
      </c>
      <c r="AA336" s="345">
        <f t="shared" si="153"/>
        <v>18.815983415074871</v>
      </c>
      <c r="AB336" s="346">
        <f t="shared" si="154"/>
        <v>-96.43504463315044</v>
      </c>
      <c r="AD336">
        <f t="shared" si="158"/>
        <v>0</v>
      </c>
      <c r="AE336">
        <f t="shared" si="135"/>
        <v>0</v>
      </c>
    </row>
    <row r="337" spans="1:31" x14ac:dyDescent="0.2">
      <c r="A337" s="347">
        <v>25119</v>
      </c>
      <c r="B337" s="364">
        <f t="shared" si="155"/>
        <v>25.119</v>
      </c>
      <c r="C337" s="337">
        <f t="shared" si="136"/>
        <v>27.812953879330841</v>
      </c>
      <c r="D337" s="338">
        <f t="shared" si="137"/>
        <v>1.5348341063220248</v>
      </c>
      <c r="E337" s="338">
        <f t="shared" si="138"/>
        <v>1.0019907757327442</v>
      </c>
      <c r="F337" s="339">
        <f t="shared" si="139"/>
        <v>6.3047262857221981E-2</v>
      </c>
      <c r="G337" s="338">
        <f t="shared" si="140"/>
        <v>1</v>
      </c>
      <c r="H337" s="339">
        <f t="shared" si="141"/>
        <v>0</v>
      </c>
      <c r="I337" s="337">
        <f t="shared" si="142"/>
        <v>393976.04393781559</v>
      </c>
      <c r="J337" s="340">
        <f t="shared" si="143"/>
        <v>1.5707937885695009</v>
      </c>
      <c r="K337" s="348">
        <f t="shared" si="133"/>
        <v>39.037196398007289</v>
      </c>
      <c r="L337" s="349">
        <f t="shared" si="134"/>
        <v>1.5451769306060912</v>
      </c>
      <c r="M337" s="337">
        <f t="shared" si="144"/>
        <v>1.0039015654385977</v>
      </c>
      <c r="N337" s="340">
        <f t="shared" si="145"/>
        <v>8.8192089798018639E-2</v>
      </c>
      <c r="O337" s="341">
        <f t="shared" si="146"/>
        <v>1.0158080817615853</v>
      </c>
      <c r="P337" s="342">
        <f t="shared" si="147"/>
        <v>0.21235958751160483</v>
      </c>
      <c r="Q337" s="343">
        <f t="shared" si="148"/>
        <v>-12.515242990323108</v>
      </c>
      <c r="R337" s="344">
        <f t="shared" si="149"/>
        <v>-103.01525507223553</v>
      </c>
      <c r="S337" s="346">
        <f t="shared" si="150"/>
        <v>76.984744927764467</v>
      </c>
      <c r="U337" s="319">
        <f t="shared" si="156"/>
        <v>25119</v>
      </c>
      <c r="V337" s="319">
        <f t="shared" si="157"/>
        <v>630964161</v>
      </c>
      <c r="X337" s="345">
        <f t="shared" si="151"/>
        <v>17.593577864938009</v>
      </c>
      <c r="Y337" s="346">
        <f t="shared" si="152"/>
        <v>-6.5207723850057713</v>
      </c>
      <c r="AA337" s="345">
        <f t="shared" si="153"/>
        <v>18.765129129393138</v>
      </c>
      <c r="AB337" s="346">
        <f t="shared" si="154"/>
        <v>-96.494482687229777</v>
      </c>
      <c r="AD337">
        <f t="shared" si="158"/>
        <v>0</v>
      </c>
      <c r="AE337">
        <f t="shared" si="135"/>
        <v>0</v>
      </c>
    </row>
    <row r="338" spans="1:31" x14ac:dyDescent="0.2">
      <c r="A338" s="347">
        <v>25265.25</v>
      </c>
      <c r="B338" s="364">
        <f t="shared" si="155"/>
        <v>25.265250000000002</v>
      </c>
      <c r="C338" s="337">
        <f t="shared" si="136"/>
        <v>27.974680116972063</v>
      </c>
      <c r="D338" s="338">
        <f t="shared" si="137"/>
        <v>1.5350420987428723</v>
      </c>
      <c r="E338" s="338">
        <f t="shared" si="138"/>
        <v>1.0020140015839174</v>
      </c>
      <c r="F338" s="339">
        <f t="shared" si="139"/>
        <v>6.3413361593721504E-2</v>
      </c>
      <c r="G338" s="338">
        <f t="shared" si="140"/>
        <v>1</v>
      </c>
      <c r="H338" s="339">
        <f t="shared" si="141"/>
        <v>0</v>
      </c>
      <c r="I338" s="337">
        <f t="shared" si="142"/>
        <v>396269.88511085336</v>
      </c>
      <c r="J338" s="340">
        <f t="shared" si="143"/>
        <v>1.5707938032622297</v>
      </c>
      <c r="K338" s="348">
        <f t="shared" si="133"/>
        <v>39.264333401174405</v>
      </c>
      <c r="L338" s="349">
        <f t="shared" si="134"/>
        <v>1.5453251662897745</v>
      </c>
      <c r="M338" s="337">
        <f t="shared" si="144"/>
        <v>1.0039470401862516</v>
      </c>
      <c r="N338" s="340">
        <f t="shared" si="145"/>
        <v>8.8702887873813682E-2</v>
      </c>
      <c r="O338" s="341">
        <f t="shared" si="146"/>
        <v>1.0159915287611312</v>
      </c>
      <c r="P338" s="342">
        <f t="shared" si="147"/>
        <v>0.21357593593081836</v>
      </c>
      <c r="Q338" s="343">
        <f t="shared" si="148"/>
        <v>-12.567396732423337</v>
      </c>
      <c r="R338" s="344">
        <f t="shared" si="149"/>
        <v>-103.09666201527521</v>
      </c>
      <c r="S338" s="346">
        <f t="shared" si="150"/>
        <v>76.903337984724786</v>
      </c>
      <c r="U338" s="319">
        <f t="shared" si="156"/>
        <v>25265.25</v>
      </c>
      <c r="V338" s="319">
        <f t="shared" si="157"/>
        <v>638332857.5625</v>
      </c>
      <c r="X338" s="345">
        <f t="shared" si="151"/>
        <v>17.593151522090693</v>
      </c>
      <c r="Y338" s="346">
        <f t="shared" si="152"/>
        <v>-6.5415465217390301</v>
      </c>
      <c r="AA338" s="345">
        <f t="shared" si="153"/>
        <v>18.713401730140227</v>
      </c>
      <c r="AB338" s="346">
        <f t="shared" si="154"/>
        <v>-96.555115493536178</v>
      </c>
      <c r="AD338">
        <f t="shared" si="158"/>
        <v>0</v>
      </c>
      <c r="AE338">
        <f t="shared" si="135"/>
        <v>0</v>
      </c>
    </row>
    <row r="339" spans="1:31" x14ac:dyDescent="0.2">
      <c r="A339" s="347">
        <v>25411.5</v>
      </c>
      <c r="B339" s="364">
        <f t="shared" si="155"/>
        <v>25.4115</v>
      </c>
      <c r="C339" s="337">
        <f t="shared" si="136"/>
        <v>28.136407550909226</v>
      </c>
      <c r="D339" s="338">
        <f t="shared" si="137"/>
        <v>1.535247700101072</v>
      </c>
      <c r="E339" s="338">
        <f t="shared" si="138"/>
        <v>1.0020373617270728</v>
      </c>
      <c r="F339" s="339">
        <f t="shared" si="139"/>
        <v>6.3779443309823283E-2</v>
      </c>
      <c r="G339" s="338">
        <f t="shared" si="140"/>
        <v>1</v>
      </c>
      <c r="H339" s="339">
        <f t="shared" si="141"/>
        <v>0</v>
      </c>
      <c r="I339" s="337">
        <f t="shared" si="142"/>
        <v>398563.72628389118</v>
      </c>
      <c r="J339" s="340">
        <f t="shared" si="143"/>
        <v>1.5707938177858372</v>
      </c>
      <c r="K339" s="348">
        <f t="shared" si="133"/>
        <v>39.491471257204097</v>
      </c>
      <c r="L339" s="349">
        <f t="shared" si="134"/>
        <v>1.5454716968016149</v>
      </c>
      <c r="M339" s="337">
        <f t="shared" si="144"/>
        <v>1.0039927768546517</v>
      </c>
      <c r="N339" s="340">
        <f t="shared" si="145"/>
        <v>8.9213639544275011E-2</v>
      </c>
      <c r="O339" s="341">
        <f t="shared" si="146"/>
        <v>1.0161760139894713</v>
      </c>
      <c r="P339" s="342">
        <f t="shared" si="147"/>
        <v>0.21479194308176783</v>
      </c>
      <c r="Q339" s="343">
        <f t="shared" si="148"/>
        <v>-12.61926965414921</v>
      </c>
      <c r="R339" s="344">
        <f t="shared" si="149"/>
        <v>-103.17800841311251</v>
      </c>
      <c r="S339" s="346">
        <f t="shared" si="150"/>
        <v>76.821991586887492</v>
      </c>
      <c r="U339" s="319">
        <f t="shared" si="156"/>
        <v>25411.5</v>
      </c>
      <c r="V339" s="319">
        <f t="shared" si="157"/>
        <v>645744332.25</v>
      </c>
      <c r="X339" s="345">
        <f t="shared" si="151"/>
        <v>17.592723497231976</v>
      </c>
      <c r="Y339" s="346">
        <f t="shared" si="152"/>
        <v>-6.5624156891026342</v>
      </c>
      <c r="AA339" s="345">
        <f t="shared" si="153"/>
        <v>18.66195683327307</v>
      </c>
      <c r="AB339" s="346">
        <f t="shared" si="154"/>
        <v>-96.615592724009886</v>
      </c>
      <c r="AD339">
        <f t="shared" si="158"/>
        <v>0</v>
      </c>
      <c r="AE339">
        <f t="shared" si="135"/>
        <v>0</v>
      </c>
    </row>
    <row r="340" spans="1:31" x14ac:dyDescent="0.2">
      <c r="A340" s="347">
        <v>25557.75</v>
      </c>
      <c r="B340" s="364">
        <f t="shared" si="155"/>
        <v>25.557749999999999</v>
      </c>
      <c r="C340" s="337">
        <f t="shared" si="136"/>
        <v>28.298136160631362</v>
      </c>
      <c r="D340" s="338">
        <f t="shared" si="137"/>
        <v>1.5354509513750672</v>
      </c>
      <c r="E340" s="338">
        <f t="shared" si="138"/>
        <v>1.0020608561528179</v>
      </c>
      <c r="F340" s="339">
        <f t="shared" si="139"/>
        <v>6.4145507908599686E-2</v>
      </c>
      <c r="G340" s="338">
        <f t="shared" si="140"/>
        <v>1</v>
      </c>
      <c r="H340" s="339">
        <f t="shared" si="141"/>
        <v>0</v>
      </c>
      <c r="I340" s="337">
        <f t="shared" si="142"/>
        <v>400857.56745692913</v>
      </c>
      <c r="J340" s="340">
        <f t="shared" si="143"/>
        <v>1.5707938321432269</v>
      </c>
      <c r="K340" s="348">
        <f t="shared" si="133"/>
        <v>39.718609951464629</v>
      </c>
      <c r="L340" s="349">
        <f t="shared" si="134"/>
        <v>1.5456165513893489</v>
      </c>
      <c r="M340" s="337">
        <f t="shared" si="144"/>
        <v>1.0040387754080042</v>
      </c>
      <c r="N340" s="340">
        <f t="shared" si="145"/>
        <v>8.9724344549285781E-2</v>
      </c>
      <c r="O340" s="341">
        <f t="shared" si="146"/>
        <v>1.016361536996778</v>
      </c>
      <c r="P340" s="342">
        <f t="shared" si="147"/>
        <v>0.21600760722217185</v>
      </c>
      <c r="Q340" s="343">
        <f t="shared" si="148"/>
        <v>-12.670865074513063</v>
      </c>
      <c r="R340" s="344">
        <f t="shared" si="149"/>
        <v>-103.25929482885839</v>
      </c>
      <c r="S340" s="346">
        <f t="shared" si="150"/>
        <v>76.740705171141613</v>
      </c>
      <c r="U340" s="319">
        <f t="shared" si="156"/>
        <v>25557.75</v>
      </c>
      <c r="V340" s="319">
        <f t="shared" si="157"/>
        <v>653198585.0625</v>
      </c>
      <c r="X340" s="345">
        <f t="shared" si="151"/>
        <v>17.592293778065105</v>
      </c>
      <c r="Y340" s="346">
        <f t="shared" si="152"/>
        <v>-6.5833781965874687</v>
      </c>
      <c r="AA340" s="345">
        <f t="shared" si="153"/>
        <v>18.610791132076084</v>
      </c>
      <c r="AB340" s="346">
        <f t="shared" si="154"/>
        <v>-96.675916632270912</v>
      </c>
      <c r="AD340">
        <f t="shared" si="158"/>
        <v>0</v>
      </c>
      <c r="AE340">
        <f t="shared" si="135"/>
        <v>0</v>
      </c>
    </row>
    <row r="341" spans="1:31" x14ac:dyDescent="0.2">
      <c r="A341" s="347">
        <v>25704</v>
      </c>
      <c r="B341" s="364">
        <f t="shared" si="155"/>
        <v>25.704000000000001</v>
      </c>
      <c r="C341" s="337">
        <f t="shared" si="136"/>
        <v>28.45986592609362</v>
      </c>
      <c r="D341" s="338">
        <f t="shared" si="137"/>
        <v>1.5356518926126093</v>
      </c>
      <c r="E341" s="338">
        <f t="shared" si="138"/>
        <v>1.0020844848517081</v>
      </c>
      <c r="F341" s="339">
        <f t="shared" si="139"/>
        <v>6.4511555293150391E-2</v>
      </c>
      <c r="G341" s="338">
        <f t="shared" si="140"/>
        <v>1</v>
      </c>
      <c r="H341" s="339">
        <f t="shared" si="141"/>
        <v>0</v>
      </c>
      <c r="I341" s="337">
        <f t="shared" si="142"/>
        <v>403151.40862996713</v>
      </c>
      <c r="J341" s="340">
        <f t="shared" si="143"/>
        <v>1.5707938463372357</v>
      </c>
      <c r="K341" s="348">
        <f t="shared" si="133"/>
        <v>39.945749469657017</v>
      </c>
      <c r="L341" s="349">
        <f t="shared" si="134"/>
        <v>1.5457597586357634</v>
      </c>
      <c r="M341" s="337">
        <f t="shared" si="144"/>
        <v>1.0040850358103173</v>
      </c>
      <c r="N341" s="340">
        <f t="shared" si="145"/>
        <v>9.0235002628874086E-2</v>
      </c>
      <c r="O341" s="341">
        <f t="shared" si="146"/>
        <v>1.0165480973310383</v>
      </c>
      <c r="P341" s="342">
        <f t="shared" si="147"/>
        <v>0.217222926613543</v>
      </c>
      <c r="Q341" s="343">
        <f t="shared" si="148"/>
        <v>-12.722186255655041</v>
      </c>
      <c r="R341" s="344">
        <f t="shared" si="149"/>
        <v>-103.34052181061816</v>
      </c>
      <c r="S341" s="346">
        <f t="shared" si="150"/>
        <v>76.659478189381844</v>
      </c>
      <c r="U341" s="319">
        <f t="shared" si="156"/>
        <v>25704</v>
      </c>
      <c r="V341" s="319">
        <f t="shared" si="157"/>
        <v>660695616</v>
      </c>
      <c r="X341" s="345">
        <f t="shared" si="151"/>
        <v>17.591862352662844</v>
      </c>
      <c r="Y341" s="346">
        <f t="shared" si="152"/>
        <v>-6.6044323917877596</v>
      </c>
      <c r="AA341" s="345">
        <f t="shared" si="153"/>
        <v>18.559901376336366</v>
      </c>
      <c r="AB341" s="346">
        <f t="shared" si="154"/>
        <v>-96.736089418830389</v>
      </c>
      <c r="AD341">
        <f t="shared" si="158"/>
        <v>0</v>
      </c>
      <c r="AE341">
        <f t="shared" si="135"/>
        <v>0</v>
      </c>
    </row>
    <row r="342" spans="1:31" x14ac:dyDescent="0.2">
      <c r="A342" s="347">
        <v>25853.75</v>
      </c>
      <c r="B342" s="364">
        <f t="shared" si="155"/>
        <v>25.853750000000002</v>
      </c>
      <c r="C342" s="337">
        <f t="shared" si="136"/>
        <v>28.625467324580619</v>
      </c>
      <c r="D342" s="338">
        <f t="shared" si="137"/>
        <v>1.5358552899556441</v>
      </c>
      <c r="E342" s="338">
        <f t="shared" si="138"/>
        <v>1.0021088181454707</v>
      </c>
      <c r="F342" s="339">
        <f t="shared" si="139"/>
        <v>6.4886344847769076E-2</v>
      </c>
      <c r="G342" s="338">
        <f t="shared" si="140"/>
        <v>1</v>
      </c>
      <c r="H342" s="339">
        <f t="shared" si="141"/>
        <v>0</v>
      </c>
      <c r="I342" s="337">
        <f t="shared" si="142"/>
        <v>405500.14514731726</v>
      </c>
      <c r="J342" s="340">
        <f t="shared" si="143"/>
        <v>1.570793860704534</v>
      </c>
      <c r="K342" s="348">
        <f t="shared" si="133"/>
        <v>40.178325644528741</v>
      </c>
      <c r="L342" s="349">
        <f t="shared" si="134"/>
        <v>1.5459047152902119</v>
      </c>
      <c r="M342" s="337">
        <f t="shared" si="144"/>
        <v>1.0041326745850316</v>
      </c>
      <c r="N342" s="340">
        <f t="shared" si="145"/>
        <v>9.0757832690843754E-2</v>
      </c>
      <c r="O342" s="341">
        <f t="shared" si="146"/>
        <v>1.0167401967440488</v>
      </c>
      <c r="P342" s="342">
        <f t="shared" si="147"/>
        <v>0.21846697153642278</v>
      </c>
      <c r="Q342" s="343">
        <f t="shared" si="148"/>
        <v>-12.774454822508714</v>
      </c>
      <c r="R342" s="344">
        <f t="shared" si="149"/>
        <v>-103.42363165858038</v>
      </c>
      <c r="S342" s="346">
        <f t="shared" si="150"/>
        <v>76.576368341419624</v>
      </c>
      <c r="U342" s="319">
        <f t="shared" si="156"/>
        <v>25853.75</v>
      </c>
      <c r="V342" s="319">
        <f t="shared" si="157"/>
        <v>668416389.0625</v>
      </c>
      <c r="X342" s="345">
        <f t="shared" si="151"/>
        <v>17.591418822494369</v>
      </c>
      <c r="Y342" s="346">
        <f t="shared" si="152"/>
        <v>-6.6260837664392476</v>
      </c>
      <c r="AA342" s="345">
        <f t="shared" si="153"/>
        <v>18.508076339651176</v>
      </c>
      <c r="AB342" s="346">
        <f t="shared" si="154"/>
        <v>-96.797547892141125</v>
      </c>
      <c r="AD342">
        <f t="shared" si="158"/>
        <v>0</v>
      </c>
      <c r="AE342">
        <f t="shared" si="135"/>
        <v>0</v>
      </c>
    </row>
    <row r="343" spans="1:31" x14ac:dyDescent="0.2">
      <c r="A343" s="347">
        <v>26003.5</v>
      </c>
      <c r="B343" s="364">
        <f t="shared" si="155"/>
        <v>26.003499999999999</v>
      </c>
      <c r="C343" s="337">
        <f t="shared" si="136"/>
        <v>28.791069893693681</v>
      </c>
      <c r="D343" s="338">
        <f t="shared" si="137"/>
        <v>1.5360563474756654</v>
      </c>
      <c r="E343" s="338">
        <f t="shared" si="138"/>
        <v>1.0021332921958159</v>
      </c>
      <c r="F343" s="339">
        <f t="shared" si="139"/>
        <v>6.5261116148844278E-2</v>
      </c>
      <c r="G343" s="338">
        <f t="shared" si="140"/>
        <v>1</v>
      </c>
      <c r="H343" s="339">
        <f t="shared" si="141"/>
        <v>0</v>
      </c>
      <c r="I343" s="337">
        <f t="shared" si="142"/>
        <v>407848.88166466745</v>
      </c>
      <c r="J343" s="340">
        <f t="shared" si="143"/>
        <v>1.5707938749063541</v>
      </c>
      <c r="K343" s="348">
        <f t="shared" ref="K343:K406" si="159">SQRT(1+(A343/Zero2)^2)</f>
        <v>40.410902653927046</v>
      </c>
      <c r="L343" s="349">
        <f t="shared" ref="L343:L406" si="160">ATAN(A343/Zero2)</f>
        <v>1.5460480034085615</v>
      </c>
      <c r="M343" s="337">
        <f t="shared" si="144"/>
        <v>1.0041805878146048</v>
      </c>
      <c r="N343" s="340">
        <f t="shared" si="145"/>
        <v>9.1280613003330624E-2</v>
      </c>
      <c r="O343" s="341">
        <f t="shared" si="146"/>
        <v>1.016933382761809</v>
      </c>
      <c r="P343" s="342">
        <f t="shared" si="147"/>
        <v>0.2197106513352633</v>
      </c>
      <c r="Q343" s="343">
        <f t="shared" si="148"/>
        <v>-12.826442612042053</v>
      </c>
      <c r="R343" s="344">
        <f t="shared" si="149"/>
        <v>-103.50668031050343</v>
      </c>
      <c r="S343" s="346">
        <f t="shared" si="150"/>
        <v>76.493319689496573</v>
      </c>
      <c r="U343" s="319">
        <f t="shared" si="156"/>
        <v>26003.5</v>
      </c>
      <c r="V343" s="319">
        <f t="shared" si="157"/>
        <v>676182012.25</v>
      </c>
      <c r="X343" s="345">
        <f t="shared" si="151"/>
        <v>17.590973479272261</v>
      </c>
      <c r="Y343" s="346">
        <f t="shared" si="152"/>
        <v>-6.6478278812506675</v>
      </c>
      <c r="AA343" s="345">
        <f t="shared" si="153"/>
        <v>18.456533893339945</v>
      </c>
      <c r="AB343" s="346">
        <f t="shared" si="154"/>
        <v>-96.858852429252778</v>
      </c>
      <c r="AD343">
        <f t="shared" si="158"/>
        <v>0</v>
      </c>
      <c r="AE343">
        <f t="shared" si="135"/>
        <v>0</v>
      </c>
    </row>
    <row r="344" spans="1:31" x14ac:dyDescent="0.2">
      <c r="A344" s="347">
        <v>26153.25</v>
      </c>
      <c r="B344" s="364">
        <f t="shared" si="155"/>
        <v>26.15325</v>
      </c>
      <c r="C344" s="337">
        <f t="shared" si="136"/>
        <v>28.956673613348457</v>
      </c>
      <c r="D344" s="338">
        <f t="shared" si="137"/>
        <v>1.5362551053007423</v>
      </c>
      <c r="E344" s="338">
        <f t="shared" si="138"/>
        <v>1.0021579069924313</v>
      </c>
      <c r="F344" s="339">
        <f t="shared" si="139"/>
        <v>6.5635869092441304E-2</v>
      </c>
      <c r="G344" s="338">
        <f t="shared" si="140"/>
        <v>1</v>
      </c>
      <c r="H344" s="339">
        <f t="shared" si="141"/>
        <v>0</v>
      </c>
      <c r="I344" s="337">
        <f t="shared" si="142"/>
        <v>410197.6181820177</v>
      </c>
      <c r="J344" s="340">
        <f t="shared" si="143"/>
        <v>1.5707938889455391</v>
      </c>
      <c r="K344" s="348">
        <f t="shared" si="159"/>
        <v>40.643480483525529</v>
      </c>
      <c r="L344" s="349">
        <f t="shared" si="160"/>
        <v>1.5461896516289182</v>
      </c>
      <c r="M344" s="337">
        <f t="shared" si="144"/>
        <v>1.0042287754597528</v>
      </c>
      <c r="N344" s="340">
        <f t="shared" si="145"/>
        <v>9.1803343287725173E-2</v>
      </c>
      <c r="O344" s="341">
        <f t="shared" si="146"/>
        <v>1.0171276548919972</v>
      </c>
      <c r="P344" s="342">
        <f t="shared" si="147"/>
        <v>0.22095396415621549</v>
      </c>
      <c r="Q344" s="343">
        <f t="shared" si="148"/>
        <v>-12.878152949202049</v>
      </c>
      <c r="R344" s="344">
        <f t="shared" si="149"/>
        <v>-103.58966830865079</v>
      </c>
      <c r="S344" s="346">
        <f t="shared" si="150"/>
        <v>76.410331691349214</v>
      </c>
      <c r="U344" s="319">
        <f t="shared" si="156"/>
        <v>26153.25</v>
      </c>
      <c r="V344" s="319">
        <f t="shared" si="157"/>
        <v>683992485.5625</v>
      </c>
      <c r="X344" s="345">
        <f t="shared" si="151"/>
        <v>17.590526311317142</v>
      </c>
      <c r="Y344" s="346">
        <f t="shared" si="152"/>
        <v>-6.6696630795791725</v>
      </c>
      <c r="AA344" s="345">
        <f t="shared" si="153"/>
        <v>18.405270724135068</v>
      </c>
      <c r="AB344" s="346">
        <f t="shared" si="154"/>
        <v>-96.920005229071606</v>
      </c>
      <c r="AD344">
        <f t="shared" si="158"/>
        <v>0</v>
      </c>
      <c r="AE344">
        <f t="shared" si="135"/>
        <v>0</v>
      </c>
    </row>
    <row r="345" spans="1:31" x14ac:dyDescent="0.2">
      <c r="A345" s="347">
        <v>26303</v>
      </c>
      <c r="B345" s="364">
        <f t="shared" si="155"/>
        <v>26.303000000000001</v>
      </c>
      <c r="C345" s="337">
        <f t="shared" si="136"/>
        <v>29.12227846391729</v>
      </c>
      <c r="D345" s="338">
        <f t="shared" si="137"/>
        <v>1.5364516026469215</v>
      </c>
      <c r="E345" s="338">
        <f t="shared" si="138"/>
        <v>1.0021826625249464</v>
      </c>
      <c r="F345" s="339">
        <f t="shared" si="139"/>
        <v>6.6010603574656282E-2</v>
      </c>
      <c r="G345" s="338">
        <f t="shared" si="140"/>
        <v>1</v>
      </c>
      <c r="H345" s="339">
        <f t="shared" si="141"/>
        <v>0</v>
      </c>
      <c r="I345" s="337">
        <f t="shared" si="142"/>
        <v>412546.35469936806</v>
      </c>
      <c r="J345" s="340">
        <f t="shared" si="143"/>
        <v>1.5707939028248661</v>
      </c>
      <c r="K345" s="348">
        <f t="shared" si="159"/>
        <v>40.876059119323784</v>
      </c>
      <c r="L345" s="349">
        <f t="shared" si="160"/>
        <v>1.5463296879378687</v>
      </c>
      <c r="M345" s="337">
        <f t="shared" si="144"/>
        <v>1.0042772374809743</v>
      </c>
      <c r="N345" s="340">
        <f t="shared" si="145"/>
        <v>9.2326023265580551E-2</v>
      </c>
      <c r="O345" s="341">
        <f t="shared" si="146"/>
        <v>1.0173230126399193</v>
      </c>
      <c r="P345" s="342">
        <f t="shared" si="147"/>
        <v>0.22219690814966744</v>
      </c>
      <c r="Q345" s="343">
        <f t="shared" si="148"/>
        <v>-12.929589101902955</v>
      </c>
      <c r="R345" s="344">
        <f t="shared" si="149"/>
        <v>-103.67259618060662</v>
      </c>
      <c r="S345" s="346">
        <f t="shared" si="150"/>
        <v>76.327403819393382</v>
      </c>
      <c r="U345" s="319">
        <f t="shared" si="156"/>
        <v>26303</v>
      </c>
      <c r="V345" s="319">
        <f t="shared" si="157"/>
        <v>691847809</v>
      </c>
      <c r="X345" s="345">
        <f t="shared" si="151"/>
        <v>17.590077307303872</v>
      </c>
      <c r="Y345" s="346">
        <f t="shared" si="152"/>
        <v>-6.6915877421167274</v>
      </c>
      <c r="AA345" s="345">
        <f t="shared" si="153"/>
        <v>18.354283575447429</v>
      </c>
      <c r="AB345" s="346">
        <f t="shared" si="154"/>
        <v>-96.981008438489894</v>
      </c>
      <c r="AD345">
        <f t="shared" si="158"/>
        <v>0</v>
      </c>
      <c r="AE345">
        <f t="shared" si="135"/>
        <v>0</v>
      </c>
    </row>
    <row r="346" spans="1:31" x14ac:dyDescent="0.2">
      <c r="A346" s="347">
        <v>26456</v>
      </c>
      <c r="B346" s="364">
        <f t="shared" si="155"/>
        <v>26.456</v>
      </c>
      <c r="C346" s="337">
        <f t="shared" si="136"/>
        <v>29.291478557783233</v>
      </c>
      <c r="D346" s="338">
        <f t="shared" si="137"/>
        <v>1.5366500698118128</v>
      </c>
      <c r="E346" s="338">
        <f t="shared" si="138"/>
        <v>1.0022081006625221</v>
      </c>
      <c r="F346" s="339">
        <f t="shared" si="139"/>
        <v>6.6393451683874324E-2</v>
      </c>
      <c r="G346" s="338">
        <f t="shared" si="140"/>
        <v>1</v>
      </c>
      <c r="H346" s="339">
        <f t="shared" si="141"/>
        <v>0</v>
      </c>
      <c r="I346" s="337">
        <f t="shared" si="142"/>
        <v>414946.06546500826</v>
      </c>
      <c r="J346" s="340">
        <f t="shared" si="143"/>
        <v>1.5707939168431384</v>
      </c>
      <c r="K346" s="348">
        <f t="shared" si="159"/>
        <v>41.113686189993878</v>
      </c>
      <c r="L346" s="349">
        <f t="shared" si="160"/>
        <v>1.5464711271178344</v>
      </c>
      <c r="M346" s="337">
        <f t="shared" si="144"/>
        <v>1.0043270345970758</v>
      </c>
      <c r="N346" s="340">
        <f t="shared" si="145"/>
        <v>9.2859994636789192E-2</v>
      </c>
      <c r="O346" s="341">
        <f t="shared" si="146"/>
        <v>1.0175237309032097</v>
      </c>
      <c r="P346" s="342">
        <f t="shared" si="147"/>
        <v>0.22346644471443367</v>
      </c>
      <c r="Q346" s="343">
        <f t="shared" si="148"/>
        <v>-12.981861731383068</v>
      </c>
      <c r="R346" s="344">
        <f t="shared" si="149"/>
        <v>-103.75726225893855</v>
      </c>
      <c r="S346" s="346">
        <f t="shared" si="150"/>
        <v>76.242737741061447</v>
      </c>
      <c r="U346" s="319">
        <f t="shared" si="156"/>
        <v>26456</v>
      </c>
      <c r="V346" s="319">
        <f t="shared" si="157"/>
        <v>699919936</v>
      </c>
      <c r="X346" s="345">
        <f t="shared" si="151"/>
        <v>17.589616650944084</v>
      </c>
      <c r="Y346" s="346">
        <f t="shared" si="152"/>
        <v>-6.7140789832115146</v>
      </c>
      <c r="AA346" s="345">
        <f t="shared" si="153"/>
        <v>18.302471602327103</v>
      </c>
      <c r="AB346" s="346">
        <f t="shared" si="154"/>
        <v>-97.043183275727031</v>
      </c>
      <c r="AD346">
        <f t="shared" si="158"/>
        <v>0</v>
      </c>
      <c r="AE346">
        <f t="shared" ref="AE346:AE409" si="161">IF(AD346&gt;0,S346,0)</f>
        <v>0</v>
      </c>
    </row>
    <row r="347" spans="1:31" x14ac:dyDescent="0.2">
      <c r="A347" s="347">
        <v>26609</v>
      </c>
      <c r="B347" s="364">
        <f t="shared" si="155"/>
        <v>26.609000000000002</v>
      </c>
      <c r="C347" s="337">
        <f t="shared" si="136"/>
        <v>29.460679792164747</v>
      </c>
      <c r="D347" s="338">
        <f t="shared" si="137"/>
        <v>1.5368462572753008</v>
      </c>
      <c r="E347" s="338">
        <f t="shared" si="138"/>
        <v>1.0022336856889502</v>
      </c>
      <c r="F347" s="339">
        <f t="shared" si="139"/>
        <v>6.6776280302505403E-2</v>
      </c>
      <c r="G347" s="338">
        <f t="shared" si="140"/>
        <v>1</v>
      </c>
      <c r="H347" s="339">
        <f t="shared" si="141"/>
        <v>0</v>
      </c>
      <c r="I347" s="337">
        <f t="shared" si="142"/>
        <v>417345.77623064845</v>
      </c>
      <c r="J347" s="340">
        <f t="shared" si="143"/>
        <v>1.5707939307002026</v>
      </c>
      <c r="K347" s="348">
        <f t="shared" si="159"/>
        <v>41.351314073692116</v>
      </c>
      <c r="L347" s="349">
        <f t="shared" si="160"/>
        <v>1.5466109407225805</v>
      </c>
      <c r="M347" s="337">
        <f t="shared" si="144"/>
        <v>1.0043771180439069</v>
      </c>
      <c r="N347" s="340">
        <f t="shared" si="145"/>
        <v>9.33939129070607E-2</v>
      </c>
      <c r="O347" s="341">
        <f t="shared" si="146"/>
        <v>1.0177255813660031</v>
      </c>
      <c r="P347" s="342">
        <f t="shared" si="147"/>
        <v>0.2247355923789302</v>
      </c>
      <c r="Q347" s="343">
        <f t="shared" si="148"/>
        <v>-13.03385486615549</v>
      </c>
      <c r="R347" s="344">
        <f t="shared" si="149"/>
        <v>-103.84186664128895</v>
      </c>
      <c r="S347" s="346">
        <f t="shared" si="150"/>
        <v>76.158133358711055</v>
      </c>
      <c r="U347" s="319">
        <f t="shared" si="156"/>
        <v>26609</v>
      </c>
      <c r="V347" s="319">
        <f t="shared" si="157"/>
        <v>708038881</v>
      </c>
      <c r="X347" s="345">
        <f t="shared" si="151"/>
        <v>17.589154055145837</v>
      </c>
      <c r="Y347" s="346">
        <f t="shared" si="152"/>
        <v>-6.7366603112096293</v>
      </c>
      <c r="AA347" s="345">
        <f t="shared" si="153"/>
        <v>18.250941063352929</v>
      </c>
      <c r="AB347" s="346">
        <f t="shared" si="154"/>
        <v>-97.105206330079298</v>
      </c>
      <c r="AD347">
        <f t="shared" si="158"/>
        <v>0</v>
      </c>
      <c r="AE347">
        <f t="shared" si="161"/>
        <v>0</v>
      </c>
    </row>
    <row r="348" spans="1:31" x14ac:dyDescent="0.2">
      <c r="A348" s="347">
        <v>26762</v>
      </c>
      <c r="B348" s="364">
        <f t="shared" si="155"/>
        <v>26.762</v>
      </c>
      <c r="C348" s="337">
        <f t="shared" si="136"/>
        <v>29.629882147523109</v>
      </c>
      <c r="D348" s="338">
        <f t="shared" si="137"/>
        <v>1.5370402040770668</v>
      </c>
      <c r="E348" s="338">
        <f t="shared" si="138"/>
        <v>1.002259417592982</v>
      </c>
      <c r="F348" s="339">
        <f t="shared" si="139"/>
        <v>6.7159089319833443E-2</v>
      </c>
      <c r="G348" s="338">
        <f t="shared" si="140"/>
        <v>1</v>
      </c>
      <c r="H348" s="339">
        <f t="shared" si="141"/>
        <v>0</v>
      </c>
      <c r="I348" s="337">
        <f t="shared" si="142"/>
        <v>419745.48699628882</v>
      </c>
      <c r="J348" s="340">
        <f t="shared" si="143"/>
        <v>1.5707939443988232</v>
      </c>
      <c r="K348" s="348">
        <f t="shared" si="159"/>
        <v>41.588942756482254</v>
      </c>
      <c r="L348" s="349">
        <f t="shared" si="160"/>
        <v>1.5467491566109686</v>
      </c>
      <c r="M348" s="337">
        <f t="shared" si="144"/>
        <v>1.0044274877786363</v>
      </c>
      <c r="N348" s="340">
        <f t="shared" si="145"/>
        <v>9.3927777779954383E-2</v>
      </c>
      <c r="O348" s="341">
        <f t="shared" si="146"/>
        <v>1.0179285634930728</v>
      </c>
      <c r="P348" s="342">
        <f t="shared" si="147"/>
        <v>0.22600434918429874</v>
      </c>
      <c r="Q348" s="343">
        <f t="shared" si="148"/>
        <v>-13.08557181535663</v>
      </c>
      <c r="R348" s="344">
        <f t="shared" si="149"/>
        <v>-103.9264098455544</v>
      </c>
      <c r="S348" s="346">
        <f t="shared" si="150"/>
        <v>76.073590154445597</v>
      </c>
      <c r="U348" s="319">
        <f t="shared" si="156"/>
        <v>26762</v>
      </c>
      <c r="V348" s="319">
        <f t="shared" si="157"/>
        <v>716204644</v>
      </c>
      <c r="X348" s="345">
        <f t="shared" si="151"/>
        <v>17.588689508900806</v>
      </c>
      <c r="Y348" s="346">
        <f t="shared" si="152"/>
        <v>-6.7593301130894918</v>
      </c>
      <c r="AA348" s="345">
        <f t="shared" si="153"/>
        <v>18.199688660396824</v>
      </c>
      <c r="AB348" s="346">
        <f t="shared" si="154"/>
        <v>-97.167079732464899</v>
      </c>
      <c r="AD348">
        <f t="shared" si="158"/>
        <v>0</v>
      </c>
      <c r="AE348">
        <f t="shared" si="161"/>
        <v>0</v>
      </c>
    </row>
    <row r="349" spans="1:31" x14ac:dyDescent="0.2">
      <c r="A349" s="347">
        <v>26915</v>
      </c>
      <c r="B349" s="364">
        <f t="shared" si="155"/>
        <v>26.914999999999999</v>
      </c>
      <c r="C349" s="337">
        <f t="shared" si="136"/>
        <v>29.799085604763256</v>
      </c>
      <c r="D349" s="338">
        <f t="shared" si="137"/>
        <v>1.5372319483707853</v>
      </c>
      <c r="E349" s="338">
        <f t="shared" si="138"/>
        <v>1.0022852963633044</v>
      </c>
      <c r="F349" s="339">
        <f t="shared" si="139"/>
        <v>6.7541878625176716E-2</v>
      </c>
      <c r="G349" s="338">
        <f t="shared" si="140"/>
        <v>1</v>
      </c>
      <c r="H349" s="339">
        <f t="shared" si="141"/>
        <v>0</v>
      </c>
      <c r="I349" s="337">
        <f t="shared" si="142"/>
        <v>422145.19776192924</v>
      </c>
      <c r="J349" s="340">
        <f t="shared" si="143"/>
        <v>1.5707939579417027</v>
      </c>
      <c r="K349" s="348">
        <f t="shared" si="159"/>
        <v>41.826572224744666</v>
      </c>
      <c r="L349" s="349">
        <f t="shared" si="160"/>
        <v>1.5468858020090084</v>
      </c>
      <c r="M349" s="337">
        <f t="shared" si="144"/>
        <v>1.004478143758196</v>
      </c>
      <c r="N349" s="340">
        <f t="shared" si="145"/>
        <v>9.4461588959210682E-2</v>
      </c>
      <c r="O349" s="341">
        <f t="shared" si="146"/>
        <v>1.0181326767466419</v>
      </c>
      <c r="P349" s="342">
        <f t="shared" si="147"/>
        <v>0.22727271317637021</v>
      </c>
      <c r="Q349" s="343">
        <f t="shared" si="148"/>
        <v>-13.137015831423557</v>
      </c>
      <c r="R349" s="344">
        <f t="shared" si="149"/>
        <v>-104.01089237540042</v>
      </c>
      <c r="S349" s="346">
        <f t="shared" si="150"/>
        <v>75.989107624599583</v>
      </c>
      <c r="U349" s="319">
        <f t="shared" si="156"/>
        <v>26915</v>
      </c>
      <c r="V349" s="319">
        <f t="shared" si="157"/>
        <v>724417225</v>
      </c>
      <c r="X349" s="345">
        <f t="shared" si="151"/>
        <v>17.588223001537436</v>
      </c>
      <c r="Y349" s="346">
        <f t="shared" si="152"/>
        <v>-6.7820868120960549</v>
      </c>
      <c r="AA349" s="345">
        <f t="shared" si="153"/>
        <v>18.148711151693256</v>
      </c>
      <c r="AB349" s="346">
        <f t="shared" si="154"/>
        <v>-97.228805563304377</v>
      </c>
      <c r="AD349">
        <f t="shared" si="158"/>
        <v>0</v>
      </c>
      <c r="AE349">
        <f t="shared" si="161"/>
        <v>0</v>
      </c>
    </row>
    <row r="350" spans="1:31" x14ac:dyDescent="0.2">
      <c r="A350" s="347">
        <v>27071.75</v>
      </c>
      <c r="B350" s="364">
        <f t="shared" si="155"/>
        <v>27.071750000000002</v>
      </c>
      <c r="C350" s="337">
        <f t="shared" si="136"/>
        <v>29.972437328775147</v>
      </c>
      <c r="D350" s="338">
        <f t="shared" si="137"/>
        <v>1.5374261471208648</v>
      </c>
      <c r="E350" s="338">
        <f t="shared" si="138"/>
        <v>1.0023119617152196</v>
      </c>
      <c r="F350" s="339">
        <f t="shared" si="139"/>
        <v>6.7934029463040682E-2</v>
      </c>
      <c r="G350" s="338">
        <f t="shared" si="140"/>
        <v>1</v>
      </c>
      <c r="H350" s="339">
        <f t="shared" si="141"/>
        <v>0</v>
      </c>
      <c r="I350" s="337">
        <f t="shared" si="142"/>
        <v>424603.72496790404</v>
      </c>
      <c r="J350" s="340">
        <f t="shared" si="143"/>
        <v>1.5707939716577624</v>
      </c>
      <c r="K350" s="348">
        <f t="shared" si="159"/>
        <v>42.070026745349885</v>
      </c>
      <c r="L350" s="349">
        <f t="shared" si="160"/>
        <v>1.5470241956772581</v>
      </c>
      <c r="M350" s="337">
        <f t="shared" si="144"/>
        <v>1.00453033811512</v>
      </c>
      <c r="N350" s="340">
        <f t="shared" si="145"/>
        <v>9.5008427752446598E-2</v>
      </c>
      <c r="O350" s="341">
        <f t="shared" si="146"/>
        <v>1.0183429652628768</v>
      </c>
      <c r="P350" s="342">
        <f t="shared" si="147"/>
        <v>0.22857175511003297</v>
      </c>
      <c r="Q350" s="343">
        <f t="shared" si="148"/>
        <v>-13.189441023072535</v>
      </c>
      <c r="R350" s="344">
        <f t="shared" si="149"/>
        <v>-104.09738314422954</v>
      </c>
      <c r="S350" s="346">
        <f t="shared" si="150"/>
        <v>75.902616855770461</v>
      </c>
      <c r="U350" s="319">
        <f t="shared" si="156"/>
        <v>27071.75</v>
      </c>
      <c r="V350" s="319">
        <f t="shared" si="157"/>
        <v>732879648.0625</v>
      </c>
      <c r="X350" s="345">
        <f t="shared" si="151"/>
        <v>17.587743015547566</v>
      </c>
      <c r="Y350" s="346">
        <f t="shared" si="152"/>
        <v>-6.8054897798195251</v>
      </c>
      <c r="AA350" s="345">
        <f t="shared" si="153"/>
        <v>18.096765946034154</v>
      </c>
      <c r="AB350" s="346">
        <f t="shared" si="154"/>
        <v>-97.291893364410015</v>
      </c>
      <c r="AD350">
        <f t="shared" si="158"/>
        <v>0</v>
      </c>
      <c r="AE350">
        <f t="shared" si="161"/>
        <v>0</v>
      </c>
    </row>
    <row r="351" spans="1:31" x14ac:dyDescent="0.2">
      <c r="A351" s="347">
        <v>27228.5</v>
      </c>
      <c r="B351" s="364">
        <f t="shared" si="155"/>
        <v>27.2285</v>
      </c>
      <c r="C351" s="337">
        <f t="shared" si="136"/>
        <v>30.145790170142085</v>
      </c>
      <c r="D351" s="338">
        <f t="shared" si="137"/>
        <v>1.5376181124050545</v>
      </c>
      <c r="E351" s="338">
        <f t="shared" si="138"/>
        <v>1.0023387811967384</v>
      </c>
      <c r="F351" s="339">
        <f t="shared" si="139"/>
        <v>6.8326159375720757E-2</v>
      </c>
      <c r="G351" s="338">
        <f t="shared" si="140"/>
        <v>1</v>
      </c>
      <c r="H351" s="339">
        <f t="shared" si="141"/>
        <v>0</v>
      </c>
      <c r="I351" s="337">
        <f t="shared" si="142"/>
        <v>427062.25217387895</v>
      </c>
      <c r="J351" s="340">
        <f t="shared" si="143"/>
        <v>1.5707939852158999</v>
      </c>
      <c r="K351" s="348">
        <f t="shared" si="159"/>
        <v>42.313482062442191</v>
      </c>
      <c r="L351" s="349">
        <f t="shared" si="160"/>
        <v>1.547160996821431</v>
      </c>
      <c r="M351" s="337">
        <f t="shared" si="144"/>
        <v>1.0045828328281625</v>
      </c>
      <c r="N351" s="340">
        <f t="shared" si="145"/>
        <v>9.5555209558793514E-2</v>
      </c>
      <c r="O351" s="341">
        <f t="shared" si="146"/>
        <v>1.0185544398815616</v>
      </c>
      <c r="P351" s="342">
        <f t="shared" si="147"/>
        <v>0.22987038060149281</v>
      </c>
      <c r="Q351" s="343">
        <f t="shared" si="148"/>
        <v>-13.241586472923753</v>
      </c>
      <c r="R351" s="344">
        <f t="shared" si="149"/>
        <v>-104.18381125418536</v>
      </c>
      <c r="S351" s="346">
        <f t="shared" si="150"/>
        <v>75.816188745814642</v>
      </c>
      <c r="U351" s="319">
        <f t="shared" si="156"/>
        <v>27228.5</v>
      </c>
      <c r="V351" s="319">
        <f t="shared" si="157"/>
        <v>741391212.25</v>
      </c>
      <c r="X351" s="345">
        <f t="shared" si="151"/>
        <v>17.587260949486737</v>
      </c>
      <c r="Y351" s="346">
        <f t="shared" si="152"/>
        <v>-6.8289807182949742</v>
      </c>
      <c r="AA351" s="345">
        <f t="shared" si="153"/>
        <v>18.045102562243763</v>
      </c>
      <c r="AB351" s="346">
        <f t="shared" si="154"/>
        <v>-97.354830535890372</v>
      </c>
      <c r="AD351">
        <f t="shared" si="158"/>
        <v>0</v>
      </c>
      <c r="AE351">
        <f t="shared" si="161"/>
        <v>0</v>
      </c>
    </row>
    <row r="352" spans="1:31" x14ac:dyDescent="0.2">
      <c r="A352" s="347">
        <v>27385.25</v>
      </c>
      <c r="B352" s="364">
        <f t="shared" si="155"/>
        <v>27.385249999999999</v>
      </c>
      <c r="C352" s="337">
        <f t="shared" si="136"/>
        <v>30.319144109698289</v>
      </c>
      <c r="D352" s="338">
        <f t="shared" si="137"/>
        <v>1.5378078825195423</v>
      </c>
      <c r="E352" s="338">
        <f t="shared" si="138"/>
        <v>1.0023657547954885</v>
      </c>
      <c r="F352" s="339">
        <f t="shared" si="139"/>
        <v>6.8718268244309058E-2</v>
      </c>
      <c r="G352" s="338">
        <f t="shared" si="140"/>
        <v>1</v>
      </c>
      <c r="H352" s="339">
        <f t="shared" si="141"/>
        <v>0</v>
      </c>
      <c r="I352" s="337">
        <f t="shared" si="142"/>
        <v>429520.77937985392</v>
      </c>
      <c r="J352" s="340">
        <f t="shared" si="143"/>
        <v>1.5707939986188268</v>
      </c>
      <c r="K352" s="348">
        <f t="shared" si="159"/>
        <v>42.55693816235221</v>
      </c>
      <c r="L352" s="349">
        <f t="shared" si="160"/>
        <v>1.5472962327674895</v>
      </c>
      <c r="M352" s="337">
        <f t="shared" si="144"/>
        <v>1.0046356278502402</v>
      </c>
      <c r="N352" s="340">
        <f t="shared" si="145"/>
        <v>9.6101934060267194E-2</v>
      </c>
      <c r="O352" s="341">
        <f t="shared" si="146"/>
        <v>1.0187671000161267</v>
      </c>
      <c r="P352" s="342">
        <f t="shared" si="147"/>
        <v>0.23116858756477227</v>
      </c>
      <c r="Q352" s="343">
        <f t="shared" si="148"/>
        <v>-13.293455501610005</v>
      </c>
      <c r="R352" s="344">
        <f t="shared" si="149"/>
        <v>-104.27017720304693</v>
      </c>
      <c r="S352" s="346">
        <f t="shared" si="150"/>
        <v>75.729822796953073</v>
      </c>
      <c r="U352" s="319">
        <f t="shared" si="156"/>
        <v>27385.25</v>
      </c>
      <c r="V352" s="319">
        <f t="shared" si="157"/>
        <v>749951917.5625</v>
      </c>
      <c r="X352" s="345">
        <f t="shared" si="151"/>
        <v>17.586776792906761</v>
      </c>
      <c r="Y352" s="346">
        <f t="shared" si="152"/>
        <v>-6.8525580437962894</v>
      </c>
      <c r="AA352" s="345">
        <f t="shared" si="153"/>
        <v>17.99371769013749</v>
      </c>
      <c r="AB352" s="346">
        <f t="shared" si="154"/>
        <v>-97.41761915925062</v>
      </c>
      <c r="AD352">
        <f t="shared" si="158"/>
        <v>0</v>
      </c>
      <c r="AE352">
        <f t="shared" si="161"/>
        <v>0</v>
      </c>
    </row>
    <row r="353" spans="1:31" x14ac:dyDescent="0.2">
      <c r="A353" s="347">
        <v>27542</v>
      </c>
      <c r="B353" s="364">
        <f t="shared" si="155"/>
        <v>27.542000000000002</v>
      </c>
      <c r="C353" s="337">
        <f t="shared" si="136"/>
        <v>30.4924991287137</v>
      </c>
      <c r="D353" s="338">
        <f t="shared" si="137"/>
        <v>1.5379954948902761</v>
      </c>
      <c r="E353" s="338">
        <f t="shared" si="138"/>
        <v>1.0023928824990289</v>
      </c>
      <c r="F353" s="339">
        <f t="shared" si="139"/>
        <v>6.9110355949936308E-2</v>
      </c>
      <c r="G353" s="338">
        <f t="shared" si="140"/>
        <v>1</v>
      </c>
      <c r="H353" s="339">
        <f t="shared" si="141"/>
        <v>0</v>
      </c>
      <c r="I353" s="337">
        <f t="shared" si="142"/>
        <v>431979.30658582895</v>
      </c>
      <c r="J353" s="340">
        <f t="shared" si="143"/>
        <v>1.5707940118691937</v>
      </c>
      <c r="K353" s="348">
        <f t="shared" si="159"/>
        <v>42.800395031721536</v>
      </c>
      <c r="L353" s="349">
        <f t="shared" si="160"/>
        <v>1.5474299302198871</v>
      </c>
      <c r="M353" s="337">
        <f t="shared" si="144"/>
        <v>1.0046887231340111</v>
      </c>
      <c r="N353" s="340">
        <f t="shared" si="145"/>
        <v>9.6648600939087101E-2</v>
      </c>
      <c r="O353" s="341">
        <f t="shared" si="146"/>
        <v>1.0189809450772309</v>
      </c>
      <c r="P353" s="342">
        <f t="shared" si="147"/>
        <v>0.23246637391913938</v>
      </c>
      <c r="Q353" s="343">
        <f t="shared" si="148"/>
        <v>-13.345051372773744</v>
      </c>
      <c r="R353" s="344">
        <f t="shared" si="149"/>
        <v>-104.35648147464855</v>
      </c>
      <c r="S353" s="346">
        <f t="shared" si="150"/>
        <v>75.643518525351453</v>
      </c>
      <c r="U353" s="319">
        <f t="shared" si="156"/>
        <v>27542</v>
      </c>
      <c r="V353" s="319">
        <f t="shared" si="157"/>
        <v>758561764</v>
      </c>
      <c r="X353" s="345">
        <f t="shared" si="151"/>
        <v>17.586290535683148</v>
      </c>
      <c r="Y353" s="346">
        <f t="shared" si="152"/>
        <v>-6.8762202082153596</v>
      </c>
      <c r="AA353" s="345">
        <f t="shared" si="153"/>
        <v>17.942608076197363</v>
      </c>
      <c r="AB353" s="346">
        <f t="shared" si="154"/>
        <v>-97.480261266433189</v>
      </c>
      <c r="AD353">
        <f t="shared" si="158"/>
        <v>0</v>
      </c>
      <c r="AE353">
        <f t="shared" si="161"/>
        <v>0</v>
      </c>
    </row>
    <row r="354" spans="1:31" x14ac:dyDescent="0.2">
      <c r="A354" s="347">
        <v>27702.5</v>
      </c>
      <c r="B354" s="364">
        <f t="shared" si="155"/>
        <v>27.702500000000001</v>
      </c>
      <c r="C354" s="337">
        <f t="shared" si="136"/>
        <v>30.670002496375027</v>
      </c>
      <c r="D354" s="338">
        <f t="shared" si="137"/>
        <v>1.5381853980035491</v>
      </c>
      <c r="E354" s="338">
        <f t="shared" si="138"/>
        <v>1.0024208188565908</v>
      </c>
      <c r="F354" s="339">
        <f t="shared" si="139"/>
        <v>6.9511801691651096E-2</v>
      </c>
      <c r="G354" s="338">
        <f t="shared" si="140"/>
        <v>1</v>
      </c>
      <c r="H354" s="339">
        <f t="shared" si="141"/>
        <v>0</v>
      </c>
      <c r="I354" s="337">
        <f t="shared" si="142"/>
        <v>434496.65023213846</v>
      </c>
      <c r="J354" s="340">
        <f t="shared" si="143"/>
        <v>1.5707940252811807</v>
      </c>
      <c r="K354" s="348">
        <f t="shared" si="159"/>
        <v>43.049677011766398</v>
      </c>
      <c r="L354" s="349">
        <f t="shared" si="160"/>
        <v>1.5475652592894837</v>
      </c>
      <c r="M354" s="337">
        <f t="shared" si="144"/>
        <v>1.0047433997127218</v>
      </c>
      <c r="N354" s="340">
        <f t="shared" si="145"/>
        <v>9.7208285934274954E-2</v>
      </c>
      <c r="O354" s="341">
        <f t="shared" si="146"/>
        <v>1.0192011332173692</v>
      </c>
      <c r="P354" s="342">
        <f t="shared" si="147"/>
        <v>0.23379476980339245</v>
      </c>
      <c r="Q354" s="343">
        <f t="shared" si="148"/>
        <v>-13.397601907070364</v>
      </c>
      <c r="R354" s="344">
        <f t="shared" si="149"/>
        <v>-104.4447870246409</v>
      </c>
      <c r="S354" s="346">
        <f t="shared" si="150"/>
        <v>75.555212975359098</v>
      </c>
      <c r="U354" s="319">
        <f t="shared" si="156"/>
        <v>27702.5</v>
      </c>
      <c r="V354" s="319">
        <f t="shared" si="157"/>
        <v>767428506.25</v>
      </c>
      <c r="X354" s="345">
        <f t="shared" si="151"/>
        <v>17.58579045863927</v>
      </c>
      <c r="Y354" s="346">
        <f t="shared" si="152"/>
        <v>-6.9005347802411414</v>
      </c>
      <c r="AA354" s="345">
        <f t="shared" si="153"/>
        <v>17.890557618944619</v>
      </c>
      <c r="AB354" s="346">
        <f t="shared" si="154"/>
        <v>-97.544252244399743</v>
      </c>
      <c r="AD354">
        <f t="shared" si="158"/>
        <v>0</v>
      </c>
      <c r="AE354">
        <f t="shared" si="161"/>
        <v>0</v>
      </c>
    </row>
    <row r="355" spans="1:31" x14ac:dyDescent="0.2">
      <c r="A355" s="347">
        <v>27863</v>
      </c>
      <c r="B355" s="364">
        <f t="shared" si="155"/>
        <v>27.863</v>
      </c>
      <c r="C355" s="337">
        <f t="shared" si="136"/>
        <v>30.847506957365532</v>
      </c>
      <c r="D355" s="338">
        <f t="shared" si="137"/>
        <v>1.5383731156211584</v>
      </c>
      <c r="E355" s="338">
        <f t="shared" si="138"/>
        <v>1.0024489167539528</v>
      </c>
      <c r="F355" s="339">
        <f t="shared" si="139"/>
        <v>6.9913224993604736E-2</v>
      </c>
      <c r="G355" s="338">
        <f t="shared" si="140"/>
        <v>1</v>
      </c>
      <c r="H355" s="339">
        <f t="shared" si="141"/>
        <v>0</v>
      </c>
      <c r="I355" s="337">
        <f t="shared" si="142"/>
        <v>437013.99387844797</v>
      </c>
      <c r="J355" s="340">
        <f t="shared" si="143"/>
        <v>1.5707940385386532</v>
      </c>
      <c r="K355" s="348">
        <f t="shared" si="159"/>
        <v>43.298959771143075</v>
      </c>
      <c r="L355" s="349">
        <f t="shared" si="160"/>
        <v>1.54769903011604</v>
      </c>
      <c r="M355" s="337">
        <f t="shared" si="144"/>
        <v>1.0047983909902731</v>
      </c>
      <c r="N355" s="340">
        <f t="shared" si="145"/>
        <v>9.7767909843118964E-2</v>
      </c>
      <c r="O355" s="341">
        <f t="shared" si="146"/>
        <v>1.0194225623978694</v>
      </c>
      <c r="P355" s="342">
        <f t="shared" si="147"/>
        <v>0.23512272031496484</v>
      </c>
      <c r="Q355" s="343">
        <f t="shared" si="148"/>
        <v>-13.449872805402407</v>
      </c>
      <c r="R355" s="344">
        <f t="shared" si="149"/>
        <v>-104.53302889459108</v>
      </c>
      <c r="S355" s="346">
        <f t="shared" si="150"/>
        <v>75.466971105408916</v>
      </c>
      <c r="U355" s="319">
        <f t="shared" si="156"/>
        <v>27863</v>
      </c>
      <c r="V355" s="319">
        <f t="shared" si="157"/>
        <v>776346769</v>
      </c>
      <c r="X355" s="345">
        <f t="shared" si="151"/>
        <v>17.5852881587507</v>
      </c>
      <c r="Y355" s="346">
        <f t="shared" si="152"/>
        <v>-6.9249351241739703</v>
      </c>
      <c r="AA355" s="345">
        <f t="shared" si="153"/>
        <v>17.838789020501146</v>
      </c>
      <c r="AB355" s="346">
        <f t="shared" si="154"/>
        <v>-97.608093770417142</v>
      </c>
      <c r="AD355">
        <f t="shared" si="158"/>
        <v>0</v>
      </c>
      <c r="AE355">
        <f t="shared" si="161"/>
        <v>0</v>
      </c>
    </row>
    <row r="356" spans="1:31" x14ac:dyDescent="0.2">
      <c r="A356" s="347">
        <v>28023.5</v>
      </c>
      <c r="B356" s="364">
        <f t="shared" si="155"/>
        <v>28.023499999999999</v>
      </c>
      <c r="C356" s="337">
        <f t="shared" si="136"/>
        <v>31.025012492919302</v>
      </c>
      <c r="D356" s="338">
        <f t="shared" si="137"/>
        <v>1.5385586852418389</v>
      </c>
      <c r="E356" s="338">
        <f t="shared" si="138"/>
        <v>1.0024771761775317</v>
      </c>
      <c r="F356" s="339">
        <f t="shared" si="139"/>
        <v>7.0314625728318342E-2</v>
      </c>
      <c r="G356" s="338">
        <f t="shared" si="140"/>
        <v>1</v>
      </c>
      <c r="H356" s="339">
        <f t="shared" si="141"/>
        <v>0</v>
      </c>
      <c r="I356" s="337">
        <f t="shared" si="142"/>
        <v>439531.3375247576</v>
      </c>
      <c r="J356" s="340">
        <f t="shared" si="143"/>
        <v>1.5707940516442653</v>
      </c>
      <c r="K356" s="348">
        <f t="shared" si="159"/>
        <v>43.548243296468208</v>
      </c>
      <c r="L356" s="349">
        <f t="shared" si="160"/>
        <v>1.5478312694543124</v>
      </c>
      <c r="M356" s="337">
        <f t="shared" si="144"/>
        <v>1.0048536969149993</v>
      </c>
      <c r="N356" s="340">
        <f t="shared" si="145"/>
        <v>9.8327472325152182E-2</v>
      </c>
      <c r="O356" s="341">
        <f t="shared" si="146"/>
        <v>1.0196452319771045</v>
      </c>
      <c r="P356" s="342">
        <f t="shared" si="147"/>
        <v>0.23645022323741163</v>
      </c>
      <c r="Q356" s="343">
        <f t="shared" si="148"/>
        <v>-13.501867393887041</v>
      </c>
      <c r="R356" s="344">
        <f t="shared" si="149"/>
        <v>-104.6212075610397</v>
      </c>
      <c r="S356" s="346">
        <f t="shared" si="150"/>
        <v>75.378792438960303</v>
      </c>
      <c r="U356" s="319">
        <f t="shared" si="156"/>
        <v>28023.5</v>
      </c>
      <c r="V356" s="319">
        <f t="shared" si="157"/>
        <v>785316552.25</v>
      </c>
      <c r="X356" s="345">
        <f t="shared" si="151"/>
        <v>17.584783626134563</v>
      </c>
      <c r="Y356" s="346">
        <f t="shared" si="152"/>
        <v>-6.9494196877239691</v>
      </c>
      <c r="AA356" s="345">
        <f t="shared" si="153"/>
        <v>17.787298964632651</v>
      </c>
      <c r="AB356" s="346">
        <f t="shared" si="154"/>
        <v>-97.671787873315722</v>
      </c>
      <c r="AD356">
        <f t="shared" si="158"/>
        <v>0</v>
      </c>
      <c r="AE356">
        <f t="shared" si="161"/>
        <v>0</v>
      </c>
    </row>
    <row r="357" spans="1:31" x14ac:dyDescent="0.2">
      <c r="A357" s="347">
        <v>28184</v>
      </c>
      <c r="B357" s="364">
        <f t="shared" si="155"/>
        <v>28.184000000000001</v>
      </c>
      <c r="C357" s="337">
        <f t="shared" si="136"/>
        <v>31.202519084697347</v>
      </c>
      <c r="D357" s="338">
        <f t="shared" si="137"/>
        <v>1.538742143511626</v>
      </c>
      <c r="E357" s="338">
        <f t="shared" si="138"/>
        <v>1.002505597113668</v>
      </c>
      <c r="F357" s="339">
        <f t="shared" si="139"/>
        <v>7.0716003768356406E-2</v>
      </c>
      <c r="G357" s="338">
        <f t="shared" si="140"/>
        <v>1</v>
      </c>
      <c r="H357" s="339">
        <f t="shared" si="141"/>
        <v>0</v>
      </c>
      <c r="I357" s="337">
        <f t="shared" si="142"/>
        <v>442048.68117106723</v>
      </c>
      <c r="J357" s="340">
        <f t="shared" si="143"/>
        <v>1.5707940646006122</v>
      </c>
      <c r="K357" s="348">
        <f t="shared" si="159"/>
        <v>43.797527574663093</v>
      </c>
      <c r="L357" s="349">
        <f t="shared" si="160"/>
        <v>1.54796200345015</v>
      </c>
      <c r="M357" s="337">
        <f t="shared" si="144"/>
        <v>1.004909317434949</v>
      </c>
      <c r="N357" s="340">
        <f t="shared" si="145"/>
        <v>9.8886973040136258E-2</v>
      </c>
      <c r="O357" s="341">
        <f t="shared" si="146"/>
        <v>1.0198691413104435</v>
      </c>
      <c r="P357" s="342">
        <f t="shared" si="147"/>
        <v>0.23777727636014001</v>
      </c>
      <c r="Q357" s="343">
        <f t="shared" si="148"/>
        <v>-13.553588941494761</v>
      </c>
      <c r="R357" s="344">
        <f t="shared" si="149"/>
        <v>-104.70932348690127</v>
      </c>
      <c r="S357" s="346">
        <f t="shared" si="150"/>
        <v>75.290676513098731</v>
      </c>
      <c r="U357" s="319">
        <f t="shared" si="156"/>
        <v>28184</v>
      </c>
      <c r="V357" s="319">
        <f t="shared" si="157"/>
        <v>794337856</v>
      </c>
      <c r="X357" s="345">
        <f t="shared" si="151"/>
        <v>17.584276851218522</v>
      </c>
      <c r="Y357" s="346">
        <f t="shared" si="152"/>
        <v>-6.9739869534988008</v>
      </c>
      <c r="AA357" s="345">
        <f t="shared" si="153"/>
        <v>17.736084191940972</v>
      </c>
      <c r="AB357" s="346">
        <f t="shared" si="154"/>
        <v>-97.73533653340246</v>
      </c>
      <c r="AD357">
        <f t="shared" si="158"/>
        <v>0</v>
      </c>
      <c r="AE357">
        <f t="shared" si="161"/>
        <v>0</v>
      </c>
    </row>
    <row r="358" spans="1:31" x14ac:dyDescent="0.2">
      <c r="A358" s="347">
        <v>28348</v>
      </c>
      <c r="B358" s="364">
        <f t="shared" si="155"/>
        <v>28.347999999999999</v>
      </c>
      <c r="C358" s="337">
        <f t="shared" si="136"/>
        <v>31.383897609110043</v>
      </c>
      <c r="D358" s="338">
        <f t="shared" si="137"/>
        <v>1.5389274587751349</v>
      </c>
      <c r="E358" s="338">
        <f t="shared" si="138"/>
        <v>1.0025348046407863</v>
      </c>
      <c r="F358" s="339">
        <f t="shared" si="139"/>
        <v>7.1126111025578573E-2</v>
      </c>
      <c r="G358" s="338">
        <f t="shared" si="140"/>
        <v>1</v>
      </c>
      <c r="H358" s="339">
        <f t="shared" si="141"/>
        <v>0</v>
      </c>
      <c r="I358" s="337">
        <f t="shared" si="142"/>
        <v>444620.92016168905</v>
      </c>
      <c r="J358" s="340">
        <f t="shared" si="143"/>
        <v>1.5707940776879503</v>
      </c>
      <c r="K358" s="348">
        <f t="shared" si="159"/>
        <v>44.052248722990178</v>
      </c>
      <c r="L358" s="349">
        <f t="shared" si="160"/>
        <v>1.5480940599872757</v>
      </c>
      <c r="M358" s="337">
        <f t="shared" si="144"/>
        <v>1.0049664757696073</v>
      </c>
      <c r="N358" s="340">
        <f t="shared" si="145"/>
        <v>9.9458610549375617E-2</v>
      </c>
      <c r="O358" s="341">
        <f t="shared" si="146"/>
        <v>1.0200992133295743</v>
      </c>
      <c r="P358" s="342">
        <f t="shared" si="147"/>
        <v>0.23913280142238838</v>
      </c>
      <c r="Q358" s="343">
        <f t="shared" si="148"/>
        <v>-13.606159679074917</v>
      </c>
      <c r="R358" s="344">
        <f t="shared" si="149"/>
        <v>-104.79929660389264</v>
      </c>
      <c r="S358" s="346">
        <f t="shared" si="150"/>
        <v>75.200703396107357</v>
      </c>
      <c r="U358" s="319">
        <f t="shared" si="156"/>
        <v>28348</v>
      </c>
      <c r="V358" s="319">
        <f t="shared" si="157"/>
        <v>803609104</v>
      </c>
      <c r="X358" s="345">
        <f t="shared" si="151"/>
        <v>17.583756699311149</v>
      </c>
      <c r="Y358" s="346">
        <f t="shared" si="152"/>
        <v>-6.9991738378331867</v>
      </c>
      <c r="AA358" s="345">
        <f t="shared" si="153"/>
        <v>17.684033606268191</v>
      </c>
      <c r="AB358" s="346">
        <f t="shared" si="154"/>
        <v>-97.800122766059445</v>
      </c>
      <c r="AD358">
        <f t="shared" si="158"/>
        <v>0</v>
      </c>
      <c r="AE358">
        <f t="shared" si="161"/>
        <v>0</v>
      </c>
    </row>
    <row r="359" spans="1:31" x14ac:dyDescent="0.2">
      <c r="A359" s="347">
        <v>28512</v>
      </c>
      <c r="B359" s="364">
        <f t="shared" si="155"/>
        <v>28.512</v>
      </c>
      <c r="C359" s="337">
        <f t="shared" si="136"/>
        <v>31.565277198914458</v>
      </c>
      <c r="D359" s="338">
        <f t="shared" si="137"/>
        <v>1.5391106443372045</v>
      </c>
      <c r="E359" s="338">
        <f t="shared" si="138"/>
        <v>1.0025641807723498</v>
      </c>
      <c r="F359" s="339">
        <f t="shared" si="139"/>
        <v>7.1536194318664204E-2</v>
      </c>
      <c r="G359" s="338">
        <f t="shared" si="140"/>
        <v>1</v>
      </c>
      <c r="H359" s="339">
        <f t="shared" si="141"/>
        <v>0</v>
      </c>
      <c r="I359" s="337">
        <f t="shared" si="142"/>
        <v>447193.15915231098</v>
      </c>
      <c r="J359" s="340">
        <f t="shared" si="143"/>
        <v>1.5707940906247326</v>
      </c>
      <c r="K359" s="348">
        <f t="shared" si="159"/>
        <v>44.306970630708228</v>
      </c>
      <c r="L359" s="349">
        <f t="shared" si="160"/>
        <v>1.548224598133835</v>
      </c>
      <c r="M359" s="337">
        <f t="shared" si="144"/>
        <v>1.0050239624591844</v>
      </c>
      <c r="N359" s="340">
        <f t="shared" si="145"/>
        <v>0.10003018285081326</v>
      </c>
      <c r="O359" s="341">
        <f t="shared" si="146"/>
        <v>1.0203305783923102</v>
      </c>
      <c r="P359" s="342">
        <f t="shared" si="147"/>
        <v>0.24048785220592164</v>
      </c>
      <c r="Q359" s="343">
        <f t="shared" si="148"/>
        <v>-13.658452061256234</v>
      </c>
      <c r="R359" s="344">
        <f t="shared" si="149"/>
        <v>-104.88920514946808</v>
      </c>
      <c r="S359" s="346">
        <f t="shared" si="150"/>
        <v>75.110794850531917</v>
      </c>
      <c r="U359" s="319">
        <f t="shared" si="156"/>
        <v>28512</v>
      </c>
      <c r="V359" s="319">
        <f t="shared" si="157"/>
        <v>812934144</v>
      </c>
      <c r="X359" s="345">
        <f t="shared" si="151"/>
        <v>17.583234186983521</v>
      </c>
      <c r="Y359" s="346">
        <f t="shared" si="152"/>
        <v>-7.0244439747807403</v>
      </c>
      <c r="AA359" s="345">
        <f t="shared" si="153"/>
        <v>17.632263736414501</v>
      </c>
      <c r="AB359" s="346">
        <f t="shared" si="154"/>
        <v>-97.864761174687331</v>
      </c>
      <c r="AD359">
        <f t="shared" si="158"/>
        <v>0</v>
      </c>
      <c r="AE359">
        <f t="shared" si="161"/>
        <v>0</v>
      </c>
    </row>
    <row r="360" spans="1:31" x14ac:dyDescent="0.2">
      <c r="A360" s="347">
        <v>28676</v>
      </c>
      <c r="B360" s="364">
        <f t="shared" si="155"/>
        <v>28.675999999999998</v>
      </c>
      <c r="C360" s="337">
        <f t="shared" si="136"/>
        <v>31.746657835849742</v>
      </c>
      <c r="D360" s="338">
        <f t="shared" si="137"/>
        <v>1.5392917366887979</v>
      </c>
      <c r="E360" s="338">
        <f t="shared" si="138"/>
        <v>1.0025937254935378</v>
      </c>
      <c r="F360" s="339">
        <f t="shared" si="139"/>
        <v>7.1946253511799785E-2</v>
      </c>
      <c r="G360" s="338">
        <f t="shared" si="140"/>
        <v>1</v>
      </c>
      <c r="H360" s="339">
        <f t="shared" si="141"/>
        <v>0</v>
      </c>
      <c r="I360" s="337">
        <f t="shared" si="142"/>
        <v>449765.39814293291</v>
      </c>
      <c r="J360" s="340">
        <f t="shared" si="143"/>
        <v>1.5707941034135424</v>
      </c>
      <c r="K360" s="348">
        <f t="shared" si="159"/>
        <v>44.561693284794863</v>
      </c>
      <c r="L360" s="349">
        <f t="shared" si="160"/>
        <v>1.5483536439235213</v>
      </c>
      <c r="M360" s="337">
        <f t="shared" si="144"/>
        <v>1.0050817774473386</v>
      </c>
      <c r="N360" s="340">
        <f t="shared" si="145"/>
        <v>0.10060168958221079</v>
      </c>
      <c r="O360" s="341">
        <f t="shared" si="146"/>
        <v>1.0205632358012782</v>
      </c>
      <c r="P360" s="342">
        <f t="shared" si="147"/>
        <v>0.24184242637142425</v>
      </c>
      <c r="Q360" s="343">
        <f t="shared" si="148"/>
        <v>-13.710469398955883</v>
      </c>
      <c r="R360" s="344">
        <f t="shared" si="149"/>
        <v>-104.97904957592694</v>
      </c>
      <c r="S360" s="346">
        <f t="shared" si="150"/>
        <v>75.020950424073064</v>
      </c>
      <c r="U360" s="319">
        <f t="shared" si="156"/>
        <v>28676</v>
      </c>
      <c r="V360" s="319">
        <f t="shared" si="157"/>
        <v>822312976</v>
      </c>
      <c r="X360" s="345">
        <f t="shared" si="151"/>
        <v>17.582709304962201</v>
      </c>
      <c r="Y360" s="346">
        <f t="shared" si="152"/>
        <v>-7.0497958521139763</v>
      </c>
      <c r="AA360" s="345">
        <f t="shared" si="153"/>
        <v>17.580771280736172</v>
      </c>
      <c r="AB360" s="346">
        <f t="shared" si="154"/>
        <v>-97.929253723812977</v>
      </c>
      <c r="AD360">
        <f t="shared" si="158"/>
        <v>0</v>
      </c>
      <c r="AE360">
        <f t="shared" si="161"/>
        <v>0</v>
      </c>
    </row>
    <row r="361" spans="1:31" x14ac:dyDescent="0.2">
      <c r="A361" s="347">
        <v>28840</v>
      </c>
      <c r="B361" s="364">
        <f t="shared" si="155"/>
        <v>28.84</v>
      </c>
      <c r="C361" s="337">
        <f t="shared" si="136"/>
        <v>31.928039502069897</v>
      </c>
      <c r="D361" s="338">
        <f t="shared" si="137"/>
        <v>1.5394707714922211</v>
      </c>
      <c r="E361" s="338">
        <f t="shared" si="138"/>
        <v>1.0026234387894466</v>
      </c>
      <c r="F361" s="339">
        <f t="shared" si="139"/>
        <v>7.2356288469220265E-2</v>
      </c>
      <c r="G361" s="338">
        <f t="shared" si="140"/>
        <v>1</v>
      </c>
      <c r="H361" s="339">
        <f t="shared" si="141"/>
        <v>0</v>
      </c>
      <c r="I361" s="337">
        <f t="shared" si="142"/>
        <v>452337.63713355496</v>
      </c>
      <c r="J361" s="340">
        <f t="shared" si="143"/>
        <v>1.5707941160569039</v>
      </c>
      <c r="K361" s="348">
        <f t="shared" si="159"/>
        <v>44.816416672523673</v>
      </c>
      <c r="L361" s="349">
        <f t="shared" si="160"/>
        <v>1.5484812227983578</v>
      </c>
      <c r="M361" s="337">
        <f t="shared" si="144"/>
        <v>1.0051399206774192</v>
      </c>
      <c r="N361" s="340">
        <f t="shared" si="145"/>
        <v>0.10117313038158419</v>
      </c>
      <c r="O361" s="341">
        <f t="shared" si="146"/>
        <v>1.0207971848558814</v>
      </c>
      <c r="P361" s="342">
        <f t="shared" si="147"/>
        <v>0.24319652158605279</v>
      </c>
      <c r="Q361" s="343">
        <f t="shared" si="148"/>
        <v>-13.762214946258096</v>
      </c>
      <c r="R361" s="344">
        <f t="shared" si="149"/>
        <v>-105.06883032236948</v>
      </c>
      <c r="S361" s="346">
        <f t="shared" si="150"/>
        <v>74.931169677630521</v>
      </c>
      <c r="U361" s="319">
        <f t="shared" si="156"/>
        <v>28840</v>
      </c>
      <c r="V361" s="319">
        <f t="shared" si="157"/>
        <v>831745600</v>
      </c>
      <c r="X361" s="345">
        <f t="shared" si="151"/>
        <v>17.582182044269256</v>
      </c>
      <c r="Y361" s="346">
        <f t="shared" si="152"/>
        <v>-7.0752279915168019</v>
      </c>
      <c r="AA361" s="345">
        <f t="shared" si="153"/>
        <v>17.529552994126906</v>
      </c>
      <c r="AB361" s="346">
        <f t="shared" si="154"/>
        <v>-97.993602330852667</v>
      </c>
      <c r="AD361">
        <f t="shared" si="158"/>
        <v>0</v>
      </c>
      <c r="AE361">
        <f t="shared" si="161"/>
        <v>0</v>
      </c>
    </row>
    <row r="362" spans="1:31" x14ac:dyDescent="0.2">
      <c r="A362" s="347">
        <v>29008</v>
      </c>
      <c r="B362" s="364">
        <f t="shared" si="155"/>
        <v>29.007999999999999</v>
      </c>
      <c r="C362" s="337">
        <f t="shared" si="136"/>
        <v>32.113846160385641</v>
      </c>
      <c r="D362" s="338">
        <f t="shared" si="137"/>
        <v>1.539652075993325</v>
      </c>
      <c r="E362" s="338">
        <f t="shared" si="138"/>
        <v>1.0026540515764535</v>
      </c>
      <c r="F362" s="339">
        <f t="shared" si="139"/>
        <v>7.277629900779857E-2</v>
      </c>
      <c r="G362" s="338">
        <f t="shared" si="140"/>
        <v>1</v>
      </c>
      <c r="H362" s="339">
        <f t="shared" si="141"/>
        <v>0</v>
      </c>
      <c r="I362" s="337">
        <f t="shared" si="142"/>
        <v>454972.61366053368</v>
      </c>
      <c r="J362" s="340">
        <f t="shared" si="143"/>
        <v>1.5707941288604057</v>
      </c>
      <c r="K362" s="348">
        <f t="shared" si="159"/>
        <v>45.077353573507253</v>
      </c>
      <c r="L362" s="349">
        <f t="shared" si="160"/>
        <v>1.5486104183245579</v>
      </c>
      <c r="M362" s="337">
        <f t="shared" si="144"/>
        <v>1.0051998223239311</v>
      </c>
      <c r="N362" s="340">
        <f t="shared" si="145"/>
        <v>0.10175844001953033</v>
      </c>
      <c r="O362" s="341">
        <f t="shared" si="146"/>
        <v>1.0210381785344187</v>
      </c>
      <c r="P362" s="342">
        <f t="shared" si="147"/>
        <v>0.2445831444655861</v>
      </c>
      <c r="Q362" s="343">
        <f t="shared" si="148"/>
        <v>-13.814944108412428</v>
      </c>
      <c r="R362" s="344">
        <f t="shared" si="149"/>
        <v>-105.16073525992249</v>
      </c>
      <c r="S362" s="346">
        <f t="shared" si="150"/>
        <v>74.83926474007751</v>
      </c>
      <c r="U362" s="319">
        <f t="shared" si="156"/>
        <v>29008</v>
      </c>
      <c r="V362" s="319">
        <f t="shared" si="157"/>
        <v>841464064</v>
      </c>
      <c r="X362" s="345">
        <f t="shared" si="151"/>
        <v>17.581639448071378</v>
      </c>
      <c r="Y362" s="346">
        <f t="shared" si="152"/>
        <v>-7.1013621387126893</v>
      </c>
      <c r="AA362" s="345">
        <f t="shared" si="153"/>
        <v>17.477366428170448</v>
      </c>
      <c r="AB362" s="346">
        <f t="shared" si="154"/>
        <v>-98.059373121209788</v>
      </c>
      <c r="AD362">
        <f t="shared" si="158"/>
        <v>0</v>
      </c>
      <c r="AE362">
        <f t="shared" si="161"/>
        <v>0</v>
      </c>
    </row>
    <row r="363" spans="1:31" x14ac:dyDescent="0.2">
      <c r="A363" s="347">
        <v>29176</v>
      </c>
      <c r="B363" s="364">
        <f t="shared" si="155"/>
        <v>29.175999999999998</v>
      </c>
      <c r="C363" s="337">
        <f t="shared" si="136"/>
        <v>32.299653862180804</v>
      </c>
      <c r="D363" s="338">
        <f t="shared" si="137"/>
        <v>1.5398312945477133</v>
      </c>
      <c r="E363" s="338">
        <f t="shared" si="138"/>
        <v>1.0026848412296925</v>
      </c>
      <c r="F363" s="339">
        <f t="shared" si="139"/>
        <v>7.3196283825759142E-2</v>
      </c>
      <c r="G363" s="338">
        <f t="shared" si="140"/>
        <v>1</v>
      </c>
      <c r="H363" s="339">
        <f t="shared" si="141"/>
        <v>0</v>
      </c>
      <c r="I363" s="337">
        <f t="shared" si="142"/>
        <v>457607.59018751245</v>
      </c>
      <c r="J363" s="340">
        <f t="shared" si="143"/>
        <v>1.5707941415164584</v>
      </c>
      <c r="K363" s="348">
        <f t="shared" si="159"/>
        <v>45.338291218238027</v>
      </c>
      <c r="L363" s="349">
        <f t="shared" si="160"/>
        <v>1.5487381267224367</v>
      </c>
      <c r="M363" s="337">
        <f t="shared" si="144"/>
        <v>1.0052600682980994</v>
      </c>
      <c r="N363" s="340">
        <f t="shared" si="145"/>
        <v>0.10234367970187928</v>
      </c>
      <c r="O363" s="341">
        <f t="shared" si="146"/>
        <v>1.0212805261354461</v>
      </c>
      <c r="P363" s="342">
        <f t="shared" si="147"/>
        <v>0.24596925981102138</v>
      </c>
      <c r="Q363" s="343">
        <f t="shared" si="148"/>
        <v>-13.867394795912356</v>
      </c>
      <c r="R363" s="344">
        <f t="shared" si="149"/>
        <v>-105.25257426522107</v>
      </c>
      <c r="S363" s="346">
        <f t="shared" si="150"/>
        <v>74.747425734778929</v>
      </c>
      <c r="U363" s="319">
        <f t="shared" si="156"/>
        <v>29176</v>
      </c>
      <c r="V363" s="319">
        <f t="shared" si="157"/>
        <v>851238976</v>
      </c>
      <c r="X363" s="345">
        <f t="shared" si="151"/>
        <v>17.58109433759045</v>
      </c>
      <c r="Y363" s="346">
        <f t="shared" si="152"/>
        <v>-7.127577475476385</v>
      </c>
      <c r="AA363" s="345">
        <f t="shared" si="153"/>
        <v>17.425460851151449</v>
      </c>
      <c r="AB363" s="346">
        <f t="shared" si="154"/>
        <v>-98.124996789744714</v>
      </c>
      <c r="AD363">
        <f t="shared" si="158"/>
        <v>0</v>
      </c>
      <c r="AE363">
        <f t="shared" si="161"/>
        <v>0</v>
      </c>
    </row>
    <row r="364" spans="1:31" x14ac:dyDescent="0.2">
      <c r="A364" s="347">
        <v>29344</v>
      </c>
      <c r="B364" s="364">
        <f t="shared" si="155"/>
        <v>29.344000000000001</v>
      </c>
      <c r="C364" s="337">
        <f t="shared" si="136"/>
        <v>32.485462589550146</v>
      </c>
      <c r="D364" s="338">
        <f t="shared" si="137"/>
        <v>1.5400084629370552</v>
      </c>
      <c r="E364" s="338">
        <f t="shared" si="138"/>
        <v>1.0027158077328706</v>
      </c>
      <c r="F364" s="339">
        <f t="shared" si="139"/>
        <v>7.361624277731825E-2</v>
      </c>
      <c r="G364" s="338">
        <f t="shared" si="140"/>
        <v>1</v>
      </c>
      <c r="H364" s="339">
        <f t="shared" si="141"/>
        <v>0</v>
      </c>
      <c r="I364" s="337">
        <f t="shared" si="142"/>
        <v>460242.5667144914</v>
      </c>
      <c r="J364" s="340">
        <f t="shared" si="143"/>
        <v>1.5707941540275945</v>
      </c>
      <c r="K364" s="348">
        <f t="shared" si="159"/>
        <v>45.599229593947925</v>
      </c>
      <c r="L364" s="349">
        <f t="shared" si="160"/>
        <v>1.5488643735177532</v>
      </c>
      <c r="M364" s="337">
        <f t="shared" si="144"/>
        <v>1.0053206585380203</v>
      </c>
      <c r="N364" s="340">
        <f t="shared" si="145"/>
        <v>0.10292884904034837</v>
      </c>
      <c r="O364" s="341">
        <f t="shared" si="146"/>
        <v>1.0215242268953997</v>
      </c>
      <c r="P364" s="342">
        <f t="shared" si="147"/>
        <v>0.24735486513589944</v>
      </c>
      <c r="Q364" s="343">
        <f t="shared" si="148"/>
        <v>-13.919570329596972</v>
      </c>
      <c r="R364" s="344">
        <f t="shared" si="149"/>
        <v>-105.34434776967301</v>
      </c>
      <c r="S364" s="346">
        <f t="shared" si="150"/>
        <v>74.655652230326993</v>
      </c>
      <c r="U364" s="319">
        <f t="shared" si="156"/>
        <v>29344</v>
      </c>
      <c r="V364" s="319">
        <f t="shared" si="157"/>
        <v>861070336</v>
      </c>
      <c r="X364" s="345">
        <f t="shared" si="151"/>
        <v>17.58054670407704</v>
      </c>
      <c r="Y364" s="346">
        <f t="shared" si="152"/>
        <v>-7.1538725171877831</v>
      </c>
      <c r="AA364" s="345">
        <f t="shared" si="153"/>
        <v>17.37383295098024</v>
      </c>
      <c r="AB364" s="346">
        <f t="shared" si="154"/>
        <v>-98.190475252485243</v>
      </c>
      <c r="AD364">
        <f t="shared" si="158"/>
        <v>0</v>
      </c>
      <c r="AE364">
        <f t="shared" si="161"/>
        <v>0</v>
      </c>
    </row>
    <row r="365" spans="1:31" x14ac:dyDescent="0.2">
      <c r="A365" s="347">
        <v>29512</v>
      </c>
      <c r="B365" s="364">
        <f t="shared" si="155"/>
        <v>29.512</v>
      </c>
      <c r="C365" s="337">
        <f t="shared" si="136"/>
        <v>32.671272324995677</v>
      </c>
      <c r="D365" s="338">
        <f t="shared" si="137"/>
        <v>1.5401836161295435</v>
      </c>
      <c r="E365" s="338">
        <f t="shared" si="138"/>
        <v>1.0027469510696041</v>
      </c>
      <c r="F365" s="339">
        <f t="shared" si="139"/>
        <v>7.4036175716746616E-2</v>
      </c>
      <c r="G365" s="338">
        <f t="shared" si="140"/>
        <v>1</v>
      </c>
      <c r="H365" s="339">
        <f t="shared" si="141"/>
        <v>0</v>
      </c>
      <c r="I365" s="337">
        <f t="shared" si="142"/>
        <v>462877.54324147035</v>
      </c>
      <c r="J365" s="340">
        <f t="shared" si="143"/>
        <v>1.5707941663962888</v>
      </c>
      <c r="K365" s="348">
        <f t="shared" si="159"/>
        <v>45.860168688159412</v>
      </c>
      <c r="L365" s="349">
        <f t="shared" si="160"/>
        <v>1.5489891836555003</v>
      </c>
      <c r="M365" s="337">
        <f t="shared" si="144"/>
        <v>1.0053815929814514</v>
      </c>
      <c r="N365" s="340">
        <f t="shared" si="145"/>
        <v>0.10351394764694095</v>
      </c>
      <c r="O365" s="341">
        <f t="shared" si="146"/>
        <v>1.0217692800472211</v>
      </c>
      <c r="P365" s="342">
        <f t="shared" si="147"/>
        <v>0.24873995796098938</v>
      </c>
      <c r="Q365" s="343">
        <f t="shared" si="148"/>
        <v>-13.971473973210049</v>
      </c>
      <c r="R365" s="344">
        <f t="shared" si="149"/>
        <v>-105.43605619177671</v>
      </c>
      <c r="S365" s="346">
        <f t="shared" si="150"/>
        <v>74.563943808223286</v>
      </c>
      <c r="U365" s="319">
        <f t="shared" si="156"/>
        <v>29512</v>
      </c>
      <c r="V365" s="319">
        <f t="shared" si="157"/>
        <v>870958144</v>
      </c>
      <c r="X365" s="345">
        <f t="shared" si="151"/>
        <v>17.579996539065906</v>
      </c>
      <c r="Y365" s="346">
        <f t="shared" si="152"/>
        <v>-7.1802458125152793</v>
      </c>
      <c r="AA365" s="345">
        <f t="shared" si="153"/>
        <v>17.322479472378298</v>
      </c>
      <c r="AB365" s="346">
        <f t="shared" si="154"/>
        <v>-98.255810379261447</v>
      </c>
      <c r="AD365">
        <f t="shared" si="158"/>
        <v>0</v>
      </c>
      <c r="AE365">
        <f t="shared" si="161"/>
        <v>0</v>
      </c>
    </row>
    <row r="366" spans="1:31" x14ac:dyDescent="0.2">
      <c r="A366" s="347">
        <v>29684</v>
      </c>
      <c r="B366" s="364">
        <f t="shared" si="155"/>
        <v>29.684000000000001</v>
      </c>
      <c r="C366" s="337">
        <f t="shared" si="136"/>
        <v>32.861507128269849</v>
      </c>
      <c r="D366" s="338">
        <f t="shared" si="137"/>
        <v>1.5403608875809993</v>
      </c>
      <c r="E366" s="338">
        <f t="shared" si="138"/>
        <v>1.0027790190963122</v>
      </c>
      <c r="F366" s="339">
        <f t="shared" si="139"/>
        <v>7.4466079958870363E-2</v>
      </c>
      <c r="G366" s="338">
        <f t="shared" si="140"/>
        <v>1</v>
      </c>
      <c r="H366" s="339">
        <f t="shared" si="141"/>
        <v>0</v>
      </c>
      <c r="I366" s="337">
        <f t="shared" si="142"/>
        <v>465575.25730480603</v>
      </c>
      <c r="J366" s="340">
        <f t="shared" si="143"/>
        <v>1.570794178914432</v>
      </c>
      <c r="K366" s="348">
        <f t="shared" si="159"/>
        <v>46.127321349580633</v>
      </c>
      <c r="L366" s="349">
        <f t="shared" si="160"/>
        <v>1.5491155025445413</v>
      </c>
      <c r="M366" s="337">
        <f t="shared" si="144"/>
        <v>1.0054443347736695</v>
      </c>
      <c r="N366" s="340">
        <f t="shared" si="145"/>
        <v>0.10411290348982262</v>
      </c>
      <c r="O366" s="341">
        <f t="shared" si="146"/>
        <v>1.0220215680681708</v>
      </c>
      <c r="P366" s="342">
        <f t="shared" si="147"/>
        <v>0.25015749565681461</v>
      </c>
      <c r="Q366" s="343">
        <f t="shared" si="148"/>
        <v>-14.024335089819054</v>
      </c>
      <c r="R366" s="344">
        <f t="shared" si="149"/>
        <v>-105.52988114641732</v>
      </c>
      <c r="S366" s="346">
        <f t="shared" si="150"/>
        <v>74.470118853582676</v>
      </c>
      <c r="U366" s="319">
        <f t="shared" si="156"/>
        <v>29684</v>
      </c>
      <c r="V366" s="319">
        <f t="shared" si="157"/>
        <v>881139856</v>
      </c>
      <c r="X366" s="345">
        <f t="shared" si="151"/>
        <v>17.579430643710904</v>
      </c>
      <c r="Y366" s="346">
        <f t="shared" si="152"/>
        <v>-7.2073266324799938</v>
      </c>
      <c r="AA366" s="345">
        <f t="shared" si="153"/>
        <v>17.270184251124295</v>
      </c>
      <c r="AB366" s="346">
        <f t="shared" si="154"/>
        <v>-98.32255451393732</v>
      </c>
      <c r="AD366">
        <f t="shared" si="158"/>
        <v>0</v>
      </c>
      <c r="AE366">
        <f t="shared" si="161"/>
        <v>0</v>
      </c>
    </row>
    <row r="367" spans="1:31" x14ac:dyDescent="0.2">
      <c r="A367" s="347">
        <v>29856</v>
      </c>
      <c r="B367" s="364">
        <f t="shared" si="155"/>
        <v>29.856000000000002</v>
      </c>
      <c r="C367" s="337">
        <f t="shared" si="136"/>
        <v>33.051742952334855</v>
      </c>
      <c r="D367" s="338">
        <f t="shared" si="137"/>
        <v>1.5405361183963187</v>
      </c>
      <c r="E367" s="338">
        <f t="shared" si="138"/>
        <v>1.0028112724424165</v>
      </c>
      <c r="F367" s="339">
        <f t="shared" si="139"/>
        <v>7.4895956626480825E-2</v>
      </c>
      <c r="G367" s="338">
        <f t="shared" si="140"/>
        <v>1</v>
      </c>
      <c r="H367" s="339">
        <f t="shared" si="141"/>
        <v>0</v>
      </c>
      <c r="I367" s="337">
        <f t="shared" si="142"/>
        <v>468272.97136814176</v>
      </c>
      <c r="J367" s="340">
        <f t="shared" si="143"/>
        <v>1.5707941912883414</v>
      </c>
      <c r="K367" s="348">
        <f t="shared" si="159"/>
        <v>46.394474738554159</v>
      </c>
      <c r="L367" s="349">
        <f t="shared" si="160"/>
        <v>1.5492403666709749</v>
      </c>
      <c r="M367" s="337">
        <f t="shared" si="144"/>
        <v>1.0055074372220447</v>
      </c>
      <c r="N367" s="340">
        <f t="shared" si="145"/>
        <v>0.10471178437040227</v>
      </c>
      <c r="O367" s="341">
        <f t="shared" si="146"/>
        <v>1.0222752720089197</v>
      </c>
      <c r="P367" s="342">
        <f t="shared" si="147"/>
        <v>0.25157449092162304</v>
      </c>
      <c r="Q367" s="343">
        <f t="shared" si="148"/>
        <v>-14.076917960726753</v>
      </c>
      <c r="R367" s="344">
        <f t="shared" si="149"/>
        <v>-105.62363873058504</v>
      </c>
      <c r="S367" s="346">
        <f t="shared" si="150"/>
        <v>74.376361269414957</v>
      </c>
      <c r="U367" s="319">
        <f t="shared" si="156"/>
        <v>29856</v>
      </c>
      <c r="V367" s="319">
        <f t="shared" si="157"/>
        <v>891380736</v>
      </c>
      <c r="X367" s="345">
        <f t="shared" si="151"/>
        <v>17.578862077790319</v>
      </c>
      <c r="Y367" s="346">
        <f t="shared" si="152"/>
        <v>-7.2344865009148682</v>
      </c>
      <c r="AA367" s="345">
        <f t="shared" si="153"/>
        <v>17.218169946137184</v>
      </c>
      <c r="AB367" s="346">
        <f t="shared" si="154"/>
        <v>-98.389152229670174</v>
      </c>
      <c r="AD367">
        <f t="shared" si="158"/>
        <v>0</v>
      </c>
      <c r="AE367">
        <f t="shared" si="161"/>
        <v>0</v>
      </c>
    </row>
    <row r="368" spans="1:31" x14ac:dyDescent="0.2">
      <c r="A368" s="347">
        <v>30028</v>
      </c>
      <c r="B368" s="364">
        <f t="shared" si="155"/>
        <v>30.027999999999999</v>
      </c>
      <c r="C368" s="337">
        <f t="shared" si="136"/>
        <v>33.241979779665485</v>
      </c>
      <c r="D368" s="338">
        <f t="shared" si="137"/>
        <v>1.5407093435990353</v>
      </c>
      <c r="E368" s="338">
        <f t="shared" si="138"/>
        <v>1.0028437110900363</v>
      </c>
      <c r="F368" s="339">
        <f t="shared" si="139"/>
        <v>7.5325805563369083E-2</v>
      </c>
      <c r="G368" s="338">
        <f t="shared" si="140"/>
        <v>1</v>
      </c>
      <c r="H368" s="339">
        <f t="shared" si="141"/>
        <v>0</v>
      </c>
      <c r="I368" s="337">
        <f t="shared" si="142"/>
        <v>470970.68543147761</v>
      </c>
      <c r="J368" s="340">
        <f t="shared" si="143"/>
        <v>1.5707942035204956</v>
      </c>
      <c r="K368" s="348">
        <f t="shared" si="159"/>
        <v>46.661628842583561</v>
      </c>
      <c r="L368" s="349">
        <f t="shared" si="160"/>
        <v>1.5493638010179438</v>
      </c>
      <c r="M368" s="337">
        <f t="shared" si="144"/>
        <v>1.0055709002586801</v>
      </c>
      <c r="N368" s="340">
        <f t="shared" si="145"/>
        <v>0.10531058987324557</v>
      </c>
      <c r="O368" s="341">
        <f t="shared" si="146"/>
        <v>1.0225303910350139</v>
      </c>
      <c r="P368" s="342">
        <f t="shared" si="147"/>
        <v>0.25299094111855625</v>
      </c>
      <c r="Q368" s="343">
        <f t="shared" si="148"/>
        <v>-14.129225910735359</v>
      </c>
      <c r="R368" s="344">
        <f t="shared" si="149"/>
        <v>-105.71732935376059</v>
      </c>
      <c r="S368" s="346">
        <f t="shared" si="150"/>
        <v>74.28267064623941</v>
      </c>
      <c r="U368" s="319">
        <f t="shared" si="156"/>
        <v>30028</v>
      </c>
      <c r="V368" s="319">
        <f t="shared" si="157"/>
        <v>901680784</v>
      </c>
      <c r="X368" s="345">
        <f t="shared" si="151"/>
        <v>17.578290833085074</v>
      </c>
      <c r="Y368" s="346">
        <f t="shared" si="152"/>
        <v>-7.261723962730664</v>
      </c>
      <c r="AA368" s="345">
        <f t="shared" si="153"/>
        <v>17.166433240833825</v>
      </c>
      <c r="AB368" s="346">
        <f t="shared" si="154"/>
        <v>-98.455605391029934</v>
      </c>
      <c r="AD368">
        <f t="shared" si="158"/>
        <v>0</v>
      </c>
      <c r="AE368">
        <f t="shared" si="161"/>
        <v>0</v>
      </c>
    </row>
    <row r="369" spans="1:31" x14ac:dyDescent="0.2">
      <c r="A369" s="347">
        <v>30200</v>
      </c>
      <c r="B369" s="364">
        <f t="shared" si="155"/>
        <v>30.2</v>
      </c>
      <c r="C369" s="337">
        <f t="shared" si="136"/>
        <v>33.43221759313532</v>
      </c>
      <c r="D369" s="338">
        <f t="shared" si="137"/>
        <v>1.540880597416</v>
      </c>
      <c r="E369" s="338">
        <f t="shared" si="138"/>
        <v>1.0028763350211902</v>
      </c>
      <c r="F369" s="339">
        <f t="shared" si="139"/>
        <v>7.575562661338725E-2</v>
      </c>
      <c r="G369" s="338">
        <f t="shared" si="140"/>
        <v>1</v>
      </c>
      <c r="H369" s="339">
        <f t="shared" si="141"/>
        <v>0</v>
      </c>
      <c r="I369" s="337">
        <f t="shared" si="142"/>
        <v>473668.39949481346</v>
      </c>
      <c r="J369" s="340">
        <f t="shared" si="143"/>
        <v>1.5707942156133168</v>
      </c>
      <c r="K369" s="348">
        <f t="shared" si="159"/>
        <v>46.928783649456896</v>
      </c>
      <c r="L369" s="349">
        <f t="shared" si="160"/>
        <v>1.5494858299998746</v>
      </c>
      <c r="M369" s="337">
        <f t="shared" si="144"/>
        <v>1.0056347238153083</v>
      </c>
      <c r="N369" s="340">
        <f t="shared" si="145"/>
        <v>0.10590931958323907</v>
      </c>
      <c r="O369" s="341">
        <f t="shared" si="146"/>
        <v>1.0227869243082248</v>
      </c>
      <c r="P369" s="342">
        <f t="shared" si="147"/>
        <v>0.25440684361880639</v>
      </c>
      <c r="Q369" s="343">
        <f t="shared" si="148"/>
        <v>-14.181262207422552</v>
      </c>
      <c r="R369" s="344">
        <f t="shared" si="149"/>
        <v>-105.810953412836</v>
      </c>
      <c r="S369" s="346">
        <f t="shared" si="150"/>
        <v>74.189046587164</v>
      </c>
      <c r="U369" s="319">
        <f t="shared" si="156"/>
        <v>30200</v>
      </c>
      <c r="V369" s="319">
        <f t="shared" si="157"/>
        <v>912040000</v>
      </c>
      <c r="X369" s="345">
        <f t="shared" si="151"/>
        <v>17.577716901648792</v>
      </c>
      <c r="Y369" s="346">
        <f t="shared" si="152"/>
        <v>-7.289037595438292</v>
      </c>
      <c r="AA369" s="345">
        <f t="shared" si="153"/>
        <v>17.114970875582916</v>
      </c>
      <c r="AB369" s="346">
        <f t="shared" si="154"/>
        <v>-98.521915817397726</v>
      </c>
      <c r="AD369">
        <f t="shared" si="158"/>
        <v>0</v>
      </c>
      <c r="AE369">
        <f t="shared" si="161"/>
        <v>0</v>
      </c>
    </row>
    <row r="370" spans="1:31" x14ac:dyDescent="0.2">
      <c r="A370" s="347">
        <v>30375.75</v>
      </c>
      <c r="B370" s="364">
        <f t="shared" si="155"/>
        <v>30.37575</v>
      </c>
      <c r="C370" s="337">
        <f t="shared" si="136"/>
        <v>33.626604034562291</v>
      </c>
      <c r="D370" s="338">
        <f t="shared" si="137"/>
        <v>1.5410535834404437</v>
      </c>
      <c r="E370" s="338">
        <f t="shared" si="138"/>
        <v>1.0029098615980887</v>
      </c>
      <c r="F370" s="339">
        <f t="shared" si="139"/>
        <v>7.6194789793984405E-2</v>
      </c>
      <c r="G370" s="338">
        <f t="shared" si="140"/>
        <v>1</v>
      </c>
      <c r="H370" s="339">
        <f t="shared" si="141"/>
        <v>0</v>
      </c>
      <c r="I370" s="337">
        <f t="shared" si="142"/>
        <v>476424.9299984838</v>
      </c>
      <c r="J370" s="340">
        <f t="shared" si="143"/>
        <v>1.5707942278283291</v>
      </c>
      <c r="K370" s="348">
        <f t="shared" si="159"/>
        <v>47.20176376599008</v>
      </c>
      <c r="L370" s="349">
        <f t="shared" si="160"/>
        <v>1.5496090926619062</v>
      </c>
      <c r="M370" s="337">
        <f t="shared" si="144"/>
        <v>1.0057003111984208</v>
      </c>
      <c r="N370" s="340">
        <f t="shared" si="145"/>
        <v>0.10652102427218427</v>
      </c>
      <c r="O370" s="341">
        <f t="shared" si="146"/>
        <v>1.0230505105613705</v>
      </c>
      <c r="P370" s="342">
        <f t="shared" si="147"/>
        <v>0.25585304762122452</v>
      </c>
      <c r="Q370" s="343">
        <f t="shared" si="148"/>
        <v>-14.23415575573787</v>
      </c>
      <c r="R370" s="344">
        <f t="shared" si="149"/>
        <v>-105.90655033749597</v>
      </c>
      <c r="S370" s="346">
        <f t="shared" si="150"/>
        <v>74.093449662504028</v>
      </c>
      <c r="U370" s="319">
        <f t="shared" si="156"/>
        <v>30375.75</v>
      </c>
      <c r="V370" s="319">
        <f t="shared" si="157"/>
        <v>922686188.0625</v>
      </c>
      <c r="X370" s="345">
        <f t="shared" si="151"/>
        <v>17.577127673945409</v>
      </c>
      <c r="Y370" s="346">
        <f t="shared" si="152"/>
        <v>-7.317023962017899</v>
      </c>
      <c r="AA370" s="345">
        <f t="shared" si="153"/>
        <v>17.062666554970981</v>
      </c>
      <c r="AB370" s="346">
        <f t="shared" si="154"/>
        <v>-98.589526375478073</v>
      </c>
      <c r="AD370">
        <f t="shared" si="158"/>
        <v>0</v>
      </c>
      <c r="AE370">
        <f t="shared" si="161"/>
        <v>0</v>
      </c>
    </row>
    <row r="371" spans="1:31" x14ac:dyDescent="0.2">
      <c r="A371" s="347">
        <v>30551.5</v>
      </c>
      <c r="B371" s="364">
        <f t="shared" si="155"/>
        <v>30.551500000000001</v>
      </c>
      <c r="C371" s="337">
        <f t="shared" si="136"/>
        <v>33.820991470670435</v>
      </c>
      <c r="D371" s="338">
        <f t="shared" si="137"/>
        <v>1.5412245809824328</v>
      </c>
      <c r="E371" s="338">
        <f t="shared" si="138"/>
        <v>1.0029435815875412</v>
      </c>
      <c r="F371" s="339">
        <f t="shared" si="139"/>
        <v>7.6633923529039055E-2</v>
      </c>
      <c r="G371" s="338">
        <f t="shared" si="140"/>
        <v>1</v>
      </c>
      <c r="H371" s="339">
        <f t="shared" si="141"/>
        <v>0</v>
      </c>
      <c r="I371" s="337">
        <f t="shared" si="142"/>
        <v>479181.46050215414</v>
      </c>
      <c r="J371" s="340">
        <f t="shared" si="143"/>
        <v>1.5707942399028059</v>
      </c>
      <c r="K371" s="348">
        <f t="shared" si="159"/>
        <v>47.474744591444505</v>
      </c>
      <c r="L371" s="349">
        <f t="shared" si="160"/>
        <v>1.5497309377997364</v>
      </c>
      <c r="M371" s="337">
        <f t="shared" si="144"/>
        <v>1.005766274847955</v>
      </c>
      <c r="N371" s="340">
        <f t="shared" si="145"/>
        <v>0.10713264895209004</v>
      </c>
      <c r="O371" s="341">
        <f t="shared" si="146"/>
        <v>1.0233155716202118</v>
      </c>
      <c r="P371" s="342">
        <f t="shared" si="147"/>
        <v>0.25729867426110536</v>
      </c>
      <c r="Q371" s="343">
        <f t="shared" si="148"/>
        <v>-14.286772396645777</v>
      </c>
      <c r="R371" s="344">
        <f t="shared" si="149"/>
        <v>-106.00207856309395</v>
      </c>
      <c r="S371" s="346">
        <f t="shared" si="150"/>
        <v>73.997921436906054</v>
      </c>
      <c r="U371" s="319">
        <f t="shared" si="156"/>
        <v>30551.5</v>
      </c>
      <c r="V371" s="319">
        <f t="shared" si="157"/>
        <v>933394152.25</v>
      </c>
      <c r="X371" s="345">
        <f t="shared" si="151"/>
        <v>17.57653562513822</v>
      </c>
      <c r="Y371" s="346">
        <f t="shared" si="152"/>
        <v>-7.3450869545193012</v>
      </c>
      <c r="AA371" s="345">
        <f t="shared" si="153"/>
        <v>17.01064196287026</v>
      </c>
      <c r="AB371" s="346">
        <f t="shared" si="154"/>
        <v>-98.656991608574657</v>
      </c>
      <c r="AD371">
        <f t="shared" si="158"/>
        <v>0</v>
      </c>
      <c r="AE371">
        <f t="shared" si="161"/>
        <v>0</v>
      </c>
    </row>
    <row r="372" spans="1:31" x14ac:dyDescent="0.2">
      <c r="A372" s="347">
        <v>30727.25</v>
      </c>
      <c r="B372" s="364">
        <f t="shared" si="155"/>
        <v>30.727250000000002</v>
      </c>
      <c r="C372" s="337">
        <f t="shared" si="136"/>
        <v>34.015379884406869</v>
      </c>
      <c r="D372" s="338">
        <f t="shared" si="137"/>
        <v>1.5413936241227488</v>
      </c>
      <c r="E372" s="338">
        <f t="shared" si="138"/>
        <v>1.0029774949700401</v>
      </c>
      <c r="F372" s="339">
        <f t="shared" si="139"/>
        <v>7.7073027652165921E-2</v>
      </c>
      <c r="G372" s="338">
        <f t="shared" si="140"/>
        <v>1</v>
      </c>
      <c r="H372" s="339">
        <f t="shared" si="141"/>
        <v>0</v>
      </c>
      <c r="I372" s="337">
        <f t="shared" si="142"/>
        <v>481937.99100582465</v>
      </c>
      <c r="J372" s="340">
        <f t="shared" si="143"/>
        <v>1.5707942518391582</v>
      </c>
      <c r="K372" s="348">
        <f t="shared" si="159"/>
        <v>47.747726113661109</v>
      </c>
      <c r="L372" s="349">
        <f t="shared" si="160"/>
        <v>1.5498513897223658</v>
      </c>
      <c r="M372" s="337">
        <f t="shared" si="144"/>
        <v>1.0058326146898831</v>
      </c>
      <c r="N372" s="340">
        <f t="shared" si="145"/>
        <v>0.10774419318114392</v>
      </c>
      <c r="O372" s="341">
        <f t="shared" si="146"/>
        <v>1.0235821065783812</v>
      </c>
      <c r="P372" s="342">
        <f t="shared" si="147"/>
        <v>0.25874372076014496</v>
      </c>
      <c r="Q372" s="343">
        <f t="shared" si="148"/>
        <v>-14.339115439295608</v>
      </c>
      <c r="R372" s="344">
        <f t="shared" si="149"/>
        <v>-106.09753847468401</v>
      </c>
      <c r="S372" s="346">
        <f t="shared" si="150"/>
        <v>73.902461525315985</v>
      </c>
      <c r="U372" s="319">
        <f t="shared" si="156"/>
        <v>30727.25</v>
      </c>
      <c r="V372" s="319">
        <f t="shared" si="157"/>
        <v>944163892.5625</v>
      </c>
      <c r="X372" s="345">
        <f t="shared" si="151"/>
        <v>17.575940747574588</v>
      </c>
      <c r="Y372" s="346">
        <f t="shared" si="152"/>
        <v>-7.3732251549635235</v>
      </c>
      <c r="AA372" s="345">
        <f t="shared" si="153"/>
        <v>16.958893797784057</v>
      </c>
      <c r="AB372" s="346">
        <f t="shared" si="154"/>
        <v>-98.72431331972048</v>
      </c>
      <c r="AD372">
        <f t="shared" si="158"/>
        <v>0</v>
      </c>
      <c r="AE372">
        <f t="shared" si="161"/>
        <v>0</v>
      </c>
    </row>
    <row r="373" spans="1:31" x14ac:dyDescent="0.2">
      <c r="A373" s="347">
        <v>30903</v>
      </c>
      <c r="B373" s="364">
        <f t="shared" si="155"/>
        <v>30.902999999999999</v>
      </c>
      <c r="C373" s="337">
        <f t="shared" si="136"/>
        <v>34.20976925910621</v>
      </c>
      <c r="D373" s="338">
        <f t="shared" si="137"/>
        <v>1.5415607461680012</v>
      </c>
      <c r="E373" s="338">
        <f t="shared" si="138"/>
        <v>1.0030116017259689</v>
      </c>
      <c r="F373" s="339">
        <f t="shared" si="139"/>
        <v>7.7512101997047847E-2</v>
      </c>
      <c r="G373" s="338">
        <f t="shared" si="140"/>
        <v>1</v>
      </c>
      <c r="H373" s="339">
        <f t="shared" si="141"/>
        <v>0</v>
      </c>
      <c r="I373" s="337">
        <f t="shared" si="142"/>
        <v>484694.5215094951</v>
      </c>
      <c r="J373" s="340">
        <f t="shared" si="143"/>
        <v>1.5707942636397429</v>
      </c>
      <c r="K373" s="348">
        <f t="shared" si="159"/>
        <v>48.020708320757343</v>
      </c>
      <c r="L373" s="349">
        <f t="shared" si="160"/>
        <v>1.5499704721862035</v>
      </c>
      <c r="M373" s="337">
        <f t="shared" si="144"/>
        <v>1.0058993306497741</v>
      </c>
      <c r="N373" s="340">
        <f t="shared" si="145"/>
        <v>0.10835565651789041</v>
      </c>
      <c r="O373" s="341">
        <f t="shared" si="146"/>
        <v>1.0238501145254668</v>
      </c>
      <c r="P373" s="342">
        <f t="shared" si="147"/>
        <v>0.26018818434893221</v>
      </c>
      <c r="Q373" s="343">
        <f t="shared" si="148"/>
        <v>-14.39118813592877</v>
      </c>
      <c r="R373" s="344">
        <f t="shared" si="149"/>
        <v>-106.1929304451475</v>
      </c>
      <c r="S373" s="346">
        <f t="shared" si="150"/>
        <v>73.807069554852504</v>
      </c>
      <c r="U373" s="319">
        <f t="shared" si="156"/>
        <v>30903</v>
      </c>
      <c r="V373" s="319">
        <f t="shared" si="157"/>
        <v>954995409</v>
      </c>
      <c r="X373" s="345">
        <f t="shared" si="151"/>
        <v>17.575343033861685</v>
      </c>
      <c r="Y373" s="346">
        <f t="shared" si="152"/>
        <v>-7.4014371770501111</v>
      </c>
      <c r="AA373" s="345">
        <f t="shared" si="153"/>
        <v>16.907418814863799</v>
      </c>
      <c r="AB373" s="346">
        <f t="shared" si="154"/>
        <v>-98.791493268097426</v>
      </c>
      <c r="AD373">
        <f t="shared" si="158"/>
        <v>0</v>
      </c>
      <c r="AE373">
        <f t="shared" si="161"/>
        <v>0</v>
      </c>
    </row>
    <row r="374" spans="1:31" x14ac:dyDescent="0.2">
      <c r="A374" s="347">
        <v>31083</v>
      </c>
      <c r="B374" s="364">
        <f t="shared" si="155"/>
        <v>31.082999999999998</v>
      </c>
      <c r="C374" s="337">
        <f t="shared" si="136"/>
        <v>34.408860351679095</v>
      </c>
      <c r="D374" s="338">
        <f t="shared" si="137"/>
        <v>1.5417299522425334</v>
      </c>
      <c r="E374" s="338">
        <f t="shared" si="138"/>
        <v>1.0030467336777031</v>
      </c>
      <c r="F374" s="339">
        <f t="shared" si="139"/>
        <v>7.7961763030646919E-2</v>
      </c>
      <c r="G374" s="338">
        <f t="shared" si="140"/>
        <v>1</v>
      </c>
      <c r="H374" s="339">
        <f t="shared" si="141"/>
        <v>0</v>
      </c>
      <c r="I374" s="337">
        <f t="shared" si="142"/>
        <v>487517.71064554469</v>
      </c>
      <c r="J374" s="340">
        <f t="shared" si="143"/>
        <v>1.5707942755873647</v>
      </c>
      <c r="K374" s="348">
        <f t="shared" si="159"/>
        <v>48.300292502342941</v>
      </c>
      <c r="L374" s="349">
        <f t="shared" si="160"/>
        <v>1.5500910390367415</v>
      </c>
      <c r="M374" s="337">
        <f t="shared" si="144"/>
        <v>1.0059680497328405</v>
      </c>
      <c r="N374" s="340">
        <f t="shared" si="145"/>
        <v>0.10898182199693059</v>
      </c>
      <c r="O374" s="341">
        <f t="shared" si="146"/>
        <v>1.024126129355271</v>
      </c>
      <c r="P374" s="342">
        <f t="shared" si="147"/>
        <v>0.26166697095808356</v>
      </c>
      <c r="Q374" s="343">
        <f t="shared" si="148"/>
        <v>-14.44424316702812</v>
      </c>
      <c r="R374" s="344">
        <f t="shared" si="149"/>
        <v>-106.29055914335497</v>
      </c>
      <c r="S374" s="346">
        <f t="shared" si="150"/>
        <v>73.709440856645031</v>
      </c>
      <c r="U374" s="319">
        <f t="shared" si="156"/>
        <v>31083</v>
      </c>
      <c r="V374" s="319">
        <f t="shared" si="157"/>
        <v>966152889</v>
      </c>
      <c r="X374" s="345">
        <f t="shared" si="151"/>
        <v>17.574727918874473</v>
      </c>
      <c r="Y374" s="346">
        <f t="shared" si="152"/>
        <v>-7.4304065291722878</v>
      </c>
      <c r="AA374" s="345">
        <f t="shared" si="153"/>
        <v>16.854978898751664</v>
      </c>
      <c r="AB374" s="346">
        <f t="shared" si="154"/>
        <v>-98.860152614182681</v>
      </c>
      <c r="AD374">
        <f t="shared" si="158"/>
        <v>0</v>
      </c>
      <c r="AE374">
        <f t="shared" si="161"/>
        <v>0</v>
      </c>
    </row>
    <row r="375" spans="1:31" x14ac:dyDescent="0.2">
      <c r="A375" s="347">
        <v>31263</v>
      </c>
      <c r="B375" s="364">
        <f t="shared" si="155"/>
        <v>31.263000000000002</v>
      </c>
      <c r="C375" s="337">
        <f t="shared" si="136"/>
        <v>34.607952418066915</v>
      </c>
      <c r="D375" s="338">
        <f t="shared" si="137"/>
        <v>1.5418972115098954</v>
      </c>
      <c r="E375" s="338">
        <f t="shared" si="138"/>
        <v>1.0030820684262864</v>
      </c>
      <c r="F375" s="339">
        <f t="shared" si="139"/>
        <v>7.841139247547331E-2</v>
      </c>
      <c r="G375" s="338">
        <f t="shared" si="140"/>
        <v>1</v>
      </c>
      <c r="H375" s="339">
        <f t="shared" si="141"/>
        <v>0</v>
      </c>
      <c r="I375" s="337">
        <f t="shared" si="142"/>
        <v>490340.89978159429</v>
      </c>
      <c r="J375" s="340">
        <f t="shared" si="143"/>
        <v>1.5707942873974072</v>
      </c>
      <c r="K375" s="348">
        <f t="shared" si="159"/>
        <v>48.579877377957736</v>
      </c>
      <c r="L375" s="349">
        <f t="shared" si="160"/>
        <v>1.5502102181264183</v>
      </c>
      <c r="M375" s="337">
        <f t="shared" si="144"/>
        <v>1.0060371631851122</v>
      </c>
      <c r="N375" s="340">
        <f t="shared" si="145"/>
        <v>0.10960790168790055</v>
      </c>
      <c r="O375" s="341">
        <f t="shared" si="146"/>
        <v>1.0244036873292539</v>
      </c>
      <c r="P375" s="342">
        <f t="shared" si="147"/>
        <v>0.26314514027267549</v>
      </c>
      <c r="Q375" s="343">
        <f t="shared" si="148"/>
        <v>-14.497021346897911</v>
      </c>
      <c r="R375" s="344">
        <f t="shared" si="149"/>
        <v>-106.38811732892157</v>
      </c>
      <c r="S375" s="346">
        <f t="shared" si="150"/>
        <v>73.611882671078433</v>
      </c>
      <c r="U375" s="319">
        <f t="shared" si="156"/>
        <v>31263</v>
      </c>
      <c r="V375" s="319">
        <f t="shared" si="157"/>
        <v>977375169</v>
      </c>
      <c r="X375" s="345">
        <f t="shared" si="151"/>
        <v>17.574109814013099</v>
      </c>
      <c r="Y375" s="346">
        <f t="shared" si="152"/>
        <v>-7.4594504709578118</v>
      </c>
      <c r="AA375" s="345">
        <f t="shared" si="153"/>
        <v>16.802818823743245</v>
      </c>
      <c r="AB375" s="346">
        <f t="shared" si="154"/>
        <v>-98.928666857963762</v>
      </c>
      <c r="AD375">
        <f t="shared" si="158"/>
        <v>0</v>
      </c>
      <c r="AE375">
        <f t="shared" si="161"/>
        <v>0</v>
      </c>
    </row>
    <row r="376" spans="1:31" x14ac:dyDescent="0.2">
      <c r="A376" s="347">
        <v>31443</v>
      </c>
      <c r="B376" s="364">
        <f t="shared" si="155"/>
        <v>31.443000000000001</v>
      </c>
      <c r="C376" s="337">
        <f t="shared" si="136"/>
        <v>34.807045441559367</v>
      </c>
      <c r="D376" s="338">
        <f t="shared" si="137"/>
        <v>1.5420625573673092</v>
      </c>
      <c r="E376" s="338">
        <f t="shared" si="138"/>
        <v>1.0031176059502884</v>
      </c>
      <c r="F376" s="339">
        <f t="shared" si="139"/>
        <v>7.8860990153074656E-2</v>
      </c>
      <c r="G376" s="338">
        <f t="shared" si="140"/>
        <v>1</v>
      </c>
      <c r="H376" s="339">
        <f t="shared" si="141"/>
        <v>0</v>
      </c>
      <c r="I376" s="337">
        <f t="shared" si="142"/>
        <v>493164.08891764394</v>
      </c>
      <c r="J376" s="340">
        <f t="shared" si="143"/>
        <v>1.570794299072233</v>
      </c>
      <c r="K376" s="348">
        <f t="shared" si="159"/>
        <v>48.85946293568756</v>
      </c>
      <c r="L376" s="349">
        <f t="shared" si="160"/>
        <v>1.5503280332751199</v>
      </c>
      <c r="M376" s="337">
        <f t="shared" si="144"/>
        <v>1.0061066709253172</v>
      </c>
      <c r="N376" s="340">
        <f t="shared" si="145"/>
        <v>0.11023389511771434</v>
      </c>
      <c r="O376" s="341">
        <f t="shared" si="146"/>
        <v>1.0246827874562783</v>
      </c>
      <c r="P376" s="342">
        <f t="shared" si="147"/>
        <v>0.26462268934668515</v>
      </c>
      <c r="Q376" s="343">
        <f t="shared" si="148"/>
        <v>-14.549525992159664</v>
      </c>
      <c r="R376" s="344">
        <f t="shared" si="149"/>
        <v>-106.4856053650477</v>
      </c>
      <c r="S376" s="346">
        <f t="shared" si="150"/>
        <v>73.514394634952296</v>
      </c>
      <c r="U376" s="319">
        <f t="shared" si="156"/>
        <v>31443</v>
      </c>
      <c r="V376" s="319">
        <f t="shared" si="157"/>
        <v>988662249</v>
      </c>
      <c r="X376" s="345">
        <f t="shared" si="151"/>
        <v>17.573488712127748</v>
      </c>
      <c r="Y376" s="346">
        <f t="shared" si="152"/>
        <v>-7.4885676106572721</v>
      </c>
      <c r="AA376" s="345">
        <f t="shared" si="153"/>
        <v>16.750935280366843</v>
      </c>
      <c r="AB376" s="346">
        <f t="shared" si="154"/>
        <v>-98.997037754390448</v>
      </c>
      <c r="AD376">
        <f t="shared" si="158"/>
        <v>0</v>
      </c>
      <c r="AE376">
        <f t="shared" si="161"/>
        <v>0</v>
      </c>
    </row>
    <row r="377" spans="1:31" x14ac:dyDescent="0.2">
      <c r="A377" s="347">
        <v>31623</v>
      </c>
      <c r="B377" s="364">
        <f t="shared" si="155"/>
        <v>31.623000000000001</v>
      </c>
      <c r="C377" s="337">
        <f t="shared" si="136"/>
        <v>35.006139405826225</v>
      </c>
      <c r="D377" s="338">
        <f t="shared" si="137"/>
        <v>1.5422260224526469</v>
      </c>
      <c r="E377" s="338">
        <f t="shared" si="138"/>
        <v>1.0031533462281585</v>
      </c>
      <c r="F377" s="339">
        <f t="shared" si="139"/>
        <v>7.9310555885075212E-2</v>
      </c>
      <c r="G377" s="338">
        <f t="shared" si="140"/>
        <v>1</v>
      </c>
      <c r="H377" s="339">
        <f t="shared" si="141"/>
        <v>0</v>
      </c>
      <c r="I377" s="337">
        <f t="shared" si="142"/>
        <v>495987.27805369371</v>
      </c>
      <c r="J377" s="340">
        <f t="shared" si="143"/>
        <v>1.5707943106141511</v>
      </c>
      <c r="K377" s="348">
        <f t="shared" si="159"/>
        <v>49.139049163889354</v>
      </c>
      <c r="L377" s="349">
        <f t="shared" si="160"/>
        <v>1.5504445077607738</v>
      </c>
      <c r="M377" s="337">
        <f t="shared" si="144"/>
        <v>1.0061765728717418</v>
      </c>
      <c r="N377" s="340">
        <f t="shared" si="145"/>
        <v>0.11085980181368672</v>
      </c>
      <c r="O377" s="341">
        <f t="shared" si="146"/>
        <v>1.0249634287408398</v>
      </c>
      <c r="P377" s="342">
        <f t="shared" si="147"/>
        <v>0.2660996152440005</v>
      </c>
      <c r="Q377" s="343">
        <f t="shared" si="148"/>
        <v>-14.601760362311589</v>
      </c>
      <c r="R377" s="344">
        <f t="shared" si="149"/>
        <v>-106.58302360306145</v>
      </c>
      <c r="S377" s="346">
        <f t="shared" si="150"/>
        <v>73.416976396938551</v>
      </c>
      <c r="U377" s="319">
        <f t="shared" si="156"/>
        <v>31623</v>
      </c>
      <c r="V377" s="319">
        <f t="shared" si="157"/>
        <v>1000014129</v>
      </c>
      <c r="X377" s="345">
        <f t="shared" si="151"/>
        <v>17.572864606318515</v>
      </c>
      <c r="Y377" s="346">
        <f t="shared" si="152"/>
        <v>-7.517756587593091</v>
      </c>
      <c r="AA377" s="345">
        <f t="shared" si="153"/>
        <v>16.699325016024154</v>
      </c>
      <c r="AB377" s="346">
        <f t="shared" si="154"/>
        <v>-99.065267015468393</v>
      </c>
      <c r="AD377">
        <f t="shared" si="158"/>
        <v>0</v>
      </c>
      <c r="AE377">
        <f t="shared" si="161"/>
        <v>0</v>
      </c>
    </row>
    <row r="378" spans="1:31" x14ac:dyDescent="0.2">
      <c r="A378" s="347">
        <v>31807</v>
      </c>
      <c r="B378" s="364">
        <f t="shared" si="155"/>
        <v>31.806999999999999</v>
      </c>
      <c r="C378" s="337">
        <f t="shared" si="136"/>
        <v>35.209658636158956</v>
      </c>
      <c r="D378" s="338">
        <f t="shared" si="137"/>
        <v>1.5423912093778143</v>
      </c>
      <c r="E378" s="338">
        <f t="shared" si="138"/>
        <v>1.0031900902742543</v>
      </c>
      <c r="F378" s="339">
        <f t="shared" si="139"/>
        <v>7.9770078762683078E-2</v>
      </c>
      <c r="G378" s="338">
        <f t="shared" si="140"/>
        <v>1</v>
      </c>
      <c r="H378" s="339">
        <f t="shared" si="141"/>
        <v>0</v>
      </c>
      <c r="I378" s="337">
        <f t="shared" si="142"/>
        <v>498873.20472610014</v>
      </c>
      <c r="J378" s="340">
        <f t="shared" si="143"/>
        <v>1.5707943222775353</v>
      </c>
      <c r="K378" s="348">
        <f t="shared" si="159"/>
        <v>49.424849100523758</v>
      </c>
      <c r="L378" s="349">
        <f t="shared" si="160"/>
        <v>1.5505622085719855</v>
      </c>
      <c r="M378" s="337">
        <f t="shared" si="144"/>
        <v>1.0062484355529713</v>
      </c>
      <c r="N378" s="340">
        <f t="shared" si="145"/>
        <v>0.11149952740920693</v>
      </c>
      <c r="O378" s="341">
        <f t="shared" si="146"/>
        <v>1.0252518983672738</v>
      </c>
      <c r="P378" s="342">
        <f t="shared" si="147"/>
        <v>0.26760871456691271</v>
      </c>
      <c r="Q378" s="343">
        <f t="shared" si="148"/>
        <v>-14.654879480688454</v>
      </c>
      <c r="R378" s="344">
        <f t="shared" si="149"/>
        <v>-106.6825349026151</v>
      </c>
      <c r="S378" s="346">
        <f t="shared" si="150"/>
        <v>73.317465097384897</v>
      </c>
      <c r="U378" s="319">
        <f t="shared" si="156"/>
        <v>31807</v>
      </c>
      <c r="V378" s="319">
        <f t="shared" si="157"/>
        <v>1011685249</v>
      </c>
      <c r="X378" s="345">
        <f t="shared" si="151"/>
        <v>17.572223519763469</v>
      </c>
      <c r="Y378" s="346">
        <f t="shared" si="152"/>
        <v>-7.5476670728320672</v>
      </c>
      <c r="AA378" s="345">
        <f t="shared" si="153"/>
        <v>16.64684698420233</v>
      </c>
      <c r="AB378" s="346">
        <f t="shared" si="154"/>
        <v>-99.134867829783033</v>
      </c>
      <c r="AD378">
        <f t="shared" si="158"/>
        <v>0</v>
      </c>
      <c r="AE378">
        <f t="shared" si="161"/>
        <v>0</v>
      </c>
    </row>
    <row r="379" spans="1:31" x14ac:dyDescent="0.2">
      <c r="A379" s="347">
        <v>31991</v>
      </c>
      <c r="B379" s="364">
        <f t="shared" si="155"/>
        <v>31.991</v>
      </c>
      <c r="C379" s="337">
        <f t="shared" si="136"/>
        <v>35.413178816204869</v>
      </c>
      <c r="D379" s="338">
        <f t="shared" si="137"/>
        <v>1.5425544976428933</v>
      </c>
      <c r="E379" s="338">
        <f t="shared" si="138"/>
        <v>1.0032270461397053</v>
      </c>
      <c r="F379" s="339">
        <f t="shared" si="139"/>
        <v>8.022956788243131E-2</v>
      </c>
      <c r="G379" s="338">
        <f t="shared" si="140"/>
        <v>1</v>
      </c>
      <c r="H379" s="339">
        <f t="shared" si="141"/>
        <v>0</v>
      </c>
      <c r="I379" s="337">
        <f t="shared" si="142"/>
        <v>501759.13139850664</v>
      </c>
      <c r="J379" s="340">
        <f t="shared" si="143"/>
        <v>1.5707943338067527</v>
      </c>
      <c r="K379" s="348">
        <f t="shared" si="159"/>
        <v>49.710649713991231</v>
      </c>
      <c r="L379" s="349">
        <f t="shared" si="160"/>
        <v>1.5506785559941521</v>
      </c>
      <c r="M379" s="337">
        <f t="shared" si="144"/>
        <v>1.0063207099812896</v>
      </c>
      <c r="N379" s="340">
        <f t="shared" si="145"/>
        <v>0.11213916137567695</v>
      </c>
      <c r="O379" s="341">
        <f t="shared" si="146"/>
        <v>1.0255419762907321</v>
      </c>
      <c r="P379" s="342">
        <f t="shared" si="147"/>
        <v>0.26911715653617352</v>
      </c>
      <c r="Q379" s="343">
        <f t="shared" si="148"/>
        <v>-14.707722888781557</v>
      </c>
      <c r="R379" s="344">
        <f t="shared" si="149"/>
        <v>-106.78197397338712</v>
      </c>
      <c r="S379" s="346">
        <f t="shared" si="150"/>
        <v>73.218026026612876</v>
      </c>
      <c r="U379" s="319">
        <f t="shared" si="156"/>
        <v>31991</v>
      </c>
      <c r="V379" s="319">
        <f t="shared" si="157"/>
        <v>1023424081</v>
      </c>
      <c r="X379" s="345">
        <f t="shared" si="151"/>
        <v>17.571579280477202</v>
      </c>
      <c r="Y379" s="346">
        <f t="shared" si="152"/>
        <v>-7.5776498439063955</v>
      </c>
      <c r="AA379" s="345">
        <f t="shared" si="153"/>
        <v>16.59464781539549</v>
      </c>
      <c r="AB379" s="346">
        <f t="shared" si="154"/>
        <v>-99.204324129480739</v>
      </c>
      <c r="AD379">
        <f t="shared" si="158"/>
        <v>0</v>
      </c>
      <c r="AE379">
        <f t="shared" si="161"/>
        <v>0</v>
      </c>
    </row>
    <row r="380" spans="1:31" x14ac:dyDescent="0.2">
      <c r="A380" s="347">
        <v>32175</v>
      </c>
      <c r="B380" s="364">
        <f t="shared" si="155"/>
        <v>32.174999999999997</v>
      </c>
      <c r="C380" s="337">
        <f t="shared" si="136"/>
        <v>35.616699929683463</v>
      </c>
      <c r="D380" s="338">
        <f t="shared" si="137"/>
        <v>1.5427159197870979</v>
      </c>
      <c r="E380" s="338">
        <f t="shared" si="138"/>
        <v>1.0032642138011041</v>
      </c>
      <c r="F380" s="339">
        <f t="shared" si="139"/>
        <v>8.0689023054037023E-2</v>
      </c>
      <c r="G380" s="338">
        <f t="shared" si="140"/>
        <v>1</v>
      </c>
      <c r="H380" s="339">
        <f t="shared" si="141"/>
        <v>0</v>
      </c>
      <c r="I380" s="337">
        <f t="shared" si="142"/>
        <v>504645.05807091331</v>
      </c>
      <c r="J380" s="340">
        <f t="shared" si="143"/>
        <v>1.5707943452041053</v>
      </c>
      <c r="K380" s="348">
        <f t="shared" si="159"/>
        <v>49.996450992684608</v>
      </c>
      <c r="L380" s="349">
        <f t="shared" si="160"/>
        <v>1.550793573233763</v>
      </c>
      <c r="M380" s="337">
        <f t="shared" si="144"/>
        <v>1.0063933960679876</v>
      </c>
      <c r="N380" s="340">
        <f t="shared" si="145"/>
        <v>0.11277870320950562</v>
      </c>
      <c r="O380" s="341">
        <f t="shared" si="146"/>
        <v>1.0258336614338448</v>
      </c>
      <c r="P380" s="342">
        <f t="shared" si="147"/>
        <v>0.27062493804785986</v>
      </c>
      <c r="Q380" s="343">
        <f t="shared" si="148"/>
        <v>-14.760293891465345</v>
      </c>
      <c r="R380" s="344">
        <f t="shared" si="149"/>
        <v>-106.88134115444225</v>
      </c>
      <c r="S380" s="346">
        <f t="shared" si="150"/>
        <v>73.118658845557746</v>
      </c>
      <c r="U380" s="319">
        <f t="shared" si="156"/>
        <v>32175</v>
      </c>
      <c r="V380" s="319">
        <f t="shared" si="157"/>
        <v>1035230625</v>
      </c>
      <c r="X380" s="345">
        <f t="shared" si="151"/>
        <v>17.570931881846874</v>
      </c>
      <c r="Y380" s="346">
        <f t="shared" si="152"/>
        <v>-7.6077035424604196</v>
      </c>
      <c r="AA380" s="345">
        <f t="shared" si="153"/>
        <v>16.542724211342037</v>
      </c>
      <c r="AB380" s="346">
        <f t="shared" si="154"/>
        <v>-99.273637611981826</v>
      </c>
      <c r="AD380">
        <f t="shared" si="158"/>
        <v>0</v>
      </c>
      <c r="AE380">
        <f t="shared" si="161"/>
        <v>0</v>
      </c>
    </row>
    <row r="381" spans="1:31" x14ac:dyDescent="0.2">
      <c r="A381" s="347">
        <v>32359</v>
      </c>
      <c r="B381" s="364">
        <f t="shared" si="155"/>
        <v>32.359000000000002</v>
      </c>
      <c r="C381" s="337">
        <f t="shared" si="136"/>
        <v>35.820221960684187</v>
      </c>
      <c r="D381" s="338">
        <f t="shared" si="137"/>
        <v>1.5428755076105158</v>
      </c>
      <c r="E381" s="338">
        <f t="shared" si="138"/>
        <v>1.0033015932349121</v>
      </c>
      <c r="F381" s="339">
        <f t="shared" si="139"/>
        <v>8.1148444087302832E-2</v>
      </c>
      <c r="G381" s="338">
        <f t="shared" si="140"/>
        <v>1</v>
      </c>
      <c r="H381" s="339">
        <f t="shared" si="141"/>
        <v>0</v>
      </c>
      <c r="I381" s="337">
        <f t="shared" si="142"/>
        <v>507530.98474331998</v>
      </c>
      <c r="J381" s="340">
        <f t="shared" si="143"/>
        <v>1.5707943564718423</v>
      </c>
      <c r="K381" s="348">
        <f t="shared" si="159"/>
        <v>50.282252925260565</v>
      </c>
      <c r="L381" s="349">
        <f t="shared" si="160"/>
        <v>1.550907282969832</v>
      </c>
      <c r="M381" s="337">
        <f t="shared" si="144"/>
        <v>1.006466493723877</v>
      </c>
      <c r="N381" s="340">
        <f t="shared" si="145"/>
        <v>0.1134181524075482</v>
      </c>
      <c r="O381" s="341">
        <f t="shared" si="146"/>
        <v>1.0261269527145671</v>
      </c>
      <c r="P381" s="342">
        <f t="shared" si="147"/>
        <v>0.27213205600900442</v>
      </c>
      <c r="Q381" s="343">
        <f t="shared" si="148"/>
        <v>-14.81259573671219</v>
      </c>
      <c r="R381" s="344">
        <f t="shared" si="149"/>
        <v>-106.98063677336387</v>
      </c>
      <c r="S381" s="346">
        <f t="shared" si="150"/>
        <v>73.019363226636131</v>
      </c>
      <c r="U381" s="319">
        <f t="shared" si="156"/>
        <v>32359</v>
      </c>
      <c r="V381" s="319">
        <f t="shared" si="157"/>
        <v>1047104881</v>
      </c>
      <c r="X381" s="345">
        <f t="shared" si="151"/>
        <v>17.570281317498299</v>
      </c>
      <c r="Y381" s="346">
        <f t="shared" si="152"/>
        <v>-7.6378268403831759</v>
      </c>
      <c r="AA381" s="345">
        <f t="shared" si="153"/>
        <v>16.491072930443767</v>
      </c>
      <c r="AB381" s="346">
        <f t="shared" si="154"/>
        <v>-99.342809932980671</v>
      </c>
      <c r="AD381">
        <f t="shared" si="158"/>
        <v>0</v>
      </c>
      <c r="AE381">
        <f t="shared" si="161"/>
        <v>0</v>
      </c>
    </row>
    <row r="382" spans="1:31" x14ac:dyDescent="0.2">
      <c r="A382" s="347">
        <v>32547.5</v>
      </c>
      <c r="B382" s="364">
        <f t="shared" si="155"/>
        <v>32.547499999999999</v>
      </c>
      <c r="C382" s="337">
        <f t="shared" si="136"/>
        <v>36.028722367860652</v>
      </c>
      <c r="D382" s="338">
        <f t="shared" si="137"/>
        <v>1.5430371287256051</v>
      </c>
      <c r="E382" s="338">
        <f t="shared" si="138"/>
        <v>1.0033401064194782</v>
      </c>
      <c r="F382" s="339">
        <f t="shared" si="139"/>
        <v>8.1619065361400012E-2</v>
      </c>
      <c r="G382" s="338">
        <f t="shared" si="140"/>
        <v>1</v>
      </c>
      <c r="H382" s="339">
        <f t="shared" si="141"/>
        <v>0</v>
      </c>
      <c r="I382" s="337">
        <f t="shared" si="142"/>
        <v>510487.49114412797</v>
      </c>
      <c r="J382" s="340">
        <f t="shared" si="143"/>
        <v>1.5707943678830381</v>
      </c>
      <c r="K382" s="348">
        <f t="shared" si="159"/>
        <v>50.575045245490273</v>
      </c>
      <c r="L382" s="349">
        <f t="shared" si="160"/>
        <v>1.5510224409609092</v>
      </c>
      <c r="M382" s="337">
        <f t="shared" si="144"/>
        <v>1.0065418057910329</v>
      </c>
      <c r="N382" s="340">
        <f t="shared" si="145"/>
        <v>0.11407314372145605</v>
      </c>
      <c r="O382" s="341">
        <f t="shared" si="146"/>
        <v>1.0264290812825201</v>
      </c>
      <c r="P382" s="342">
        <f t="shared" si="147"/>
        <v>0.27367534152019168</v>
      </c>
      <c r="Q382" s="343">
        <f t="shared" si="148"/>
        <v>-14.865900928321585</v>
      </c>
      <c r="R382" s="344">
        <f t="shared" si="149"/>
        <v>-107.08228693972679</v>
      </c>
      <c r="S382" s="346">
        <f t="shared" si="150"/>
        <v>72.917713060273215</v>
      </c>
      <c r="U382" s="319">
        <f t="shared" si="156"/>
        <v>32547.5</v>
      </c>
      <c r="V382" s="319">
        <f t="shared" si="157"/>
        <v>1059339756.25</v>
      </c>
      <c r="X382" s="345">
        <f t="shared" si="151"/>
        <v>17.56961155338891</v>
      </c>
      <c r="Y382" s="346">
        <f t="shared" si="152"/>
        <v>-7.6687576652705918</v>
      </c>
      <c r="AA382" s="345">
        <f t="shared" si="153"/>
        <v>16.438437502943763</v>
      </c>
      <c r="AB382" s="346">
        <f t="shared" si="154"/>
        <v>-99.413529274456195</v>
      </c>
      <c r="AD382">
        <f t="shared" si="158"/>
        <v>0</v>
      </c>
      <c r="AE382">
        <f t="shared" si="161"/>
        <v>0</v>
      </c>
    </row>
    <row r="383" spans="1:31" x14ac:dyDescent="0.2">
      <c r="A383" s="347">
        <v>32736</v>
      </c>
      <c r="B383" s="364">
        <f t="shared" si="155"/>
        <v>32.735999999999997</v>
      </c>
      <c r="C383" s="337">
        <f t="shared" si="136"/>
        <v>36.237223705327267</v>
      </c>
      <c r="D383" s="338">
        <f t="shared" si="137"/>
        <v>1.5431968899772543</v>
      </c>
      <c r="E383" s="338">
        <f t="shared" si="138"/>
        <v>1.0033788418111209</v>
      </c>
      <c r="F383" s="339">
        <f t="shared" si="139"/>
        <v>8.2089650403094724E-2</v>
      </c>
      <c r="G383" s="338">
        <f t="shared" si="140"/>
        <v>1</v>
      </c>
      <c r="H383" s="339">
        <f t="shared" si="141"/>
        <v>0</v>
      </c>
      <c r="I383" s="337">
        <f t="shared" si="142"/>
        <v>513443.99754493602</v>
      </c>
      <c r="J383" s="340">
        <f t="shared" si="143"/>
        <v>1.5707943791628183</v>
      </c>
      <c r="K383" s="348">
        <f t="shared" si="159"/>
        <v>50.867838228693053</v>
      </c>
      <c r="L383" s="349">
        <f t="shared" si="160"/>
        <v>1.5511362732650731</v>
      </c>
      <c r="M383" s="337">
        <f t="shared" si="144"/>
        <v>1.0066175496136112</v>
      </c>
      <c r="N383" s="340">
        <f t="shared" si="145"/>
        <v>0.11472803674549219</v>
      </c>
      <c r="O383" s="341">
        <f t="shared" si="146"/>
        <v>1.0267328931958752</v>
      </c>
      <c r="P383" s="342">
        <f t="shared" si="147"/>
        <v>0.27521792409146939</v>
      </c>
      <c r="Q383" s="343">
        <f t="shared" si="148"/>
        <v>-14.91893035957796</v>
      </c>
      <c r="R383" s="344">
        <f t="shared" si="149"/>
        <v>-107.18386266137844</v>
      </c>
      <c r="S383" s="346">
        <f t="shared" si="150"/>
        <v>72.816137338621559</v>
      </c>
      <c r="U383" s="319">
        <f t="shared" si="156"/>
        <v>32736</v>
      </c>
      <c r="V383" s="319">
        <f t="shared" si="157"/>
        <v>1071645696</v>
      </c>
      <c r="X383" s="345">
        <f t="shared" si="151"/>
        <v>17.568938454014202</v>
      </c>
      <c r="Y383" s="346">
        <f t="shared" si="152"/>
        <v>-7.6997588072988128</v>
      </c>
      <c r="AA383" s="345">
        <f t="shared" si="153"/>
        <v>16.386081171062095</v>
      </c>
      <c r="AB383" s="346">
        <f t="shared" si="154"/>
        <v>-99.484103854079606</v>
      </c>
      <c r="AD383">
        <f t="shared" si="158"/>
        <v>0</v>
      </c>
      <c r="AE383">
        <f t="shared" si="161"/>
        <v>0</v>
      </c>
    </row>
    <row r="384" spans="1:31" x14ac:dyDescent="0.2">
      <c r="A384" s="347">
        <v>32924.5</v>
      </c>
      <c r="B384" s="364">
        <f t="shared" si="155"/>
        <v>32.924500000000002</v>
      </c>
      <c r="C384" s="337">
        <f t="shared" si="136"/>
        <v>36.445725957117816</v>
      </c>
      <c r="D384" s="338">
        <f t="shared" si="137"/>
        <v>1.5433548232774998</v>
      </c>
      <c r="E384" s="338">
        <f t="shared" si="138"/>
        <v>1.0034177993841067</v>
      </c>
      <c r="F384" s="339">
        <f t="shared" si="139"/>
        <v>8.2560199008172783E-2</v>
      </c>
      <c r="G384" s="338">
        <f t="shared" si="140"/>
        <v>1</v>
      </c>
      <c r="H384" s="339">
        <f t="shared" si="141"/>
        <v>0</v>
      </c>
      <c r="I384" s="337">
        <f t="shared" si="142"/>
        <v>516400.50394574407</v>
      </c>
      <c r="J384" s="340">
        <f t="shared" si="143"/>
        <v>1.5707943903134403</v>
      </c>
      <c r="K384" s="348">
        <f t="shared" si="159"/>
        <v>51.160631863486302</v>
      </c>
      <c r="L384" s="349">
        <f t="shared" si="160"/>
        <v>1.551248802640171</v>
      </c>
      <c r="M384" s="337">
        <f t="shared" si="144"/>
        <v>1.0066937250941552</v>
      </c>
      <c r="N384" s="340">
        <f t="shared" si="145"/>
        <v>0.11538283094015889</v>
      </c>
      <c r="O384" s="341">
        <f t="shared" si="146"/>
        <v>1.0270383872761313</v>
      </c>
      <c r="P384" s="342">
        <f t="shared" si="147"/>
        <v>0.27675980043332865</v>
      </c>
      <c r="Q384" s="343">
        <f t="shared" si="148"/>
        <v>-14.97168734517401</v>
      </c>
      <c r="R384" s="344">
        <f t="shared" si="149"/>
        <v>-107.2853642552592</v>
      </c>
      <c r="S384" s="346">
        <f t="shared" si="150"/>
        <v>72.714635744740804</v>
      </c>
      <c r="U384" s="319">
        <f t="shared" si="156"/>
        <v>32924.5</v>
      </c>
      <c r="V384" s="319">
        <f t="shared" si="157"/>
        <v>1084022700.25</v>
      </c>
      <c r="X384" s="345">
        <f t="shared" si="151"/>
        <v>17.568262013249914</v>
      </c>
      <c r="Y384" s="346">
        <f t="shared" si="152"/>
        <v>-7.7308289317576202</v>
      </c>
      <c r="AA384" s="345">
        <f t="shared" si="153"/>
        <v>16.334000626230331</v>
      </c>
      <c r="AB384" s="346">
        <f t="shared" si="154"/>
        <v>-99.554535323501597</v>
      </c>
      <c r="AD384">
        <f t="shared" si="158"/>
        <v>0</v>
      </c>
      <c r="AE384">
        <f t="shared" si="161"/>
        <v>0</v>
      </c>
    </row>
    <row r="385" spans="1:31" x14ac:dyDescent="0.2">
      <c r="A385" s="347">
        <v>33113</v>
      </c>
      <c r="B385" s="364">
        <f t="shared" si="155"/>
        <v>33.113</v>
      </c>
      <c r="C385" s="337">
        <f t="shared" si="136"/>
        <v>36.654229107629291</v>
      </c>
      <c r="D385" s="338">
        <f t="shared" si="137"/>
        <v>1.5435109598126369</v>
      </c>
      <c r="E385" s="338">
        <f t="shared" si="138"/>
        <v>1.0034569791125578</v>
      </c>
      <c r="F385" s="339">
        <f t="shared" si="139"/>
        <v>8.3030710972516186E-2</v>
      </c>
      <c r="G385" s="338">
        <f t="shared" si="140"/>
        <v>1</v>
      </c>
      <c r="H385" s="339">
        <f t="shared" si="141"/>
        <v>0</v>
      </c>
      <c r="I385" s="337">
        <f t="shared" si="142"/>
        <v>519357.01034655224</v>
      </c>
      <c r="J385" s="340">
        <f t="shared" si="143"/>
        <v>1.5707944013371093</v>
      </c>
      <c r="K385" s="348">
        <f t="shared" si="159"/>
        <v>51.453426138746451</v>
      </c>
      <c r="L385" s="349">
        <f t="shared" si="160"/>
        <v>1.5513600513261718</v>
      </c>
      <c r="M385" s="337">
        <f t="shared" si="144"/>
        <v>1.0067703321346835</v>
      </c>
      <c r="N385" s="340">
        <f t="shared" si="145"/>
        <v>0.11603752576646029</v>
      </c>
      <c r="O385" s="341">
        <f t="shared" si="146"/>
        <v>1.0273455623397412</v>
      </c>
      <c r="P385" s="342">
        <f t="shared" si="147"/>
        <v>0.27830096726847159</v>
      </c>
      <c r="Q385" s="343">
        <f t="shared" si="148"/>
        <v>-15.024175142624019</v>
      </c>
      <c r="R385" s="344">
        <f t="shared" si="149"/>
        <v>-107.38679202711981</v>
      </c>
      <c r="S385" s="346">
        <f t="shared" si="150"/>
        <v>72.61320797288019</v>
      </c>
      <c r="U385" s="319">
        <f t="shared" si="156"/>
        <v>33113</v>
      </c>
      <c r="V385" s="319">
        <f t="shared" si="157"/>
        <v>1096470769</v>
      </c>
      <c r="X385" s="345">
        <f t="shared" si="151"/>
        <v>17.567582225201843</v>
      </c>
      <c r="Y385" s="346">
        <f t="shared" si="152"/>
        <v>-7.7619667336348037</v>
      </c>
      <c r="AA385" s="345">
        <f t="shared" si="153"/>
        <v>16.282192616828393</v>
      </c>
      <c r="AB385" s="346">
        <f t="shared" si="154"/>
        <v>-99.624825293485003</v>
      </c>
      <c r="AD385">
        <f t="shared" si="158"/>
        <v>0</v>
      </c>
      <c r="AE385">
        <f t="shared" si="161"/>
        <v>0</v>
      </c>
    </row>
    <row r="386" spans="1:31" x14ac:dyDescent="0.2">
      <c r="A386" s="347">
        <v>33305.75</v>
      </c>
      <c r="B386" s="364">
        <f t="shared" si="155"/>
        <v>33.305750000000003</v>
      </c>
      <c r="C386" s="337">
        <f t="shared" si="136"/>
        <v>36.867434171013088</v>
      </c>
      <c r="D386" s="338">
        <f t="shared" si="137"/>
        <v>1.5436687904323159</v>
      </c>
      <c r="E386" s="338">
        <f t="shared" si="138"/>
        <v>1.0034972719016224</v>
      </c>
      <c r="F386" s="339">
        <f t="shared" si="139"/>
        <v>8.3511793195016573E-2</v>
      </c>
      <c r="G386" s="338">
        <f t="shared" si="140"/>
        <v>1</v>
      </c>
      <c r="H386" s="339">
        <f t="shared" si="141"/>
        <v>0</v>
      </c>
      <c r="I386" s="337">
        <f t="shared" si="142"/>
        <v>522380.17537973949</v>
      </c>
      <c r="J386" s="340">
        <f t="shared" si="143"/>
        <v>1.5707944124802899</v>
      </c>
      <c r="K386" s="348">
        <f t="shared" si="159"/>
        <v>51.75282252741092</v>
      </c>
      <c r="L386" s="349">
        <f t="shared" si="160"/>
        <v>1.5514725065880619</v>
      </c>
      <c r="M386" s="337">
        <f t="shared" si="144"/>
        <v>1.0068491125518935</v>
      </c>
      <c r="N386" s="340">
        <f t="shared" si="145"/>
        <v>0.11670687830145188</v>
      </c>
      <c r="O386" s="341">
        <f t="shared" si="146"/>
        <v>1.0276614001235864</v>
      </c>
      <c r="P386" s="342">
        <f t="shared" si="147"/>
        <v>0.27987614481306633</v>
      </c>
      <c r="Q386" s="343">
        <f t="shared" si="148"/>
        <v>-15.077571326825458</v>
      </c>
      <c r="R386" s="344">
        <f t="shared" si="149"/>
        <v>-107.49043060179302</v>
      </c>
      <c r="S386" s="346">
        <f t="shared" si="150"/>
        <v>72.509569398206978</v>
      </c>
      <c r="U386" s="319">
        <f t="shared" si="156"/>
        <v>33305.75</v>
      </c>
      <c r="V386" s="319">
        <f t="shared" si="157"/>
        <v>1109272983.0625</v>
      </c>
      <c r="X386" s="345">
        <f t="shared" si="151"/>
        <v>17.566883643121425</v>
      </c>
      <c r="Y386" s="346">
        <f t="shared" si="152"/>
        <v>-7.7938752354995486</v>
      </c>
      <c r="AA386" s="345">
        <f t="shared" si="153"/>
        <v>16.229495014707371</v>
      </c>
      <c r="AB386" s="346">
        <f t="shared" si="154"/>
        <v>-99.696555366293509</v>
      </c>
      <c r="AD386">
        <f t="shared" si="158"/>
        <v>0</v>
      </c>
      <c r="AE386">
        <f t="shared" si="161"/>
        <v>0</v>
      </c>
    </row>
    <row r="387" spans="1:31" x14ac:dyDescent="0.2">
      <c r="A387" s="347">
        <v>33498.5</v>
      </c>
      <c r="B387" s="364">
        <f t="shared" si="155"/>
        <v>33.4985</v>
      </c>
      <c r="C387" s="337">
        <f t="shared" si="136"/>
        <v>37.080640142222244</v>
      </c>
      <c r="D387" s="338">
        <f t="shared" si="137"/>
        <v>1.5438248060693485</v>
      </c>
      <c r="E387" s="338">
        <f t="shared" si="138"/>
        <v>1.0035377969215193</v>
      </c>
      <c r="F387" s="339">
        <f t="shared" si="139"/>
        <v>8.39928366745675E-2</v>
      </c>
      <c r="G387" s="338">
        <f t="shared" si="140"/>
        <v>1</v>
      </c>
      <c r="H387" s="339">
        <f t="shared" si="141"/>
        <v>0</v>
      </c>
      <c r="I387" s="337">
        <f t="shared" si="142"/>
        <v>525403.34041292674</v>
      </c>
      <c r="J387" s="340">
        <f t="shared" si="143"/>
        <v>1.5707944234952351</v>
      </c>
      <c r="K387" s="348">
        <f t="shared" si="159"/>
        <v>52.052219563022298</v>
      </c>
      <c r="L387" s="349">
        <f t="shared" si="160"/>
        <v>1.5515836681976893</v>
      </c>
      <c r="M387" s="337">
        <f t="shared" si="144"/>
        <v>1.006928343999842</v>
      </c>
      <c r="N387" s="340">
        <f t="shared" si="145"/>
        <v>0.11737612579852401</v>
      </c>
      <c r="O387" s="341">
        <f t="shared" si="146"/>
        <v>1.0279789930266454</v>
      </c>
      <c r="P387" s="342">
        <f t="shared" si="147"/>
        <v>0.28145057360507075</v>
      </c>
      <c r="Q387" s="343">
        <f t="shared" si="148"/>
        <v>-15.13069275905263</v>
      </c>
      <c r="R387" s="344">
        <f t="shared" si="149"/>
        <v>-107.59399260030285</v>
      </c>
      <c r="S387" s="346">
        <f t="shared" si="150"/>
        <v>72.406007399697145</v>
      </c>
      <c r="U387" s="319">
        <f t="shared" si="156"/>
        <v>33498.5</v>
      </c>
      <c r="V387" s="319">
        <f t="shared" si="157"/>
        <v>1122149502.25</v>
      </c>
      <c r="X387" s="345">
        <f t="shared" si="151"/>
        <v>17.566181549356575</v>
      </c>
      <c r="Y387" s="346">
        <f t="shared" si="152"/>
        <v>-7.8258518326023436</v>
      </c>
      <c r="AA387" s="345">
        <f t="shared" si="153"/>
        <v>16.17707567624505</v>
      </c>
      <c r="AB387" s="346">
        <f t="shared" si="154"/>
        <v>-99.768140767700515</v>
      </c>
      <c r="AD387">
        <f t="shared" si="158"/>
        <v>0</v>
      </c>
      <c r="AE387">
        <f t="shared" si="161"/>
        <v>0</v>
      </c>
    </row>
    <row r="388" spans="1:31" x14ac:dyDescent="0.2">
      <c r="A388" s="347">
        <v>33691.25</v>
      </c>
      <c r="B388" s="364">
        <f t="shared" si="155"/>
        <v>33.691249999999997</v>
      </c>
      <c r="C388" s="337">
        <f t="shared" si="136"/>
        <v>37.293847005686864</v>
      </c>
      <c r="D388" s="338">
        <f t="shared" si="137"/>
        <v>1.5439790378445402</v>
      </c>
      <c r="E388" s="338">
        <f t="shared" si="138"/>
        <v>1.0035785541441162</v>
      </c>
      <c r="F388" s="339">
        <f t="shared" si="139"/>
        <v>8.447384119324626E-2</v>
      </c>
      <c r="G388" s="338">
        <f t="shared" si="140"/>
        <v>1</v>
      </c>
      <c r="H388" s="339">
        <f t="shared" si="141"/>
        <v>0</v>
      </c>
      <c r="I388" s="337">
        <f t="shared" si="142"/>
        <v>528426.50544611411</v>
      </c>
      <c r="J388" s="340">
        <f t="shared" si="143"/>
        <v>1.5707944343841456</v>
      </c>
      <c r="K388" s="348">
        <f t="shared" si="159"/>
        <v>52.351617234481004</v>
      </c>
      <c r="L388" s="349">
        <f t="shared" si="160"/>
        <v>1.5516935583473837</v>
      </c>
      <c r="M388" s="337">
        <f t="shared" si="144"/>
        <v>1.0070080263720675</v>
      </c>
      <c r="N388" s="340">
        <f t="shared" si="145"/>
        <v>0.11804526768303945</v>
      </c>
      <c r="O388" s="341">
        <f t="shared" si="146"/>
        <v>1.0282983397673131</v>
      </c>
      <c r="P388" s="342">
        <f t="shared" si="147"/>
        <v>0.28302425018031158</v>
      </c>
      <c r="Q388" s="343">
        <f t="shared" si="148"/>
        <v>-15.183542745007552</v>
      </c>
      <c r="R388" s="344">
        <f t="shared" si="149"/>
        <v>-107.69747831541854</v>
      </c>
      <c r="S388" s="346">
        <f t="shared" si="150"/>
        <v>72.302521684581464</v>
      </c>
      <c r="U388" s="319">
        <f t="shared" si="156"/>
        <v>33691.25</v>
      </c>
      <c r="V388" s="319">
        <f t="shared" si="157"/>
        <v>1135100326.5625</v>
      </c>
      <c r="X388" s="345">
        <f t="shared" si="151"/>
        <v>17.565475938303841</v>
      </c>
      <c r="Y388" s="346">
        <f t="shared" si="152"/>
        <v>-7.857895220618194</v>
      </c>
      <c r="AA388" s="345">
        <f t="shared" si="153"/>
        <v>16.124931301342858</v>
      </c>
      <c r="AB388" s="346">
        <f t="shared" si="154"/>
        <v>-99.839583094800318</v>
      </c>
      <c r="AD388">
        <f t="shared" si="158"/>
        <v>0</v>
      </c>
      <c r="AE388">
        <f t="shared" si="161"/>
        <v>0</v>
      </c>
    </row>
    <row r="389" spans="1:31" x14ac:dyDescent="0.2">
      <c r="A389" s="347">
        <v>33884</v>
      </c>
      <c r="B389" s="364">
        <f t="shared" si="155"/>
        <v>33.884</v>
      </c>
      <c r="C389" s="337">
        <f t="shared" si="136"/>
        <v>37.507054746190995</v>
      </c>
      <c r="D389" s="338">
        <f t="shared" si="137"/>
        <v>1.5441315161714193</v>
      </c>
      <c r="E389" s="338">
        <f t="shared" si="138"/>
        <v>1.003619543541123</v>
      </c>
      <c r="F389" s="339">
        <f t="shared" si="139"/>
        <v>8.4954806533237531E-2</v>
      </c>
      <c r="G389" s="338">
        <f t="shared" si="140"/>
        <v>1</v>
      </c>
      <c r="H389" s="339">
        <f t="shared" si="141"/>
        <v>0</v>
      </c>
      <c r="I389" s="337">
        <f t="shared" si="142"/>
        <v>531449.67047930148</v>
      </c>
      <c r="J389" s="340">
        <f t="shared" si="143"/>
        <v>1.5707944451491727</v>
      </c>
      <c r="K389" s="348">
        <f t="shared" si="159"/>
        <v>52.651015530939887</v>
      </c>
      <c r="L389" s="349">
        <f t="shared" si="160"/>
        <v>1.5518021987248154</v>
      </c>
      <c r="M389" s="337">
        <f t="shared" si="144"/>
        <v>1.0070881595615369</v>
      </c>
      <c r="N389" s="340">
        <f t="shared" si="145"/>
        <v>0.11871430338092062</v>
      </c>
      <c r="O389" s="341">
        <f t="shared" si="146"/>
        <v>1.0286194390585874</v>
      </c>
      <c r="P389" s="342">
        <f t="shared" si="147"/>
        <v>0.28459717108811688</v>
      </c>
      <c r="Q389" s="343">
        <f t="shared" si="148"/>
        <v>-15.23612453336472</v>
      </c>
      <c r="R389" s="344">
        <f t="shared" si="149"/>
        <v>-107.80088802909687</v>
      </c>
      <c r="S389" s="346">
        <f t="shared" si="150"/>
        <v>72.199111970903132</v>
      </c>
      <c r="U389" s="319">
        <f t="shared" si="156"/>
        <v>33884</v>
      </c>
      <c r="V389" s="319">
        <f t="shared" si="157"/>
        <v>1148125456</v>
      </c>
      <c r="X389" s="345">
        <f t="shared" si="151"/>
        <v>17.564766804580049</v>
      </c>
      <c r="Y389" s="346">
        <f t="shared" si="152"/>
        <v>-7.8900041241661327</v>
      </c>
      <c r="AA389" s="345">
        <f t="shared" si="153"/>
        <v>16.073058646709484</v>
      </c>
      <c r="AB389" s="346">
        <f t="shared" si="154"/>
        <v>-99.910883904930756</v>
      </c>
      <c r="AD389">
        <f t="shared" si="158"/>
        <v>0</v>
      </c>
      <c r="AE389">
        <f t="shared" si="161"/>
        <v>0</v>
      </c>
    </row>
    <row r="390" spans="1:31" x14ac:dyDescent="0.2">
      <c r="A390" s="347">
        <v>34081.5</v>
      </c>
      <c r="B390" s="364">
        <f t="shared" si="155"/>
        <v>34.081499999999998</v>
      </c>
      <c r="C390" s="337">
        <f t="shared" si="136"/>
        <v>37.725517527523067</v>
      </c>
      <c r="D390" s="338">
        <f t="shared" si="137"/>
        <v>1.5442859643566706</v>
      </c>
      <c r="E390" s="338">
        <f t="shared" si="138"/>
        <v>1.0036617838504542</v>
      </c>
      <c r="F390" s="339">
        <f t="shared" si="139"/>
        <v>8.544758358968714E-2</v>
      </c>
      <c r="G390" s="338">
        <f t="shared" si="140"/>
        <v>1</v>
      </c>
      <c r="H390" s="339">
        <f t="shared" si="141"/>
        <v>0</v>
      </c>
      <c r="I390" s="337">
        <f t="shared" si="142"/>
        <v>534547.33633691247</v>
      </c>
      <c r="J390" s="340">
        <f t="shared" si="143"/>
        <v>1.570794456053183</v>
      </c>
      <c r="K390" s="348">
        <f t="shared" si="159"/>
        <v>52.957792632741906</v>
      </c>
      <c r="L390" s="349">
        <f t="shared" si="160"/>
        <v>1.5519122421771052</v>
      </c>
      <c r="M390" s="337">
        <f t="shared" si="144"/>
        <v>1.0071707350049137</v>
      </c>
      <c r="N390" s="340">
        <f t="shared" si="145"/>
        <v>0.11939971559600238</v>
      </c>
      <c r="O390" s="341">
        <f t="shared" si="146"/>
        <v>1.0289502678167488</v>
      </c>
      <c r="P390" s="342">
        <f t="shared" si="147"/>
        <v>0.2862080665652057</v>
      </c>
      <c r="Q390" s="343">
        <f t="shared" si="148"/>
        <v>-15.289727257410206</v>
      </c>
      <c r="R390" s="344">
        <f t="shared" si="149"/>
        <v>-107.90676755141008</v>
      </c>
      <c r="S390" s="346">
        <f t="shared" si="150"/>
        <v>72.093232448589916</v>
      </c>
      <c r="U390" s="319">
        <f t="shared" si="156"/>
        <v>34081.5</v>
      </c>
      <c r="V390" s="319">
        <f t="shared" si="157"/>
        <v>1161548642.25</v>
      </c>
      <c r="X390" s="345">
        <f t="shared" si="151"/>
        <v>17.564036536085112</v>
      </c>
      <c r="Y390" s="346">
        <f t="shared" si="152"/>
        <v>-7.9229709507292263</v>
      </c>
      <c r="AA390" s="345">
        <f t="shared" si="153"/>
        <v>16.020186191158935</v>
      </c>
      <c r="AB390" s="346">
        <f t="shared" si="154"/>
        <v>-99.98379660068089</v>
      </c>
      <c r="AD390">
        <f t="shared" si="158"/>
        <v>0</v>
      </c>
      <c r="AE390">
        <f t="shared" si="161"/>
        <v>0</v>
      </c>
    </row>
    <row r="391" spans="1:31" x14ac:dyDescent="0.2">
      <c r="A391" s="347">
        <v>34279</v>
      </c>
      <c r="B391" s="364">
        <f t="shared" si="155"/>
        <v>34.279000000000003</v>
      </c>
      <c r="C391" s="337">
        <f t="shared" si="136"/>
        <v>37.943981198406235</v>
      </c>
      <c r="D391" s="338">
        <f t="shared" si="137"/>
        <v>1.5444386340649139</v>
      </c>
      <c r="E391" s="338">
        <f t="shared" si="138"/>
        <v>1.0037042678576529</v>
      </c>
      <c r="F391" s="339">
        <f t="shared" si="139"/>
        <v>8.5940319050017228E-2</v>
      </c>
      <c r="G391" s="338">
        <f t="shared" si="140"/>
        <v>1</v>
      </c>
      <c r="H391" s="339">
        <f t="shared" si="141"/>
        <v>0</v>
      </c>
      <c r="I391" s="337">
        <f t="shared" si="142"/>
        <v>537645.00219452358</v>
      </c>
      <c r="J391" s="340">
        <f t="shared" si="143"/>
        <v>1.5707944668315454</v>
      </c>
      <c r="K391" s="348">
        <f t="shared" si="159"/>
        <v>53.264570368452482</v>
      </c>
      <c r="L391" s="349">
        <f t="shared" si="160"/>
        <v>1.5520210180383438</v>
      </c>
      <c r="M391" s="337">
        <f t="shared" si="144"/>
        <v>1.0072537835292248</v>
      </c>
      <c r="N391" s="340">
        <f t="shared" si="145"/>
        <v>0.1200850151079003</v>
      </c>
      <c r="O391" s="341">
        <f t="shared" si="146"/>
        <v>1.029282933814194</v>
      </c>
      <c r="P391" s="342">
        <f t="shared" si="147"/>
        <v>0.2878181613803002</v>
      </c>
      <c r="Q391" s="343">
        <f t="shared" si="148"/>
        <v>-15.343055129970672</v>
      </c>
      <c r="R391" s="344">
        <f t="shared" si="149"/>
        <v>-108.01256784622721</v>
      </c>
      <c r="S391" s="346">
        <f t="shared" si="150"/>
        <v>71.987432153772787</v>
      </c>
      <c r="U391" s="319">
        <f t="shared" si="156"/>
        <v>34279</v>
      </c>
      <c r="V391" s="319">
        <f t="shared" si="157"/>
        <v>1175049841</v>
      </c>
      <c r="X391" s="345">
        <f t="shared" si="151"/>
        <v>17.563302558394888</v>
      </c>
      <c r="Y391" s="346">
        <f t="shared" si="152"/>
        <v>-7.9560039402938951</v>
      </c>
      <c r="AA391" s="345">
        <f t="shared" si="153"/>
        <v>15.967592296288695</v>
      </c>
      <c r="AB391" s="346">
        <f t="shared" si="154"/>
        <v>-100.05656390593332</v>
      </c>
      <c r="AD391">
        <f t="shared" si="158"/>
        <v>0</v>
      </c>
      <c r="AE391">
        <f t="shared" si="161"/>
        <v>0</v>
      </c>
    </row>
    <row r="392" spans="1:31" x14ac:dyDescent="0.2">
      <c r="A392" s="347">
        <v>34476.5</v>
      </c>
      <c r="B392" s="364">
        <f t="shared" si="155"/>
        <v>34.476500000000001</v>
      </c>
      <c r="C392" s="337">
        <f t="shared" si="136"/>
        <v>38.162445743563602</v>
      </c>
      <c r="D392" s="338">
        <f t="shared" si="137"/>
        <v>1.5445895558321519</v>
      </c>
      <c r="E392" s="338">
        <f t="shared" si="138"/>
        <v>1.003746995531775</v>
      </c>
      <c r="F392" s="339">
        <f t="shared" si="139"/>
        <v>8.6433012680264029E-2</v>
      </c>
      <c r="G392" s="338">
        <f t="shared" si="140"/>
        <v>1</v>
      </c>
      <c r="H392" s="339">
        <f t="shared" si="141"/>
        <v>0</v>
      </c>
      <c r="I392" s="337">
        <f t="shared" si="142"/>
        <v>540742.66805213469</v>
      </c>
      <c r="J392" s="340">
        <f t="shared" si="143"/>
        <v>1.5707944774864195</v>
      </c>
      <c r="K392" s="348">
        <f t="shared" si="159"/>
        <v>53.571348727181331</v>
      </c>
      <c r="L392" s="349">
        <f t="shared" si="160"/>
        <v>1.5521285480826588</v>
      </c>
      <c r="M392" s="337">
        <f t="shared" si="144"/>
        <v>1.0073373050174621</v>
      </c>
      <c r="N392" s="340">
        <f t="shared" si="145"/>
        <v>0.12077020130088748</v>
      </c>
      <c r="O392" s="341">
        <f t="shared" si="146"/>
        <v>1.0296174356489809</v>
      </c>
      <c r="P392" s="342">
        <f t="shared" si="147"/>
        <v>0.28942745186563268</v>
      </c>
      <c r="Q392" s="343">
        <f t="shared" si="148"/>
        <v>-15.396111467904435</v>
      </c>
      <c r="R392" s="344">
        <f t="shared" si="149"/>
        <v>-108.11828918366943</v>
      </c>
      <c r="S392" s="346">
        <f t="shared" si="150"/>
        <v>71.881710816330568</v>
      </c>
      <c r="U392" s="319">
        <f t="shared" si="156"/>
        <v>34476.5</v>
      </c>
      <c r="V392" s="319">
        <f t="shared" si="157"/>
        <v>1188629052.25</v>
      </c>
      <c r="X392" s="345">
        <f t="shared" si="151"/>
        <v>17.562564866392108</v>
      </c>
      <c r="Y392" s="346">
        <f t="shared" si="152"/>
        <v>-7.9891018101397382</v>
      </c>
      <c r="AA392" s="345">
        <f t="shared" si="153"/>
        <v>15.915273650357715</v>
      </c>
      <c r="AB392" s="346">
        <f t="shared" si="154"/>
        <v>-100.12918737352967</v>
      </c>
      <c r="AD392">
        <f t="shared" si="158"/>
        <v>0</v>
      </c>
      <c r="AE392">
        <f t="shared" si="161"/>
        <v>0</v>
      </c>
    </row>
    <row r="393" spans="1:31" x14ac:dyDescent="0.2">
      <c r="A393" s="347">
        <v>34674</v>
      </c>
      <c r="B393" s="364">
        <f t="shared" si="155"/>
        <v>34.673999999999999</v>
      </c>
      <c r="C393" s="337">
        <f t="shared" si="136"/>
        <v>38.380911148066019</v>
      </c>
      <c r="D393" s="338">
        <f t="shared" si="137"/>
        <v>1.5447387594994626</v>
      </c>
      <c r="E393" s="338">
        <f t="shared" si="138"/>
        <v>1.003789966841705</v>
      </c>
      <c r="F393" s="339">
        <f t="shared" si="139"/>
        <v>8.6925664246584738E-2</v>
      </c>
      <c r="G393" s="338">
        <f t="shared" si="140"/>
        <v>1</v>
      </c>
      <c r="H393" s="339">
        <f t="shared" si="141"/>
        <v>0</v>
      </c>
      <c r="I393" s="337">
        <f t="shared" si="142"/>
        <v>543840.33390974579</v>
      </c>
      <c r="J393" s="340">
        <f t="shared" si="143"/>
        <v>1.5707944880199149</v>
      </c>
      <c r="K393" s="348">
        <f t="shared" si="159"/>
        <v>53.878127698286185</v>
      </c>
      <c r="L393" s="349">
        <f t="shared" si="160"/>
        <v>1.552234853588373</v>
      </c>
      <c r="M393" s="337">
        <f t="shared" si="144"/>
        <v>1.0074212993519911</v>
      </c>
      <c r="N393" s="340">
        <f t="shared" si="145"/>
        <v>0.12145527355986621</v>
      </c>
      <c r="O393" s="341">
        <f t="shared" si="146"/>
        <v>1.0299537719133551</v>
      </c>
      <c r="P393" s="342">
        <f t="shared" si="147"/>
        <v>0.29103593436847902</v>
      </c>
      <c r="Q393" s="343">
        <f t="shared" si="148"/>
        <v>-15.448899530726585</v>
      </c>
      <c r="R393" s="344">
        <f t="shared" si="149"/>
        <v>-108.22393182333734</v>
      </c>
      <c r="S393" s="346">
        <f t="shared" si="150"/>
        <v>71.776068176662662</v>
      </c>
      <c r="U393" s="319">
        <f t="shared" si="156"/>
        <v>34674</v>
      </c>
      <c r="V393" s="319">
        <f t="shared" si="157"/>
        <v>1202286276</v>
      </c>
      <c r="X393" s="345">
        <f t="shared" si="151"/>
        <v>17.561823455172245</v>
      </c>
      <c r="Y393" s="346">
        <f t="shared" si="152"/>
        <v>-8.0222633059870017</v>
      </c>
      <c r="AA393" s="345">
        <f t="shared" si="153"/>
        <v>15.863226998755424</v>
      </c>
      <c r="AB393" s="346">
        <f t="shared" si="154"/>
        <v>-100.20166851735033</v>
      </c>
      <c r="AD393">
        <f t="shared" si="158"/>
        <v>0</v>
      </c>
      <c r="AE393">
        <f t="shared" si="161"/>
        <v>0</v>
      </c>
    </row>
    <row r="394" spans="1:31" x14ac:dyDescent="0.2">
      <c r="A394" s="347">
        <v>34875.75</v>
      </c>
      <c r="B394" s="364">
        <f t="shared" si="155"/>
        <v>34.875749999999996</v>
      </c>
      <c r="C394" s="337">
        <f t="shared" si="136"/>
        <v>38.604078578953136</v>
      </c>
      <c r="D394" s="338">
        <f t="shared" si="137"/>
        <v>1.5448894302495222</v>
      </c>
      <c r="E394" s="338">
        <f t="shared" si="138"/>
        <v>1.0038341143745824</v>
      </c>
      <c r="F394" s="339">
        <f t="shared" si="139"/>
        <v>8.7428873501250295E-2</v>
      </c>
      <c r="G394" s="338">
        <f t="shared" si="140"/>
        <v>1</v>
      </c>
      <c r="H394" s="339">
        <f t="shared" si="141"/>
        <v>0</v>
      </c>
      <c r="I394" s="337">
        <f t="shared" si="142"/>
        <v>547004.65839973616</v>
      </c>
      <c r="J394" s="340">
        <f t="shared" si="143"/>
        <v>1.5707944986569007</v>
      </c>
      <c r="K394" s="348">
        <f t="shared" si="159"/>
        <v>54.191508863656189</v>
      </c>
      <c r="L394" s="349">
        <f t="shared" si="160"/>
        <v>1.5523422039565826</v>
      </c>
      <c r="M394" s="337">
        <f t="shared" si="144"/>
        <v>1.0075075892550873</v>
      </c>
      <c r="N394" s="340">
        <f t="shared" si="145"/>
        <v>0.12215496960312044</v>
      </c>
      <c r="O394" s="341">
        <f t="shared" si="146"/>
        <v>1.0302992383904783</v>
      </c>
      <c r="P394" s="342">
        <f t="shared" si="147"/>
        <v>0.29267819175317672</v>
      </c>
      <c r="Q394" s="343">
        <f t="shared" si="148"/>
        <v>-15.502549873498513</v>
      </c>
      <c r="R394" s="344">
        <f t="shared" si="149"/>
        <v>-108.33176678869543</v>
      </c>
      <c r="S394" s="346">
        <f t="shared" si="150"/>
        <v>71.668233211304567</v>
      </c>
      <c r="U394" s="319">
        <f t="shared" si="156"/>
        <v>34875.75</v>
      </c>
      <c r="V394" s="319">
        <f t="shared" si="157"/>
        <v>1216317938.0625</v>
      </c>
      <c r="X394" s="345">
        <f t="shared" si="151"/>
        <v>17.561062244519817</v>
      </c>
      <c r="Y394" s="346">
        <f t="shared" si="152"/>
        <v>-8.0562028226730504</v>
      </c>
      <c r="AA394" s="345">
        <f t="shared" si="153"/>
        <v>15.810337866635924</v>
      </c>
      <c r="AB394" s="346">
        <f t="shared" si="154"/>
        <v>-100.27556396602236</v>
      </c>
      <c r="AD394">
        <f t="shared" si="158"/>
        <v>0</v>
      </c>
      <c r="AE394">
        <f t="shared" si="161"/>
        <v>0</v>
      </c>
    </row>
    <row r="395" spans="1:31" x14ac:dyDescent="0.2">
      <c r="A395" s="347">
        <v>35077.5</v>
      </c>
      <c r="B395" s="364">
        <f t="shared" si="155"/>
        <v>35.077500000000001</v>
      </c>
      <c r="C395" s="337">
        <f t="shared" si="136"/>
        <v>38.827246876143164</v>
      </c>
      <c r="D395" s="338">
        <f t="shared" si="137"/>
        <v>1.5450383689751703</v>
      </c>
      <c r="E395" s="338">
        <f t="shared" si="138"/>
        <v>1.0038785160754922</v>
      </c>
      <c r="F395" s="339">
        <f t="shared" si="139"/>
        <v>8.7932038369272464E-2</v>
      </c>
      <c r="G395" s="338">
        <f t="shared" si="140"/>
        <v>1</v>
      </c>
      <c r="H395" s="339">
        <f t="shared" si="141"/>
        <v>0</v>
      </c>
      <c r="I395" s="337">
        <f t="shared" si="142"/>
        <v>550168.98288972653</v>
      </c>
      <c r="J395" s="340">
        <f t="shared" si="143"/>
        <v>1.5707945091715281</v>
      </c>
      <c r="K395" s="348">
        <f t="shared" si="159"/>
        <v>54.504890646353296</v>
      </c>
      <c r="L395" s="349">
        <f t="shared" si="160"/>
        <v>1.5524483198808241</v>
      </c>
      <c r="M395" s="337">
        <f t="shared" si="144"/>
        <v>1.0075943723236369</v>
      </c>
      <c r="N395" s="340">
        <f t="shared" si="145"/>
        <v>0.12285454546061687</v>
      </c>
      <c r="O395" s="341">
        <f t="shared" si="146"/>
        <v>1.030646616108793</v>
      </c>
      <c r="P395" s="342">
        <f t="shared" si="147"/>
        <v>0.29431959835020771</v>
      </c>
      <c r="Q395" s="343">
        <f t="shared" si="148"/>
        <v>-15.555926969280536</v>
      </c>
      <c r="R395" s="344">
        <f t="shared" si="149"/>
        <v>-108.43952014827154</v>
      </c>
      <c r="S395" s="346">
        <f t="shared" si="150"/>
        <v>71.560479851728459</v>
      </c>
      <c r="U395" s="319">
        <f t="shared" si="156"/>
        <v>35077.5</v>
      </c>
      <c r="V395" s="319">
        <f t="shared" si="157"/>
        <v>1230431006.25</v>
      </c>
      <c r="X395" s="345">
        <f t="shared" si="151"/>
        <v>17.560297143164401</v>
      </c>
      <c r="Y395" s="346">
        <f t="shared" si="152"/>
        <v>-8.0902061746413096</v>
      </c>
      <c r="AA395" s="345">
        <f t="shared" si="153"/>
        <v>15.757725872209319</v>
      </c>
      <c r="AB395" s="346">
        <f t="shared" si="154"/>
        <v>-100.34931397363022</v>
      </c>
      <c r="AD395">
        <f t="shared" si="158"/>
        <v>0</v>
      </c>
      <c r="AE395">
        <f t="shared" si="161"/>
        <v>0</v>
      </c>
    </row>
    <row r="396" spans="1:31" x14ac:dyDescent="0.2">
      <c r="A396" s="347">
        <v>35279.25</v>
      </c>
      <c r="B396" s="364">
        <f t="shared" si="155"/>
        <v>35.279249999999998</v>
      </c>
      <c r="C396" s="337">
        <f t="shared" si="136"/>
        <v>39.050416024783679</v>
      </c>
      <c r="D396" s="338">
        <f t="shared" si="137"/>
        <v>1.5451856053647706</v>
      </c>
      <c r="E396" s="338">
        <f t="shared" si="138"/>
        <v>1.0039231719107098</v>
      </c>
      <c r="F396" s="339">
        <f t="shared" si="139"/>
        <v>8.8435158601780209E-2</v>
      </c>
      <c r="G396" s="338">
        <f t="shared" si="140"/>
        <v>1</v>
      </c>
      <c r="H396" s="339">
        <f t="shared" si="141"/>
        <v>0</v>
      </c>
      <c r="I396" s="337">
        <f t="shared" si="142"/>
        <v>553333.30737971677</v>
      </c>
      <c r="J396" s="340">
        <f t="shared" si="143"/>
        <v>1.5707945195658961</v>
      </c>
      <c r="K396" s="348">
        <f t="shared" si="159"/>
        <v>54.818273035790206</v>
      </c>
      <c r="L396" s="349">
        <f t="shared" si="160"/>
        <v>1.552553222529711</v>
      </c>
      <c r="M396" s="337">
        <f t="shared" si="144"/>
        <v>1.0076816484302233</v>
      </c>
      <c r="N396" s="340">
        <f t="shared" si="145"/>
        <v>0.12355400047874231</v>
      </c>
      <c r="O396" s="341">
        <f t="shared" si="146"/>
        <v>1.0309959035491343</v>
      </c>
      <c r="P396" s="342">
        <f t="shared" si="147"/>
        <v>0.29596015031480444</v>
      </c>
      <c r="Q396" s="343">
        <f t="shared" si="148"/>
        <v>-15.609034115535831</v>
      </c>
      <c r="R396" s="344">
        <f t="shared" si="149"/>
        <v>-108.54719214685265</v>
      </c>
      <c r="S396" s="346">
        <f t="shared" si="150"/>
        <v>71.452807853147348</v>
      </c>
      <c r="U396" s="319">
        <f t="shared" si="156"/>
        <v>35279.25</v>
      </c>
      <c r="V396" s="319">
        <f t="shared" si="157"/>
        <v>1244625480.5625</v>
      </c>
      <c r="X396" s="345">
        <f t="shared" si="151"/>
        <v>17.559528146522123</v>
      </c>
      <c r="Y396" s="346">
        <f t="shared" si="152"/>
        <v>-8.1242721116905283</v>
      </c>
      <c r="AA396" s="345">
        <f t="shared" si="153"/>
        <v>15.705387722596303</v>
      </c>
      <c r="AB396" s="346">
        <f t="shared" si="154"/>
        <v>-100.42292003516211</v>
      </c>
      <c r="AD396">
        <f t="shared" si="158"/>
        <v>0</v>
      </c>
      <c r="AE396">
        <f t="shared" si="161"/>
        <v>0</v>
      </c>
    </row>
    <row r="397" spans="1:31" x14ac:dyDescent="0.2">
      <c r="A397" s="347">
        <v>35481</v>
      </c>
      <c r="B397" s="364">
        <f t="shared" si="155"/>
        <v>35.481000000000002</v>
      </c>
      <c r="C397" s="337">
        <f t="shared" ref="C397:C460" si="162">SQRT(1+(A397/pole1)^2)</f>
        <v>39.273586010359764</v>
      </c>
      <c r="D397" s="338">
        <f t="shared" ref="D397:D460" si="163">ATAN(A397/pole1)</f>
        <v>1.5453311684321764</v>
      </c>
      <c r="E397" s="338">
        <f t="shared" ref="E397:E460" si="164">SQRT(1+(A397/Zero1)^2)</f>
        <v>1.0039680818463241</v>
      </c>
      <c r="F397" s="339">
        <f t="shared" ref="F397:F460" si="165">ATAN(A397/Zero1)</f>
        <v>8.893823395003711E-2</v>
      </c>
      <c r="G397" s="338">
        <f t="shared" ref="G397:G460" si="166">IF(VIN_nom&gt;Vout, 1, SQRT(1+(A397/z_RHP)^2))</f>
        <v>1</v>
      </c>
      <c r="H397" s="339">
        <f t="shared" ref="H397:H460" si="167">IF(VIN_nom&gt;Vout, 0, -ATAN(A397/z_RHP))</f>
        <v>0</v>
      </c>
      <c r="I397" s="337">
        <f t="shared" ref="I397:I460" si="168">SQRT(1+(A397/Pole2)^2)</f>
        <v>556497.63186970726</v>
      </c>
      <c r="J397" s="340">
        <f t="shared" ref="J397:J460" si="169">ATAN(A397/Pole2)</f>
        <v>1.5707945298420567</v>
      </c>
      <c r="K397" s="348">
        <f t="shared" si="159"/>
        <v>55.131656021620337</v>
      </c>
      <c r="L397" s="349">
        <f t="shared" si="160"/>
        <v>1.5526569325906532</v>
      </c>
      <c r="M397" s="337">
        <f t="shared" ref="M397:M460" si="170">SQRT(1+(A397/pole4)^2)</f>
        <v>1.0077694174467504</v>
      </c>
      <c r="N397" s="340">
        <f t="shared" ref="N397:N460" si="171">ATAN(A397/pole4)</f>
        <v>0.1242533340045823</v>
      </c>
      <c r="O397" s="341">
        <f t="shared" ref="O397:O460" si="172">SQRT((1-(V397/pterm2))^2+(A397/pterm1)^2)</f>
        <v>1.0313470991861606</v>
      </c>
      <c r="P397" s="342">
        <f t="shared" ref="P397:P460" si="173">IF((ATAN((A397/pterm1)/(1-A397^2/pterm2))&gt;0),ATAN((A397/pterm1)/(1-A397^2/pterm2)),PI()+ATAN((A397/pterm1)/(1-A397^2/pterm2)))</f>
        <v>0.2975998438187476</v>
      </c>
      <c r="Q397" s="343">
        <f t="shared" ref="Q397:Q460" si="174">20*LOG10(((E397*K397*G397)/(C397*I397*O397*M397))*Adc)</f>
        <v>-15.661874552765999</v>
      </c>
      <c r="R397" s="344">
        <f t="shared" ref="R397:R460" si="175">((F397+L397+H397)-(D397+J397+P397+N397))*radconv</f>
        <v>-108.65478301912792</v>
      </c>
      <c r="S397" s="346">
        <f t="shared" ref="S397:S460" si="176">IF(R397&gt;0,R397,R397+180)</f>
        <v>71.345216980872081</v>
      </c>
      <c r="U397" s="319">
        <f t="shared" si="156"/>
        <v>35481</v>
      </c>
      <c r="V397" s="319">
        <f t="shared" si="157"/>
        <v>1258901361</v>
      </c>
      <c r="X397" s="345">
        <f t="shared" ref="X397:X460" si="177">20*LOG10((K397/(I397*M397))*AEA)</f>
        <v>17.558755250212283</v>
      </c>
      <c r="Y397" s="346">
        <f t="shared" ref="Y397:Y460" si="178">(L397-(J397+N397))*radconv</f>
        <v>-8.1583994112277605</v>
      </c>
      <c r="AA397" s="345">
        <f t="shared" ref="AA397:AA460" si="179">20*LOG10((E397*G397/(C397*O397))*Acs*Am)</f>
        <v>15.653320181675971</v>
      </c>
      <c r="AB397" s="346">
        <f t="shared" ref="AB397:AB460" si="180">(F397+H397-(D397+P397))*radconv</f>
        <v>-100.49638360790016</v>
      </c>
      <c r="AD397">
        <f t="shared" si="158"/>
        <v>0</v>
      </c>
      <c r="AE397">
        <f t="shared" si="161"/>
        <v>0</v>
      </c>
    </row>
    <row r="398" spans="1:31" x14ac:dyDescent="0.2">
      <c r="A398" s="347">
        <v>35687.75</v>
      </c>
      <c r="B398" s="364">
        <f t="shared" ref="B398:B461" si="181">A398/1000</f>
        <v>35.687750000000001</v>
      </c>
      <c r="C398" s="337">
        <f t="shared" si="162"/>
        <v>39.502287704064251</v>
      </c>
      <c r="D398" s="338">
        <f t="shared" si="163"/>
        <v>1.5454786326293943</v>
      </c>
      <c r="E398" s="338">
        <f t="shared" si="164"/>
        <v>1.0040143683803688</v>
      </c>
      <c r="F398" s="339">
        <f t="shared" si="165"/>
        <v>8.9453730262189737E-2</v>
      </c>
      <c r="G398" s="338">
        <f t="shared" si="166"/>
        <v>1</v>
      </c>
      <c r="H398" s="339">
        <f t="shared" si="167"/>
        <v>0</v>
      </c>
      <c r="I398" s="337">
        <f t="shared" si="168"/>
        <v>559740.37828014349</v>
      </c>
      <c r="J398" s="340">
        <f t="shared" si="169"/>
        <v>1.5707945402523515</v>
      </c>
      <c r="K398" s="348">
        <f t="shared" si="159"/>
        <v>55.452806232369866</v>
      </c>
      <c r="L398" s="349">
        <f t="shared" si="160"/>
        <v>1.5527619967730253</v>
      </c>
      <c r="M398" s="337">
        <f t="shared" si="170"/>
        <v>1.0078598729061512</v>
      </c>
      <c r="N398" s="340">
        <f t="shared" si="171"/>
        <v>0.12496987248803515</v>
      </c>
      <c r="O398" s="341">
        <f t="shared" si="172"/>
        <v>1.0317089766737755</v>
      </c>
      <c r="P398" s="342">
        <f t="shared" si="173"/>
        <v>0.29927927946420624</v>
      </c>
      <c r="Q398" s="343">
        <f t="shared" si="174"/>
        <v>-15.715751167721521</v>
      </c>
      <c r="R398" s="344">
        <f t="shared" si="175"/>
        <v>-108.76495639998998</v>
      </c>
      <c r="S398" s="346">
        <f t="shared" si="176"/>
        <v>71.235043600010016</v>
      </c>
      <c r="U398" s="319">
        <f t="shared" ref="U398:U461" si="182">IF(Q398&lt;0,A398,1000000000)</f>
        <v>35687.75</v>
      </c>
      <c r="V398" s="319">
        <f t="shared" ref="V398:V461" si="183">A398^2</f>
        <v>1273615500.0625</v>
      </c>
      <c r="X398" s="345">
        <f t="shared" si="177"/>
        <v>17.557959148889573</v>
      </c>
      <c r="Y398" s="346">
        <f t="shared" si="178"/>
        <v>-8.1934349044663914</v>
      </c>
      <c r="AA398" s="345">
        <f t="shared" si="179"/>
        <v>15.600239668043159</v>
      </c>
      <c r="AB398" s="346">
        <f t="shared" si="180"/>
        <v>-100.57152149552358</v>
      </c>
      <c r="AD398">
        <f t="shared" ref="AD398:AD461" si="184">SUM((Q399&lt;0)*(Q398&gt;0))*A398</f>
        <v>0</v>
      </c>
      <c r="AE398">
        <f t="shared" si="161"/>
        <v>0</v>
      </c>
    </row>
    <row r="399" spans="1:31" x14ac:dyDescent="0.2">
      <c r="A399" s="347">
        <v>35894.5</v>
      </c>
      <c r="B399" s="364">
        <f t="shared" si="181"/>
        <v>35.894500000000001</v>
      </c>
      <c r="C399" s="337">
        <f t="shared" si="162"/>
        <v>39.730990246883898</v>
      </c>
      <c r="D399" s="338">
        <f t="shared" si="163"/>
        <v>1.5456243991405338</v>
      </c>
      <c r="E399" s="338">
        <f t="shared" si="164"/>
        <v>1.0040609216929848</v>
      </c>
      <c r="F399" s="339">
        <f t="shared" si="165"/>
        <v>8.9969178909303546E-2</v>
      </c>
      <c r="G399" s="338">
        <f t="shared" si="166"/>
        <v>1</v>
      </c>
      <c r="H399" s="339">
        <f t="shared" si="167"/>
        <v>0</v>
      </c>
      <c r="I399" s="337">
        <f t="shared" si="168"/>
        <v>562983.12469057995</v>
      </c>
      <c r="J399" s="340">
        <f t="shared" si="169"/>
        <v>1.5707945505427212</v>
      </c>
      <c r="K399" s="348">
        <f t="shared" si="159"/>
        <v>55.773957048185025</v>
      </c>
      <c r="L399" s="349">
        <f t="shared" si="160"/>
        <v>1.5528658510209403</v>
      </c>
      <c r="M399" s="337">
        <f t="shared" si="170"/>
        <v>1.0079508457353932</v>
      </c>
      <c r="N399" s="340">
        <f t="shared" si="171"/>
        <v>0.12568628199657458</v>
      </c>
      <c r="O399" s="341">
        <f t="shared" si="172"/>
        <v>1.0320728548491485</v>
      </c>
      <c r="P399" s="342">
        <f t="shared" si="173"/>
        <v>0.30095780548421491</v>
      </c>
      <c r="Q399" s="343">
        <f t="shared" si="174"/>
        <v>-15.769354402722904</v>
      </c>
      <c r="R399" s="344">
        <f t="shared" si="175"/>
        <v>-108.87504505145951</v>
      </c>
      <c r="S399" s="346">
        <f t="shared" si="176"/>
        <v>71.124954948540491</v>
      </c>
      <c r="U399" s="319">
        <f t="shared" si="182"/>
        <v>35894.5</v>
      </c>
      <c r="V399" s="319">
        <f t="shared" si="183"/>
        <v>1288415130.25</v>
      </c>
      <c r="X399" s="345">
        <f t="shared" si="177"/>
        <v>17.557158943523461</v>
      </c>
      <c r="Y399" s="346">
        <f t="shared" si="178"/>
        <v>-8.2285323252535516</v>
      </c>
      <c r="AA399" s="345">
        <f t="shared" si="179"/>
        <v>15.547436638407889</v>
      </c>
      <c r="AB399" s="346">
        <f t="shared" si="180"/>
        <v>-100.64651272620597</v>
      </c>
      <c r="AD399">
        <f t="shared" si="184"/>
        <v>0</v>
      </c>
      <c r="AE399">
        <f t="shared" si="161"/>
        <v>0</v>
      </c>
    </row>
    <row r="400" spans="1:31" x14ac:dyDescent="0.2">
      <c r="A400" s="347">
        <v>36101.25</v>
      </c>
      <c r="B400" s="364">
        <f t="shared" si="181"/>
        <v>36.10125</v>
      </c>
      <c r="C400" s="337">
        <f t="shared" si="162"/>
        <v>39.959693624239428</v>
      </c>
      <c r="D400" s="338">
        <f t="shared" si="163"/>
        <v>1.5457684971087098</v>
      </c>
      <c r="E400" s="338">
        <f t="shared" si="164"/>
        <v>1.0041077417470667</v>
      </c>
      <c r="F400" s="339">
        <f t="shared" si="165"/>
        <v>9.0484579624131006E-2</v>
      </c>
      <c r="G400" s="338">
        <f t="shared" si="166"/>
        <v>1</v>
      </c>
      <c r="H400" s="339">
        <f t="shared" si="167"/>
        <v>0</v>
      </c>
      <c r="I400" s="337">
        <f t="shared" si="168"/>
        <v>566225.8711010163</v>
      </c>
      <c r="J400" s="340">
        <f t="shared" si="169"/>
        <v>1.5707945607152258</v>
      </c>
      <c r="K400" s="348">
        <f t="shared" si="159"/>
        <v>56.095108458673593</v>
      </c>
      <c r="L400" s="349">
        <f t="shared" si="160"/>
        <v>1.5529685161132103</v>
      </c>
      <c r="M400" s="337">
        <f t="shared" si="170"/>
        <v>1.0080423357944028</v>
      </c>
      <c r="N400" s="340">
        <f t="shared" si="171"/>
        <v>0.12640256182983567</v>
      </c>
      <c r="O400" s="341">
        <f t="shared" si="172"/>
        <v>1.0324387320507631</v>
      </c>
      <c r="P400" s="342">
        <f t="shared" si="173"/>
        <v>0.30263541781317216</v>
      </c>
      <c r="Q400" s="343">
        <f t="shared" si="174"/>
        <v>-15.822687567382165</v>
      </c>
      <c r="R400" s="344">
        <f t="shared" si="175"/>
        <v>-108.98504919513621</v>
      </c>
      <c r="S400" s="346">
        <f t="shared" si="176"/>
        <v>71.014950804863787</v>
      </c>
      <c r="U400" s="319">
        <f t="shared" si="182"/>
        <v>36101.25</v>
      </c>
      <c r="V400" s="319">
        <f t="shared" si="183"/>
        <v>1303300251.5625</v>
      </c>
      <c r="X400" s="345">
        <f t="shared" si="177"/>
        <v>17.556354630021733</v>
      </c>
      <c r="Y400" s="346">
        <f t="shared" si="178"/>
        <v>-8.2636904430411153</v>
      </c>
      <c r="AA400" s="345">
        <f t="shared" si="179"/>
        <v>15.494907787250359</v>
      </c>
      <c r="AB400" s="346">
        <f t="shared" si="180"/>
        <v>-100.72135875209511</v>
      </c>
      <c r="AD400">
        <f t="shared" si="184"/>
        <v>0</v>
      </c>
      <c r="AE400">
        <f t="shared" si="161"/>
        <v>0</v>
      </c>
    </row>
    <row r="401" spans="1:31" x14ac:dyDescent="0.2">
      <c r="A401" s="347">
        <v>36308</v>
      </c>
      <c r="B401" s="364">
        <f t="shared" si="181"/>
        <v>36.308</v>
      </c>
      <c r="C401" s="337">
        <f t="shared" si="162"/>
        <v>40.188397821883342</v>
      </c>
      <c r="D401" s="338">
        <f t="shared" si="163"/>
        <v>1.5459109550139272</v>
      </c>
      <c r="E401" s="338">
        <f t="shared" si="164"/>
        <v>1.0041548285053028</v>
      </c>
      <c r="F401" s="339">
        <f t="shared" si="165"/>
        <v>9.0999932139576134E-2</v>
      </c>
      <c r="G401" s="338">
        <f t="shared" si="166"/>
        <v>1</v>
      </c>
      <c r="H401" s="339">
        <f t="shared" si="167"/>
        <v>0</v>
      </c>
      <c r="I401" s="337">
        <f t="shared" si="168"/>
        <v>569468.61751145287</v>
      </c>
      <c r="J401" s="340">
        <f t="shared" si="169"/>
        <v>1.5707945707718793</v>
      </c>
      <c r="K401" s="348">
        <f t="shared" si="159"/>
        <v>56.416260453679989</v>
      </c>
      <c r="L401" s="349">
        <f t="shared" si="160"/>
        <v>1.5530700123556118</v>
      </c>
      <c r="M401" s="337">
        <f t="shared" si="170"/>
        <v>1.0081343429423619</v>
      </c>
      <c r="N401" s="340">
        <f t="shared" si="171"/>
        <v>0.12711871128823932</v>
      </c>
      <c r="O401" s="341">
        <f t="shared" si="172"/>
        <v>1.0328066066104646</v>
      </c>
      <c r="P401" s="342">
        <f t="shared" si="173"/>
        <v>0.30431211240390366</v>
      </c>
      <c r="Q401" s="343">
        <f t="shared" si="174"/>
        <v>-15.875753914001745</v>
      </c>
      <c r="R401" s="344">
        <f t="shared" si="175"/>
        <v>-109.09496904281878</v>
      </c>
      <c r="S401" s="346">
        <f t="shared" si="176"/>
        <v>70.905030957181225</v>
      </c>
      <c r="U401" s="319">
        <f t="shared" si="182"/>
        <v>36308</v>
      </c>
      <c r="V401" s="319">
        <f t="shared" si="183"/>
        <v>1318270864</v>
      </c>
      <c r="X401" s="345">
        <f t="shared" si="177"/>
        <v>17.55554620448887</v>
      </c>
      <c r="Y401" s="346">
        <f t="shared" si="178"/>
        <v>-8.2989080544262208</v>
      </c>
      <c r="AA401" s="345">
        <f t="shared" si="179"/>
        <v>15.442649866163642</v>
      </c>
      <c r="AB401" s="346">
        <f t="shared" si="180"/>
        <v>-100.79606098839257</v>
      </c>
      <c r="AD401">
        <f t="shared" si="184"/>
        <v>0</v>
      </c>
      <c r="AE401">
        <f t="shared" si="161"/>
        <v>0</v>
      </c>
    </row>
    <row r="402" spans="1:31" x14ac:dyDescent="0.2">
      <c r="A402" s="347">
        <v>36519.5</v>
      </c>
      <c r="B402" s="364">
        <f t="shared" si="181"/>
        <v>36.519500000000001</v>
      </c>
      <c r="C402" s="337">
        <f t="shared" si="162"/>
        <v>40.422357242846928</v>
      </c>
      <c r="D402" s="338">
        <f t="shared" si="163"/>
        <v>1.5460550178370949</v>
      </c>
      <c r="E402" s="338">
        <f t="shared" si="164"/>
        <v>1.0042032729898629</v>
      </c>
      <c r="F402" s="339">
        <f t="shared" si="165"/>
        <v>9.1527074525063423E-2</v>
      </c>
      <c r="G402" s="338">
        <f t="shared" si="166"/>
        <v>1</v>
      </c>
      <c r="H402" s="339">
        <f t="shared" si="167"/>
        <v>0</v>
      </c>
      <c r="I402" s="337">
        <f t="shared" si="168"/>
        <v>572785.86474631296</v>
      </c>
      <c r="J402" s="340">
        <f t="shared" si="169"/>
        <v>1.5707945809417576</v>
      </c>
      <c r="K402" s="348">
        <f t="shared" si="159"/>
        <v>56.744791384031224</v>
      </c>
      <c r="L402" s="349">
        <f t="shared" si="160"/>
        <v>1.5531726516850197</v>
      </c>
      <c r="M402" s="337">
        <f t="shared" si="170"/>
        <v>1.0082289988160731</v>
      </c>
      <c r="N402" s="340">
        <f t="shared" si="171"/>
        <v>0.12785117836819215</v>
      </c>
      <c r="O402" s="341">
        <f t="shared" si="172"/>
        <v>1.0331849979153871</v>
      </c>
      <c r="P402" s="342">
        <f t="shared" si="173"/>
        <v>0.30602637458607629</v>
      </c>
      <c r="Q402" s="343">
        <f t="shared" si="174"/>
        <v>-15.929766687847049</v>
      </c>
      <c r="R402" s="344">
        <f t="shared" si="175"/>
        <v>-109.20732724344344</v>
      </c>
      <c r="S402" s="346">
        <f t="shared" si="176"/>
        <v>70.792672756556556</v>
      </c>
      <c r="U402" s="319">
        <f t="shared" si="182"/>
        <v>36519.5</v>
      </c>
      <c r="V402" s="319">
        <f t="shared" si="183"/>
        <v>1333673880.25</v>
      </c>
      <c r="X402" s="345">
        <f t="shared" si="177"/>
        <v>17.554714947010307</v>
      </c>
      <c r="Y402" s="346">
        <f t="shared" si="178"/>
        <v>-8.334995109085007</v>
      </c>
      <c r="AA402" s="345">
        <f t="shared" si="179"/>
        <v>15.3894683497969</v>
      </c>
      <c r="AB402" s="346">
        <f t="shared" si="180"/>
        <v>-100.87233213435846</v>
      </c>
      <c r="AD402">
        <f t="shared" si="184"/>
        <v>0</v>
      </c>
      <c r="AE402">
        <f t="shared" si="161"/>
        <v>0</v>
      </c>
    </row>
    <row r="403" spans="1:31" x14ac:dyDescent="0.2">
      <c r="A403" s="347">
        <v>36731</v>
      </c>
      <c r="B403" s="364">
        <f t="shared" si="181"/>
        <v>36.731000000000002</v>
      </c>
      <c r="C403" s="337">
        <f t="shared" si="162"/>
        <v>40.656317493084693</v>
      </c>
      <c r="D403" s="338">
        <f t="shared" si="163"/>
        <v>1.5461974226195578</v>
      </c>
      <c r="E403" s="338">
        <f t="shared" si="164"/>
        <v>1.004251996494552</v>
      </c>
      <c r="F403" s="339">
        <f t="shared" si="165"/>
        <v>9.2054165906051269E-2</v>
      </c>
      <c r="G403" s="338">
        <f t="shared" si="166"/>
        <v>1</v>
      </c>
      <c r="H403" s="339">
        <f t="shared" si="167"/>
        <v>0</v>
      </c>
      <c r="I403" s="337">
        <f t="shared" si="168"/>
        <v>576103.11198117316</v>
      </c>
      <c r="J403" s="340">
        <f t="shared" si="169"/>
        <v>1.5707945909945178</v>
      </c>
      <c r="K403" s="348">
        <f t="shared" si="159"/>
        <v>57.073322905297111</v>
      </c>
      <c r="L403" s="349">
        <f t="shared" si="160"/>
        <v>1.5532741093686744</v>
      </c>
      <c r="M403" s="337">
        <f t="shared" si="170"/>
        <v>1.0083241955110043</v>
      </c>
      <c r="N403" s="340">
        <f t="shared" si="171"/>
        <v>0.12858350753537642</v>
      </c>
      <c r="O403" s="341">
        <f t="shared" si="172"/>
        <v>1.0335654758571444</v>
      </c>
      <c r="P403" s="342">
        <f t="shared" si="173"/>
        <v>0.30773966786762769</v>
      </c>
      <c r="Q403" s="343">
        <f t="shared" si="174"/>
        <v>-15.98350694978385</v>
      </c>
      <c r="R403" s="344">
        <f t="shared" si="175"/>
        <v>-109.31959764854419</v>
      </c>
      <c r="S403" s="346">
        <f t="shared" si="176"/>
        <v>70.680402351455811</v>
      </c>
      <c r="U403" s="319">
        <f t="shared" si="182"/>
        <v>36731</v>
      </c>
      <c r="V403" s="319">
        <f t="shared" si="183"/>
        <v>1349166361</v>
      </c>
      <c r="X403" s="345">
        <f t="shared" si="177"/>
        <v>17.553879378742327</v>
      </c>
      <c r="Y403" s="346">
        <f t="shared" si="178"/>
        <v>-8.3711419585284492</v>
      </c>
      <c r="AA403" s="345">
        <f t="shared" si="179"/>
        <v>15.33656365612808</v>
      </c>
      <c r="AB403" s="346">
        <f t="shared" si="180"/>
        <v>-100.94845569001573</v>
      </c>
      <c r="AD403">
        <f t="shared" si="184"/>
        <v>0</v>
      </c>
      <c r="AE403">
        <f t="shared" si="161"/>
        <v>0</v>
      </c>
    </row>
    <row r="404" spans="1:31" x14ac:dyDescent="0.2">
      <c r="A404" s="347">
        <v>36942.5</v>
      </c>
      <c r="B404" s="364">
        <f t="shared" si="181"/>
        <v>36.942500000000003</v>
      </c>
      <c r="C404" s="337">
        <f t="shared" si="162"/>
        <v>40.890278558362141</v>
      </c>
      <c r="D404" s="338">
        <f t="shared" si="163"/>
        <v>1.5463381978158224</v>
      </c>
      <c r="E404" s="338">
        <f t="shared" si="164"/>
        <v>1.0043009989787601</v>
      </c>
      <c r="F404" s="339">
        <f t="shared" si="165"/>
        <v>9.2581205997105828E-2</v>
      </c>
      <c r="G404" s="338">
        <f t="shared" si="166"/>
        <v>1</v>
      </c>
      <c r="H404" s="339">
        <f t="shared" si="167"/>
        <v>0</v>
      </c>
      <c r="I404" s="337">
        <f t="shared" si="168"/>
        <v>579420.35921603348</v>
      </c>
      <c r="J404" s="340">
        <f t="shared" si="169"/>
        <v>1.5707946009321718</v>
      </c>
      <c r="K404" s="348">
        <f t="shared" si="159"/>
        <v>57.401855007331591</v>
      </c>
      <c r="L404" s="349">
        <f t="shared" si="160"/>
        <v>1.5533744056934593</v>
      </c>
      <c r="M404" s="337">
        <f t="shared" si="170"/>
        <v>1.0084199328739922</v>
      </c>
      <c r="N404" s="340">
        <f t="shared" si="171"/>
        <v>0.12931569804345641</v>
      </c>
      <c r="O404" s="341">
        <f t="shared" si="172"/>
        <v>1.0339480386286684</v>
      </c>
      <c r="P404" s="342">
        <f t="shared" si="173"/>
        <v>0.30945198797611428</v>
      </c>
      <c r="Q404" s="343">
        <f t="shared" si="174"/>
        <v>-16.036978003649971</v>
      </c>
      <c r="R404" s="344">
        <f t="shared" si="175"/>
        <v>-109.43178045500582</v>
      </c>
      <c r="S404" s="346">
        <f t="shared" si="176"/>
        <v>70.568219544994179</v>
      </c>
      <c r="U404" s="319">
        <f t="shared" si="182"/>
        <v>36942.5</v>
      </c>
      <c r="V404" s="319">
        <f t="shared" si="183"/>
        <v>1364748306.25</v>
      </c>
      <c r="X404" s="345">
        <f t="shared" si="177"/>
        <v>17.553039496113698</v>
      </c>
      <c r="Y404" s="346">
        <f t="shared" si="178"/>
        <v>-8.4073473977571247</v>
      </c>
      <c r="AA404" s="345">
        <f t="shared" si="179"/>
        <v>15.283932484890592</v>
      </c>
      <c r="AB404" s="346">
        <f t="shared" si="180"/>
        <v>-101.0244330572487</v>
      </c>
      <c r="AD404">
        <f t="shared" si="184"/>
        <v>0</v>
      </c>
      <c r="AE404">
        <f t="shared" si="161"/>
        <v>0</v>
      </c>
    </row>
    <row r="405" spans="1:31" x14ac:dyDescent="0.2">
      <c r="A405" s="347">
        <v>37154</v>
      </c>
      <c r="B405" s="364">
        <f t="shared" si="181"/>
        <v>37.154000000000003</v>
      </c>
      <c r="C405" s="337">
        <f t="shared" si="162"/>
        <v>41.124240424768686</v>
      </c>
      <c r="D405" s="338">
        <f t="shared" si="163"/>
        <v>1.546477371233129</v>
      </c>
      <c r="E405" s="338">
        <f t="shared" si="164"/>
        <v>1.0043502804016531</v>
      </c>
      <c r="F405" s="339">
        <f t="shared" si="165"/>
        <v>9.3108194512962844E-2</v>
      </c>
      <c r="G405" s="338">
        <f t="shared" si="166"/>
        <v>1</v>
      </c>
      <c r="H405" s="339">
        <f t="shared" si="167"/>
        <v>0</v>
      </c>
      <c r="I405" s="337">
        <f t="shared" si="168"/>
        <v>582737.6064508938</v>
      </c>
      <c r="J405" s="340">
        <f t="shared" si="169"/>
        <v>1.570794610756685</v>
      </c>
      <c r="K405" s="348">
        <f t="shared" si="159"/>
        <v>57.730387680219543</v>
      </c>
      <c r="L405" s="349">
        <f t="shared" si="160"/>
        <v>1.5534735604845571</v>
      </c>
      <c r="M405" s="337">
        <f t="shared" si="170"/>
        <v>1.0085162107510617</v>
      </c>
      <c r="N405" s="340">
        <f t="shared" si="171"/>
        <v>0.13004774914697376</v>
      </c>
      <c r="O405" s="341">
        <f t="shared" si="172"/>
        <v>1.0343326844158165</v>
      </c>
      <c r="P405" s="342">
        <f t="shared" si="173"/>
        <v>0.31116333065945539</v>
      </c>
      <c r="Q405" s="343">
        <f t="shared" si="174"/>
        <v>-16.090183096032614</v>
      </c>
      <c r="R405" s="344">
        <f t="shared" si="175"/>
        <v>-109.54387585028573</v>
      </c>
      <c r="S405" s="346">
        <f t="shared" si="176"/>
        <v>70.45612414971427</v>
      </c>
      <c r="U405" s="319">
        <f t="shared" si="182"/>
        <v>37154</v>
      </c>
      <c r="V405" s="319">
        <f t="shared" si="183"/>
        <v>1380419716</v>
      </c>
      <c r="X405" s="345">
        <f t="shared" si="177"/>
        <v>17.552195295742468</v>
      </c>
      <c r="Y405" s="346">
        <f t="shared" si="178"/>
        <v>-8.4436102482727389</v>
      </c>
      <c r="AA405" s="345">
        <f t="shared" si="179"/>
        <v>15.23157159287917</v>
      </c>
      <c r="AB405" s="346">
        <f t="shared" si="180"/>
        <v>-101.100265602013</v>
      </c>
      <c r="AD405">
        <f t="shared" si="184"/>
        <v>0</v>
      </c>
      <c r="AE405">
        <f t="shared" si="161"/>
        <v>0</v>
      </c>
    </row>
    <row r="406" spans="1:31" x14ac:dyDescent="0.2">
      <c r="A406" s="347">
        <v>37370.25</v>
      </c>
      <c r="B406" s="364">
        <f t="shared" si="181"/>
        <v>37.370249999999999</v>
      </c>
      <c r="C406" s="337">
        <f t="shared" si="162"/>
        <v>41.363457568054713</v>
      </c>
      <c r="D406" s="338">
        <f t="shared" si="163"/>
        <v>1.546618042458481</v>
      </c>
      <c r="E406" s="338">
        <f t="shared" si="164"/>
        <v>1.0044009569808618</v>
      </c>
      <c r="F406" s="339">
        <f t="shared" si="165"/>
        <v>9.3646964845658626E-2</v>
      </c>
      <c r="G406" s="338">
        <f t="shared" si="166"/>
        <v>1</v>
      </c>
      <c r="H406" s="339">
        <f t="shared" si="167"/>
        <v>0</v>
      </c>
      <c r="I406" s="337">
        <f t="shared" si="168"/>
        <v>586129.35451017774</v>
      </c>
      <c r="J406" s="340">
        <f t="shared" si="169"/>
        <v>1.5707946206868637</v>
      </c>
      <c r="K406" s="348">
        <f t="shared" si="159"/>
        <v>58.066299326605218</v>
      </c>
      <c r="L406" s="349">
        <f t="shared" si="160"/>
        <v>1.5535737820604083</v>
      </c>
      <c r="M406" s="337">
        <f t="shared" si="170"/>
        <v>1.0086152095952001</v>
      </c>
      <c r="N406" s="340">
        <f t="shared" si="171"/>
        <v>0.13079609620293928</v>
      </c>
      <c r="O406" s="341">
        <f t="shared" si="172"/>
        <v>1.0347281206362804</v>
      </c>
      <c r="P406" s="342">
        <f t="shared" si="173"/>
        <v>0.3129120927459193</v>
      </c>
      <c r="Q406" s="343">
        <f t="shared" si="174"/>
        <v>-16.144311436883196</v>
      </c>
      <c r="R406" s="344">
        <f t="shared" si="175"/>
        <v>-109.65839856222749</v>
      </c>
      <c r="S406" s="346">
        <f t="shared" si="176"/>
        <v>70.341601437772511</v>
      </c>
      <c r="U406" s="319">
        <f t="shared" si="182"/>
        <v>37370.25</v>
      </c>
      <c r="V406" s="319">
        <f t="shared" si="183"/>
        <v>1396535585.0625</v>
      </c>
      <c r="X406" s="345">
        <f t="shared" si="177"/>
        <v>17.551327668170117</v>
      </c>
      <c r="Y406" s="346">
        <f t="shared" si="178"/>
        <v>-8.4807456718779388</v>
      </c>
      <c r="AA406" s="345">
        <f t="shared" si="179"/>
        <v>15.178310879600938</v>
      </c>
      <c r="AB406" s="346">
        <f t="shared" si="180"/>
        <v>-101.17765289034956</v>
      </c>
      <c r="AD406">
        <f t="shared" si="184"/>
        <v>0</v>
      </c>
      <c r="AE406">
        <f t="shared" si="161"/>
        <v>0</v>
      </c>
    </row>
    <row r="407" spans="1:31" x14ac:dyDescent="0.2">
      <c r="A407" s="347">
        <v>37586.5</v>
      </c>
      <c r="B407" s="364">
        <f t="shared" si="181"/>
        <v>37.586500000000001</v>
      </c>
      <c r="C407" s="337">
        <f t="shared" si="162"/>
        <v>41.602675520444109</v>
      </c>
      <c r="D407" s="338">
        <f t="shared" si="163"/>
        <v>1.5467570959500994</v>
      </c>
      <c r="E407" s="338">
        <f t="shared" si="164"/>
        <v>1.0044519250815553</v>
      </c>
      <c r="F407" s="339">
        <f t="shared" si="165"/>
        <v>9.4185680657931939E-2</v>
      </c>
      <c r="G407" s="338">
        <f t="shared" si="166"/>
        <v>1</v>
      </c>
      <c r="H407" s="339">
        <f t="shared" si="167"/>
        <v>0</v>
      </c>
      <c r="I407" s="337">
        <f t="shared" si="168"/>
        <v>589521.10256946168</v>
      </c>
      <c r="J407" s="340">
        <f t="shared" si="169"/>
        <v>1.570794630502778</v>
      </c>
      <c r="K407" s="348">
        <f t="shared" ref="K407:K470" si="185">SQRT(1+(A407/Zero2)^2)</f>
        <v>58.402211549520729</v>
      </c>
      <c r="L407" s="349">
        <f t="shared" ref="L407:L470" si="186">ATAN(A407/Zero2)</f>
        <v>1.5536728507476048</v>
      </c>
      <c r="M407" s="337">
        <f t="shared" si="170"/>
        <v>1.0087147731763162</v>
      </c>
      <c r="N407" s="340">
        <f t="shared" si="171"/>
        <v>0.13154429594904274</v>
      </c>
      <c r="O407" s="341">
        <f t="shared" si="172"/>
        <v>1.0351257306282693</v>
      </c>
      <c r="P407" s="342">
        <f t="shared" si="173"/>
        <v>0.31465982408603949</v>
      </c>
      <c r="Q407" s="343">
        <f t="shared" si="174"/>
        <v>-16.198168422546239</v>
      </c>
      <c r="R407" s="344">
        <f t="shared" si="175"/>
        <v>-109.77283026010265</v>
      </c>
      <c r="S407" s="346">
        <f t="shared" si="176"/>
        <v>70.227169739897349</v>
      </c>
      <c r="U407" s="319">
        <f t="shared" si="182"/>
        <v>37586.5</v>
      </c>
      <c r="V407" s="319">
        <f t="shared" si="183"/>
        <v>1412744982.25</v>
      </c>
      <c r="X407" s="345">
        <f t="shared" si="177"/>
        <v>17.550455520165723</v>
      </c>
      <c r="Y407" s="346">
        <f t="shared" si="178"/>
        <v>-8.5179387043571264</v>
      </c>
      <c r="AA407" s="345">
        <f t="shared" si="179"/>
        <v>15.125326041942291</v>
      </c>
      <c r="AB407" s="346">
        <f t="shared" si="180"/>
        <v>-101.25489155574552</v>
      </c>
      <c r="AD407">
        <f t="shared" si="184"/>
        <v>0</v>
      </c>
      <c r="AE407">
        <f t="shared" si="161"/>
        <v>0</v>
      </c>
    </row>
    <row r="408" spans="1:31" x14ac:dyDescent="0.2">
      <c r="A408" s="347">
        <v>37802.75</v>
      </c>
      <c r="B408" s="364">
        <f t="shared" si="181"/>
        <v>37.802750000000003</v>
      </c>
      <c r="C408" s="337">
        <f t="shared" si="162"/>
        <v>41.841894268059477</v>
      </c>
      <c r="D408" s="338">
        <f t="shared" si="163"/>
        <v>1.5468945594493133</v>
      </c>
      <c r="E408" s="338">
        <f t="shared" si="164"/>
        <v>1.0045031846593582</v>
      </c>
      <c r="F408" s="339">
        <f t="shared" si="165"/>
        <v>9.4724341645419208E-2</v>
      </c>
      <c r="G408" s="338">
        <f t="shared" si="166"/>
        <v>1</v>
      </c>
      <c r="H408" s="339">
        <f t="shared" si="167"/>
        <v>0</v>
      </c>
      <c r="I408" s="337">
        <f t="shared" si="168"/>
        <v>592912.85062874586</v>
      </c>
      <c r="J408" s="340">
        <f t="shared" si="169"/>
        <v>1.5707946402063888</v>
      </c>
      <c r="K408" s="348">
        <f t="shared" si="185"/>
        <v>58.738124339074872</v>
      </c>
      <c r="L408" s="349">
        <f t="shared" si="186"/>
        <v>1.5537707863236749</v>
      </c>
      <c r="M408" s="337">
        <f t="shared" si="170"/>
        <v>1.0088149013272021</v>
      </c>
      <c r="N408" s="340">
        <f t="shared" si="171"/>
        <v>0.13229234759133562</v>
      </c>
      <c r="O408" s="341">
        <f t="shared" si="172"/>
        <v>1.0355255124300293</v>
      </c>
      <c r="P408" s="342">
        <f t="shared" si="173"/>
        <v>0.31640652020107751</v>
      </c>
      <c r="Q408" s="343">
        <f t="shared" si="174"/>
        <v>-16.251757345977943</v>
      </c>
      <c r="R408" s="344">
        <f t="shared" si="175"/>
        <v>-109.88717111565174</v>
      </c>
      <c r="S408" s="346">
        <f t="shared" si="176"/>
        <v>70.112828884348261</v>
      </c>
      <c r="U408" s="319">
        <f t="shared" si="182"/>
        <v>37802.75</v>
      </c>
      <c r="V408" s="319">
        <f t="shared" si="183"/>
        <v>1429047907.5625</v>
      </c>
      <c r="X408" s="345">
        <f t="shared" si="177"/>
        <v>17.549578848689947</v>
      </c>
      <c r="Y408" s="346">
        <f t="shared" si="178"/>
        <v>-8.5551881671638412</v>
      </c>
      <c r="AA408" s="345">
        <f t="shared" si="179"/>
        <v>15.072613789986365</v>
      </c>
      <c r="AB408" s="346">
        <f t="shared" si="180"/>
        <v>-101.33198294848789</v>
      </c>
      <c r="AD408">
        <f t="shared" si="184"/>
        <v>0</v>
      </c>
      <c r="AE408">
        <f t="shared" si="161"/>
        <v>0</v>
      </c>
    </row>
    <row r="409" spans="1:31" x14ac:dyDescent="0.2">
      <c r="A409" s="347">
        <v>38019</v>
      </c>
      <c r="B409" s="364">
        <f t="shared" si="181"/>
        <v>38.018999999999998</v>
      </c>
      <c r="C409" s="337">
        <f t="shared" si="162"/>
        <v>42.081113797338951</v>
      </c>
      <c r="D409" s="338">
        <f t="shared" si="163"/>
        <v>1.5470304600668883</v>
      </c>
      <c r="E409" s="338">
        <f t="shared" si="164"/>
        <v>1.0045547356696507</v>
      </c>
      <c r="F409" s="339">
        <f t="shared" si="165"/>
        <v>9.5262947503946052E-2</v>
      </c>
      <c r="G409" s="338">
        <f t="shared" si="166"/>
        <v>1</v>
      </c>
      <c r="H409" s="339">
        <f t="shared" si="167"/>
        <v>0</v>
      </c>
      <c r="I409" s="337">
        <f t="shared" si="168"/>
        <v>596304.59868802992</v>
      </c>
      <c r="J409" s="340">
        <f t="shared" si="169"/>
        <v>1.5707946497996124</v>
      </c>
      <c r="K409" s="348">
        <f t="shared" si="185"/>
        <v>59.074037685601425</v>
      </c>
      <c r="L409" s="349">
        <f t="shared" si="186"/>
        <v>1.5538676081163905</v>
      </c>
      <c r="M409" s="337">
        <f t="shared" si="170"/>
        <v>1.0089155938797683</v>
      </c>
      <c r="N409" s="340">
        <f t="shared" si="171"/>
        <v>0.13304025033684669</v>
      </c>
      <c r="O409" s="341">
        <f t="shared" si="172"/>
        <v>1.0359274640722955</v>
      </c>
      <c r="P409" s="342">
        <f t="shared" si="173"/>
        <v>0.31815217663473616</v>
      </c>
      <c r="Q409" s="343">
        <f t="shared" si="174"/>
        <v>-16.305081443055457</v>
      </c>
      <c r="R409" s="344">
        <f t="shared" si="175"/>
        <v>-110.00142129158418</v>
      </c>
      <c r="S409" s="346">
        <f t="shared" si="176"/>
        <v>69.99857870841582</v>
      </c>
      <c r="U409" s="319">
        <f t="shared" si="182"/>
        <v>38019</v>
      </c>
      <c r="V409" s="319">
        <f t="shared" si="183"/>
        <v>1445444361</v>
      </c>
      <c r="X409" s="345">
        <f t="shared" si="177"/>
        <v>17.548697650885401</v>
      </c>
      <c r="Y409" s="346">
        <f t="shared" si="178"/>
        <v>-8.5924929075742309</v>
      </c>
      <c r="AA409" s="345">
        <f t="shared" si="179"/>
        <v>15.020170890713395</v>
      </c>
      <c r="AB409" s="346">
        <f t="shared" si="180"/>
        <v>-101.40892838400995</v>
      </c>
      <c r="AD409">
        <f t="shared" si="184"/>
        <v>0</v>
      </c>
      <c r="AE409">
        <f t="shared" si="161"/>
        <v>0</v>
      </c>
    </row>
    <row r="410" spans="1:31" x14ac:dyDescent="0.2">
      <c r="A410" s="347">
        <v>38240.5</v>
      </c>
      <c r="B410" s="364">
        <f t="shared" si="181"/>
        <v>38.240499999999997</v>
      </c>
      <c r="C410" s="337">
        <f t="shared" si="162"/>
        <v>42.326141764878194</v>
      </c>
      <c r="D410" s="338">
        <f t="shared" si="163"/>
        <v>1.5471680674386985</v>
      </c>
      <c r="E410" s="338">
        <f t="shared" si="164"/>
        <v>1.0046078402917049</v>
      </c>
      <c r="F410" s="339">
        <f t="shared" si="165"/>
        <v>9.5814571872367332E-2</v>
      </c>
      <c r="G410" s="338">
        <f t="shared" si="166"/>
        <v>1</v>
      </c>
      <c r="H410" s="339">
        <f t="shared" si="167"/>
        <v>0</v>
      </c>
      <c r="I410" s="337">
        <f t="shared" si="168"/>
        <v>599778.68976378231</v>
      </c>
      <c r="J410" s="340">
        <f t="shared" si="169"/>
        <v>1.5707946595132525</v>
      </c>
      <c r="K410" s="348">
        <f t="shared" si="185"/>
        <v>59.418106721382536</v>
      </c>
      <c r="L410" s="349">
        <f t="shared" si="186"/>
        <v>1.5539656455646544</v>
      </c>
      <c r="M410" s="337">
        <f t="shared" si="170"/>
        <v>1.0090193159361824</v>
      </c>
      <c r="N410" s="340">
        <f t="shared" si="171"/>
        <v>0.13380615506822222</v>
      </c>
      <c r="O410" s="341">
        <f t="shared" si="172"/>
        <v>1.0363414215094777</v>
      </c>
      <c r="P410" s="342">
        <f t="shared" si="173"/>
        <v>0.31993913068414875</v>
      </c>
      <c r="Q410" s="343">
        <f t="shared" si="174"/>
        <v>-16.359428888390291</v>
      </c>
      <c r="R410" s="344">
        <f t="shared" si="175"/>
        <v>-110.11835132352819</v>
      </c>
      <c r="S410" s="346">
        <f t="shared" si="176"/>
        <v>69.881648676471812</v>
      </c>
      <c r="U410" s="319">
        <f t="shared" si="182"/>
        <v>38240.5</v>
      </c>
      <c r="V410" s="319">
        <f t="shared" si="183"/>
        <v>1462335840.25</v>
      </c>
      <c r="X410" s="345">
        <f t="shared" si="177"/>
        <v>17.547790364544113</v>
      </c>
      <c r="Y410" s="346">
        <f t="shared" si="178"/>
        <v>-8.6307594407656971</v>
      </c>
      <c r="AA410" s="345">
        <f t="shared" si="179"/>
        <v>14.966730731719851</v>
      </c>
      <c r="AB410" s="346">
        <f t="shared" si="180"/>
        <v>-101.48759188276252</v>
      </c>
      <c r="AD410">
        <f t="shared" si="184"/>
        <v>0</v>
      </c>
      <c r="AE410">
        <f t="shared" ref="AE410:AE473" si="187">IF(AD410&gt;0,S410,0)</f>
        <v>0</v>
      </c>
    </row>
    <row r="411" spans="1:31" x14ac:dyDescent="0.2">
      <c r="A411" s="347">
        <v>38462</v>
      </c>
      <c r="B411" s="364">
        <f t="shared" si="181"/>
        <v>38.462000000000003</v>
      </c>
      <c r="C411" s="337">
        <f t="shared" si="162"/>
        <v>42.571170524670123</v>
      </c>
      <c r="D411" s="338">
        <f t="shared" si="163"/>
        <v>1.5473040907474473</v>
      </c>
      <c r="E411" s="338">
        <f t="shared" si="164"/>
        <v>1.0046612505729495</v>
      </c>
      <c r="F411" s="339">
        <f t="shared" si="165"/>
        <v>9.6366137757173176E-2</v>
      </c>
      <c r="G411" s="338">
        <f t="shared" si="166"/>
        <v>1</v>
      </c>
      <c r="H411" s="339">
        <f t="shared" si="167"/>
        <v>0</v>
      </c>
      <c r="I411" s="337">
        <f t="shared" si="168"/>
        <v>603252.78083953471</v>
      </c>
      <c r="J411" s="340">
        <f t="shared" si="169"/>
        <v>1.5707946691150123</v>
      </c>
      <c r="K411" s="348">
        <f t="shared" si="185"/>
        <v>59.762176321675497</v>
      </c>
      <c r="L411" s="349">
        <f t="shared" si="186"/>
        <v>1.5540625541491402</v>
      </c>
      <c r="M411" s="337">
        <f t="shared" si="170"/>
        <v>1.0091236297715971</v>
      </c>
      <c r="N411" s="340">
        <f t="shared" si="171"/>
        <v>0.13457190190446947</v>
      </c>
      <c r="O411" s="341">
        <f t="shared" si="172"/>
        <v>1.0367576512163157</v>
      </c>
      <c r="P411" s="342">
        <f t="shared" si="173"/>
        <v>0.32172498456601445</v>
      </c>
      <c r="Q411" s="343">
        <f t="shared" si="174"/>
        <v>-16.413505186876542</v>
      </c>
      <c r="R411" s="344">
        <f t="shared" si="175"/>
        <v>-110.23518653724679</v>
      </c>
      <c r="S411" s="346">
        <f t="shared" si="176"/>
        <v>69.76481346275321</v>
      </c>
      <c r="U411" s="319">
        <f t="shared" si="182"/>
        <v>38462</v>
      </c>
      <c r="V411" s="319">
        <f t="shared" si="183"/>
        <v>1479325444</v>
      </c>
      <c r="X411" s="345">
        <f t="shared" si="177"/>
        <v>17.54687832392311</v>
      </c>
      <c r="Y411" s="346">
        <f t="shared" si="178"/>
        <v>-8.6690815999526531</v>
      </c>
      <c r="AA411" s="345">
        <f t="shared" si="179"/>
        <v>14.913566473854607</v>
      </c>
      <c r="AB411" s="346">
        <f t="shared" si="180"/>
        <v>-101.56610493729411</v>
      </c>
      <c r="AD411">
        <f t="shared" si="184"/>
        <v>0</v>
      </c>
      <c r="AE411">
        <f t="shared" si="187"/>
        <v>0</v>
      </c>
    </row>
    <row r="412" spans="1:31" x14ac:dyDescent="0.2">
      <c r="A412" s="347">
        <v>38683.5</v>
      </c>
      <c r="B412" s="364">
        <f t="shared" si="181"/>
        <v>38.683500000000002</v>
      </c>
      <c r="C412" s="337">
        <f t="shared" si="162"/>
        <v>42.816200063113016</v>
      </c>
      <c r="D412" s="338">
        <f t="shared" si="163"/>
        <v>1.5474385571839957</v>
      </c>
      <c r="E412" s="338">
        <f t="shared" si="164"/>
        <v>1.0047149664646378</v>
      </c>
      <c r="F412" s="339">
        <f t="shared" si="165"/>
        <v>9.6917644832117206E-2</v>
      </c>
      <c r="G412" s="338">
        <f t="shared" si="166"/>
        <v>1</v>
      </c>
      <c r="H412" s="339">
        <f t="shared" si="167"/>
        <v>0</v>
      </c>
      <c r="I412" s="337">
        <f t="shared" si="168"/>
        <v>606726.87191528711</v>
      </c>
      <c r="J412" s="340">
        <f t="shared" si="169"/>
        <v>1.5707946786068134</v>
      </c>
      <c r="K412" s="348">
        <f t="shared" si="185"/>
        <v>60.106246476785905</v>
      </c>
      <c r="L412" s="349">
        <f t="shared" si="186"/>
        <v>1.5541583532541003</v>
      </c>
      <c r="M412" s="337">
        <f t="shared" si="170"/>
        <v>1.009228535202513</v>
      </c>
      <c r="N412" s="340">
        <f t="shared" si="171"/>
        <v>0.13533748999666914</v>
      </c>
      <c r="O412" s="341">
        <f t="shared" si="172"/>
        <v>1.0371761510524642</v>
      </c>
      <c r="P412" s="342">
        <f t="shared" si="173"/>
        <v>0.32350973356504437</v>
      </c>
      <c r="Q412" s="343">
        <f t="shared" si="174"/>
        <v>-16.467313637939949</v>
      </c>
      <c r="R412" s="344">
        <f t="shared" si="175"/>
        <v>-110.35192708002258</v>
      </c>
      <c r="S412" s="346">
        <f t="shared" si="176"/>
        <v>69.648072919977423</v>
      </c>
      <c r="U412" s="319">
        <f t="shared" si="182"/>
        <v>38683.5</v>
      </c>
      <c r="V412" s="319">
        <f t="shared" si="183"/>
        <v>1496413172.25</v>
      </c>
      <c r="X412" s="345">
        <f t="shared" si="177"/>
        <v>17.545961526508975</v>
      </c>
      <c r="Y412" s="346">
        <f t="shared" si="178"/>
        <v>-8.7074582259698072</v>
      </c>
      <c r="AA412" s="345">
        <f t="shared" si="179"/>
        <v>14.860674820205332</v>
      </c>
      <c r="AB412" s="346">
        <f t="shared" si="180"/>
        <v>-101.64446885405276</v>
      </c>
      <c r="AD412">
        <f t="shared" si="184"/>
        <v>0</v>
      </c>
      <c r="AE412">
        <f t="shared" si="187"/>
        <v>0</v>
      </c>
    </row>
    <row r="413" spans="1:31" x14ac:dyDescent="0.2">
      <c r="A413" s="347">
        <v>38905</v>
      </c>
      <c r="B413" s="364">
        <f t="shared" si="181"/>
        <v>38.905000000000001</v>
      </c>
      <c r="C413" s="337">
        <f t="shared" si="162"/>
        <v>43.0612303669147</v>
      </c>
      <c r="D413" s="338">
        <f t="shared" si="163"/>
        <v>1.5475714933205384</v>
      </c>
      <c r="E413" s="338">
        <f t="shared" si="164"/>
        <v>1.0047689879177553</v>
      </c>
      <c r="F413" s="339">
        <f t="shared" si="165"/>
        <v>9.746909277116568E-2</v>
      </c>
      <c r="G413" s="338">
        <f t="shared" si="166"/>
        <v>1</v>
      </c>
      <c r="H413" s="339">
        <f t="shared" si="167"/>
        <v>0</v>
      </c>
      <c r="I413" s="337">
        <f t="shared" si="168"/>
        <v>610200.9629910395</v>
      </c>
      <c r="J413" s="340">
        <f t="shared" si="169"/>
        <v>1.5707946879905343</v>
      </c>
      <c r="K413" s="348">
        <f t="shared" si="185"/>
        <v>60.450317177240045</v>
      </c>
      <c r="L413" s="349">
        <f t="shared" si="186"/>
        <v>1.5542530618225452</v>
      </c>
      <c r="M413" s="337">
        <f t="shared" si="170"/>
        <v>1.0093340320444673</v>
      </c>
      <c r="N413" s="340">
        <f t="shared" si="171"/>
        <v>0.13610291849699832</v>
      </c>
      <c r="O413" s="341">
        <f t="shared" si="172"/>
        <v>1.0375969188695582</v>
      </c>
      <c r="P413" s="342">
        <f t="shared" si="173"/>
        <v>0.3252933729908421</v>
      </c>
      <c r="Q413" s="343">
        <f t="shared" si="174"/>
        <v>-16.520857483692918</v>
      </c>
      <c r="R413" s="344">
        <f t="shared" si="175"/>
        <v>-110.46857309044708</v>
      </c>
      <c r="S413" s="346">
        <f t="shared" si="176"/>
        <v>69.53142690955292</v>
      </c>
      <c r="U413" s="319">
        <f t="shared" si="182"/>
        <v>38905</v>
      </c>
      <c r="V413" s="319">
        <f t="shared" si="183"/>
        <v>1513599025</v>
      </c>
      <c r="X413" s="345">
        <f t="shared" si="177"/>
        <v>17.545039969964655</v>
      </c>
      <c r="Y413" s="346">
        <f t="shared" si="178"/>
        <v>-8.745888184993607</v>
      </c>
      <c r="AA413" s="345">
        <f t="shared" si="179"/>
        <v>14.808052530996685</v>
      </c>
      <c r="AB413" s="346">
        <f t="shared" si="180"/>
        <v>-101.72268490545349</v>
      </c>
      <c r="AD413">
        <f t="shared" si="184"/>
        <v>0</v>
      </c>
      <c r="AE413">
        <f t="shared" si="187"/>
        <v>0</v>
      </c>
    </row>
    <row r="414" spans="1:31" x14ac:dyDescent="0.2">
      <c r="A414" s="347">
        <v>39131.5</v>
      </c>
      <c r="B414" s="364">
        <f t="shared" si="181"/>
        <v>39.131500000000003</v>
      </c>
      <c r="C414" s="337">
        <f t="shared" si="162"/>
        <v>43.311792606750664</v>
      </c>
      <c r="D414" s="338">
        <f t="shared" si="163"/>
        <v>1.547705874822533</v>
      </c>
      <c r="E414" s="338">
        <f t="shared" si="164"/>
        <v>1.0048245447510213</v>
      </c>
      <c r="F414" s="339">
        <f t="shared" si="165"/>
        <v>9.8032927252180241E-2</v>
      </c>
      <c r="G414" s="338">
        <f t="shared" si="166"/>
        <v>1</v>
      </c>
      <c r="H414" s="339">
        <f t="shared" si="167"/>
        <v>0</v>
      </c>
      <c r="I414" s="337">
        <f t="shared" si="168"/>
        <v>613753.47598723811</v>
      </c>
      <c r="J414" s="340">
        <f t="shared" si="169"/>
        <v>1.5707946974762221</v>
      </c>
      <c r="K414" s="348">
        <f t="shared" si="185"/>
        <v>60.802155264963659</v>
      </c>
      <c r="L414" s="349">
        <f t="shared" si="186"/>
        <v>1.5543487998294094</v>
      </c>
      <c r="M414" s="337">
        <f t="shared" si="170"/>
        <v>1.009442521698698</v>
      </c>
      <c r="N414" s="340">
        <f t="shared" si="171"/>
        <v>0.13688545937453775</v>
      </c>
      <c r="O414" s="341">
        <f t="shared" si="172"/>
        <v>1.0380295279375131</v>
      </c>
      <c r="P414" s="342">
        <f t="shared" si="173"/>
        <v>0.32711612287072506</v>
      </c>
      <c r="Q414" s="343">
        <f t="shared" si="174"/>
        <v>-16.575339681120116</v>
      </c>
      <c r="R414" s="344">
        <f t="shared" si="175"/>
        <v>-110.58775457194841</v>
      </c>
      <c r="S414" s="346">
        <f t="shared" si="176"/>
        <v>69.412245428051591</v>
      </c>
      <c r="U414" s="319">
        <f t="shared" si="182"/>
        <v>39131.5</v>
      </c>
      <c r="V414" s="319">
        <f t="shared" si="183"/>
        <v>1531274292.25</v>
      </c>
      <c r="X414" s="345">
        <f t="shared" si="177"/>
        <v>17.544092687046543</v>
      </c>
      <c r="Y414" s="346">
        <f t="shared" si="178"/>
        <v>-8.7852396343755963</v>
      </c>
      <c r="AA414" s="345">
        <f t="shared" si="179"/>
        <v>14.754517616487595</v>
      </c>
      <c r="AB414" s="346">
        <f t="shared" si="180"/>
        <v>-101.80251493757281</v>
      </c>
      <c r="AD414">
        <f t="shared" si="184"/>
        <v>0</v>
      </c>
      <c r="AE414">
        <f t="shared" si="187"/>
        <v>0</v>
      </c>
    </row>
    <row r="415" spans="1:31" x14ac:dyDescent="0.2">
      <c r="A415" s="347">
        <v>39358</v>
      </c>
      <c r="B415" s="364">
        <f t="shared" si="181"/>
        <v>39.357999999999997</v>
      </c>
      <c r="C415" s="337">
        <f t="shared" si="162"/>
        <v>43.562355619730333</v>
      </c>
      <c r="D415" s="338">
        <f t="shared" si="163"/>
        <v>1.5478387104493425</v>
      </c>
      <c r="E415" s="338">
        <f t="shared" si="164"/>
        <v>1.0048804209919959</v>
      </c>
      <c r="F415" s="339">
        <f t="shared" si="165"/>
        <v>9.8596699208525276E-2</v>
      </c>
      <c r="G415" s="338">
        <f t="shared" si="166"/>
        <v>1</v>
      </c>
      <c r="H415" s="339">
        <f t="shared" si="167"/>
        <v>0</v>
      </c>
      <c r="I415" s="337">
        <f t="shared" si="168"/>
        <v>617305.9889834366</v>
      </c>
      <c r="J415" s="340">
        <f t="shared" si="169"/>
        <v>1.5707947068527321</v>
      </c>
      <c r="K415" s="348">
        <f t="shared" si="185"/>
        <v>61.153993903572967</v>
      </c>
      <c r="L415" s="349">
        <f t="shared" si="186"/>
        <v>1.5544434362139075</v>
      </c>
      <c r="M415" s="337">
        <f t="shared" si="170"/>
        <v>1.0095516293723945</v>
      </c>
      <c r="N415" s="340">
        <f t="shared" si="171"/>
        <v>0.13766783158429066</v>
      </c>
      <c r="O415" s="341">
        <f t="shared" si="172"/>
        <v>1.0384645039649887</v>
      </c>
      <c r="P415" s="342">
        <f t="shared" si="173"/>
        <v>0.32893770267844208</v>
      </c>
      <c r="Q415" s="343">
        <f t="shared" si="174"/>
        <v>-16.629551871261906</v>
      </c>
      <c r="R415" s="344">
        <f t="shared" si="175"/>
        <v>-110.70683747163318</v>
      </c>
      <c r="S415" s="346">
        <f t="shared" si="176"/>
        <v>69.293162528366821</v>
      </c>
      <c r="U415" s="319">
        <f t="shared" si="182"/>
        <v>39358</v>
      </c>
      <c r="V415" s="319">
        <f t="shared" si="183"/>
        <v>1549052164</v>
      </c>
      <c r="X415" s="345">
        <f t="shared" si="177"/>
        <v>17.543140423312561</v>
      </c>
      <c r="Y415" s="346">
        <f t="shared" si="178"/>
        <v>-8.8246445318621358</v>
      </c>
      <c r="AA415" s="345">
        <f t="shared" si="179"/>
        <v>14.701257690079785</v>
      </c>
      <c r="AB415" s="346">
        <f t="shared" si="180"/>
        <v>-101.88219293977106</v>
      </c>
      <c r="AD415">
        <f t="shared" si="184"/>
        <v>0</v>
      </c>
      <c r="AE415">
        <f t="shared" si="187"/>
        <v>0</v>
      </c>
    </row>
    <row r="416" spans="1:31" x14ac:dyDescent="0.2">
      <c r="A416" s="347">
        <v>39584.5</v>
      </c>
      <c r="B416" s="364">
        <f t="shared" si="181"/>
        <v>39.584499999999998</v>
      </c>
      <c r="C416" s="337">
        <f t="shared" si="162"/>
        <v>43.812919392589038</v>
      </c>
      <c r="D416" s="338">
        <f t="shared" si="163"/>
        <v>1.5479700267185739</v>
      </c>
      <c r="E416" s="338">
        <f t="shared" si="164"/>
        <v>1.0049366165873999</v>
      </c>
      <c r="F416" s="339">
        <f t="shared" si="165"/>
        <v>9.9160408292283023E-2</v>
      </c>
      <c r="G416" s="338">
        <f t="shared" si="166"/>
        <v>1</v>
      </c>
      <c r="H416" s="339">
        <f t="shared" si="167"/>
        <v>0</v>
      </c>
      <c r="I416" s="337">
        <f t="shared" si="168"/>
        <v>620858.5019796351</v>
      </c>
      <c r="J416" s="340">
        <f t="shared" si="169"/>
        <v>1.5707947161219384</v>
      </c>
      <c r="K416" s="348">
        <f t="shared" si="185"/>
        <v>61.5058330836141</v>
      </c>
      <c r="L416" s="349">
        <f t="shared" si="186"/>
        <v>1.5545369898795565</v>
      </c>
      <c r="M416" s="337">
        <f t="shared" si="170"/>
        <v>1.0096613548652011</v>
      </c>
      <c r="N416" s="340">
        <f t="shared" si="171"/>
        <v>0.13845003422330371</v>
      </c>
      <c r="O416" s="341">
        <f t="shared" si="172"/>
        <v>1.0389018446292209</v>
      </c>
      <c r="P416" s="342">
        <f t="shared" si="173"/>
        <v>0.3307581074797788</v>
      </c>
      <c r="Q416" s="343">
        <f t="shared" si="174"/>
        <v>-16.683497343196553</v>
      </c>
      <c r="R416" s="344">
        <f t="shared" si="175"/>
        <v>-110.8258219113531</v>
      </c>
      <c r="S416" s="346">
        <f t="shared" si="176"/>
        <v>69.174178088646897</v>
      </c>
      <c r="U416" s="319">
        <f t="shared" si="182"/>
        <v>39584.5</v>
      </c>
      <c r="V416" s="319">
        <f t="shared" si="183"/>
        <v>1566932640.25</v>
      </c>
      <c r="X416" s="345">
        <f t="shared" si="177"/>
        <v>17.542183176801071</v>
      </c>
      <c r="Y416" s="346">
        <f t="shared" si="178"/>
        <v>-8.8641017427333928</v>
      </c>
      <c r="AA416" s="345">
        <f t="shared" si="179"/>
        <v>14.648269464656632</v>
      </c>
      <c r="AB416" s="346">
        <f t="shared" si="180"/>
        <v>-101.96172016861972</v>
      </c>
      <c r="AD416">
        <f t="shared" si="184"/>
        <v>0</v>
      </c>
      <c r="AE416">
        <f t="shared" si="187"/>
        <v>0</v>
      </c>
    </row>
    <row r="417" spans="1:31" x14ac:dyDescent="0.2">
      <c r="A417" s="347">
        <v>39811</v>
      </c>
      <c r="B417" s="364">
        <f t="shared" si="181"/>
        <v>39.811</v>
      </c>
      <c r="C417" s="337">
        <f t="shared" si="162"/>
        <v>44.063483912363793</v>
      </c>
      <c r="D417" s="338">
        <f t="shared" si="163"/>
        <v>1.5480998495448832</v>
      </c>
      <c r="E417" s="338">
        <f t="shared" si="164"/>
        <v>1.004993131483662</v>
      </c>
      <c r="F417" s="339">
        <f t="shared" si="165"/>
        <v>9.9724054155773179E-2</v>
      </c>
      <c r="G417" s="338">
        <f t="shared" si="166"/>
        <v>1</v>
      </c>
      <c r="H417" s="339">
        <f t="shared" si="167"/>
        <v>0</v>
      </c>
      <c r="I417" s="337">
        <f t="shared" si="168"/>
        <v>624411.01497583371</v>
      </c>
      <c r="J417" s="340">
        <f t="shared" si="169"/>
        <v>1.5707947252856727</v>
      </c>
      <c r="K417" s="348">
        <f t="shared" si="185"/>
        <v>61.857672795848252</v>
      </c>
      <c r="L417" s="349">
        <f t="shared" si="186"/>
        <v>1.5546294792998658</v>
      </c>
      <c r="M417" s="337">
        <f t="shared" si="170"/>
        <v>1.0097716979757139</v>
      </c>
      <c r="N417" s="340">
        <f t="shared" si="171"/>
        <v>0.13923206638984489</v>
      </c>
      <c r="O417" s="341">
        <f t="shared" si="172"/>
        <v>1.0393415475989576</v>
      </c>
      <c r="P417" s="342">
        <f t="shared" si="173"/>
        <v>0.33257733236792947</v>
      </c>
      <c r="Q417" s="343">
        <f t="shared" si="174"/>
        <v>-16.737179328836756</v>
      </c>
      <c r="R417" s="344">
        <f t="shared" si="175"/>
        <v>-110.94470800467538</v>
      </c>
      <c r="S417" s="346">
        <f t="shared" si="176"/>
        <v>69.055291995324623</v>
      </c>
      <c r="U417" s="319">
        <f t="shared" si="182"/>
        <v>39811</v>
      </c>
      <c r="V417" s="319">
        <f t="shared" si="183"/>
        <v>1584915721</v>
      </c>
      <c r="X417" s="345">
        <f t="shared" si="177"/>
        <v>17.541220945720507</v>
      </c>
      <c r="Y417" s="346">
        <f t="shared" si="178"/>
        <v>-8.9036101569747821</v>
      </c>
      <c r="AA417" s="345">
        <f t="shared" si="179"/>
        <v>14.595549710096991</v>
      </c>
      <c r="AB417" s="346">
        <f t="shared" si="180"/>
        <v>-102.04109784770063</v>
      </c>
      <c r="AD417">
        <f t="shared" si="184"/>
        <v>0</v>
      </c>
      <c r="AE417">
        <f t="shared" si="187"/>
        <v>0</v>
      </c>
    </row>
    <row r="418" spans="1:31" x14ac:dyDescent="0.2">
      <c r="A418" s="347">
        <v>40042.75</v>
      </c>
      <c r="B418" s="364">
        <f t="shared" si="181"/>
        <v>40.042749999999998</v>
      </c>
      <c r="C418" s="337">
        <f t="shared" si="162"/>
        <v>44.319856978893043</v>
      </c>
      <c r="D418" s="338">
        <f t="shared" si="163"/>
        <v>1.5482311621563811</v>
      </c>
      <c r="E418" s="338">
        <f t="shared" si="164"/>
        <v>1.0050512867598183</v>
      </c>
      <c r="F418" s="339">
        <f t="shared" si="165"/>
        <v>0.10030069886078528</v>
      </c>
      <c r="G418" s="338">
        <f t="shared" si="166"/>
        <v>1</v>
      </c>
      <c r="H418" s="339">
        <f t="shared" si="167"/>
        <v>0</v>
      </c>
      <c r="I418" s="337">
        <f t="shared" si="168"/>
        <v>628045.87098850054</v>
      </c>
      <c r="J418" s="340">
        <f t="shared" si="169"/>
        <v>1.5707947345545108</v>
      </c>
      <c r="K418" s="348">
        <f t="shared" si="185"/>
        <v>62.217668274622632</v>
      </c>
      <c r="L418" s="349">
        <f t="shared" si="186"/>
        <v>1.5547230298117456</v>
      </c>
      <c r="M418" s="337">
        <f t="shared" si="170"/>
        <v>1.0098852377539056</v>
      </c>
      <c r="N418" s="340">
        <f t="shared" si="171"/>
        <v>0.14003204774524439</v>
      </c>
      <c r="O418" s="341">
        <f t="shared" si="172"/>
        <v>1.0397938849922033</v>
      </c>
      <c r="P418" s="342">
        <f t="shared" si="173"/>
        <v>0.3344374983775949</v>
      </c>
      <c r="Q418" s="343">
        <f t="shared" si="174"/>
        <v>-16.791836193277383</v>
      </c>
      <c r="R418" s="344">
        <f t="shared" si="175"/>
        <v>-111.06624805383856</v>
      </c>
      <c r="S418" s="346">
        <f t="shared" si="176"/>
        <v>68.933751946161436</v>
      </c>
      <c r="U418" s="319">
        <f t="shared" si="182"/>
        <v>40042.75</v>
      </c>
      <c r="V418" s="319">
        <f t="shared" si="183"/>
        <v>1603421827.5625</v>
      </c>
      <c r="X418" s="345">
        <f t="shared" si="177"/>
        <v>17.540231250362133</v>
      </c>
      <c r="Y418" s="346">
        <f t="shared" si="178"/>
        <v>-8.9440861939378795</v>
      </c>
      <c r="AA418" s="345">
        <f t="shared" si="179"/>
        <v>14.541882541014736</v>
      </c>
      <c r="AB418" s="346">
        <f t="shared" si="180"/>
        <v>-102.12216185990067</v>
      </c>
      <c r="AD418">
        <f t="shared" si="184"/>
        <v>0</v>
      </c>
      <c r="AE418">
        <f t="shared" si="187"/>
        <v>0</v>
      </c>
    </row>
    <row r="419" spans="1:31" x14ac:dyDescent="0.2">
      <c r="A419" s="347">
        <v>40274.5</v>
      </c>
      <c r="B419" s="364">
        <f t="shared" si="181"/>
        <v>40.274500000000003</v>
      </c>
      <c r="C419" s="337">
        <f t="shared" si="162"/>
        <v>44.576230800839213</v>
      </c>
      <c r="D419" s="338">
        <f t="shared" si="163"/>
        <v>1.5483609643186524</v>
      </c>
      <c r="E419" s="338">
        <f t="shared" si="164"/>
        <v>1.0051097761960019</v>
      </c>
      <c r="F419" s="339">
        <f t="shared" si="165"/>
        <v>0.10087727664518358</v>
      </c>
      <c r="G419" s="338">
        <f t="shared" si="166"/>
        <v>1</v>
      </c>
      <c r="H419" s="339">
        <f t="shared" si="167"/>
        <v>0</v>
      </c>
      <c r="I419" s="337">
        <f t="shared" si="168"/>
        <v>631680.72700116737</v>
      </c>
      <c r="J419" s="340">
        <f t="shared" si="169"/>
        <v>1.570794743716678</v>
      </c>
      <c r="K419" s="348">
        <f t="shared" si="185"/>
        <v>62.577664291642371</v>
      </c>
      <c r="L419" s="349">
        <f t="shared" si="186"/>
        <v>1.5548155039719602</v>
      </c>
      <c r="M419" s="337">
        <f t="shared" si="170"/>
        <v>1.0099994236829746</v>
      </c>
      <c r="N419" s="340">
        <f t="shared" si="171"/>
        <v>0.14083184872790847</v>
      </c>
      <c r="O419" s="341">
        <f t="shared" si="172"/>
        <v>1.0402486905063395</v>
      </c>
      <c r="P419" s="342">
        <f t="shared" si="173"/>
        <v>0.336296418837363</v>
      </c>
      <c r="Q419" s="343">
        <f t="shared" si="174"/>
        <v>-16.846223882912323</v>
      </c>
      <c r="R419" s="344">
        <f t="shared" si="175"/>
        <v>-111.1876853598516</v>
      </c>
      <c r="S419" s="346">
        <f t="shared" si="176"/>
        <v>68.812314640148401</v>
      </c>
      <c r="U419" s="319">
        <f t="shared" si="182"/>
        <v>40274.5</v>
      </c>
      <c r="V419" s="319">
        <f t="shared" si="183"/>
        <v>1622035350.25</v>
      </c>
      <c r="X419" s="345">
        <f t="shared" si="177"/>
        <v>17.539236333412248</v>
      </c>
      <c r="Y419" s="346">
        <f t="shared" si="178"/>
        <v>-8.9846135606004633</v>
      </c>
      <c r="AA419" s="345">
        <f t="shared" si="179"/>
        <v>14.488489768329686</v>
      </c>
      <c r="AB419" s="346">
        <f t="shared" si="180"/>
        <v>-102.20307179925115</v>
      </c>
      <c r="AD419">
        <f t="shared" si="184"/>
        <v>0</v>
      </c>
      <c r="AE419">
        <f t="shared" si="187"/>
        <v>0</v>
      </c>
    </row>
    <row r="420" spans="1:31" x14ac:dyDescent="0.2">
      <c r="A420" s="347">
        <v>40506.25</v>
      </c>
      <c r="B420" s="364">
        <f t="shared" si="181"/>
        <v>40.506250000000001</v>
      </c>
      <c r="C420" s="337">
        <f t="shared" si="162"/>
        <v>44.832605365242848</v>
      </c>
      <c r="D420" s="338">
        <f t="shared" si="163"/>
        <v>1.5484892819397271</v>
      </c>
      <c r="E420" s="338">
        <f t="shared" si="164"/>
        <v>1.0051685997338797</v>
      </c>
      <c r="F420" s="339">
        <f t="shared" si="165"/>
        <v>0.10145378713732642</v>
      </c>
      <c r="G420" s="338">
        <f t="shared" si="166"/>
        <v>1</v>
      </c>
      <c r="H420" s="339">
        <f t="shared" si="167"/>
        <v>0</v>
      </c>
      <c r="I420" s="337">
        <f t="shared" si="168"/>
        <v>635315.58301383432</v>
      </c>
      <c r="J420" s="340">
        <f t="shared" si="169"/>
        <v>1.5707947527740056</v>
      </c>
      <c r="K420" s="348">
        <f t="shared" si="185"/>
        <v>62.937660837671373</v>
      </c>
      <c r="L420" s="349">
        <f t="shared" si="186"/>
        <v>1.554906920248756</v>
      </c>
      <c r="M420" s="337">
        <f t="shared" si="170"/>
        <v>1.0101142555437932</v>
      </c>
      <c r="N420" s="340">
        <f t="shared" si="171"/>
        <v>0.14163146837594487</v>
      </c>
      <c r="O420" s="341">
        <f t="shared" si="172"/>
        <v>1.0407059616170902</v>
      </c>
      <c r="P420" s="342">
        <f t="shared" si="173"/>
        <v>0.33815408858064083</v>
      </c>
      <c r="Q420" s="343">
        <f t="shared" si="174"/>
        <v>-16.900345682142579</v>
      </c>
      <c r="R420" s="344">
        <f t="shared" si="175"/>
        <v>-111.30902001924484</v>
      </c>
      <c r="S420" s="346">
        <f t="shared" si="176"/>
        <v>68.690979980755159</v>
      </c>
      <c r="U420" s="319">
        <f t="shared" si="182"/>
        <v>40506.25</v>
      </c>
      <c r="V420" s="319">
        <f t="shared" si="183"/>
        <v>1640756289.0625</v>
      </c>
      <c r="X420" s="345">
        <f t="shared" si="177"/>
        <v>17.538236193471281</v>
      </c>
      <c r="Y420" s="346">
        <f t="shared" si="178"/>
        <v>-9.0251911438024983</v>
      </c>
      <c r="AA420" s="345">
        <f t="shared" si="179"/>
        <v>14.435368109040397</v>
      </c>
      <c r="AB420" s="346">
        <f t="shared" si="180"/>
        <v>-102.28382887544235</v>
      </c>
      <c r="AD420">
        <f t="shared" si="184"/>
        <v>0</v>
      </c>
      <c r="AE420">
        <f t="shared" si="187"/>
        <v>0</v>
      </c>
    </row>
    <row r="421" spans="1:31" x14ac:dyDescent="0.2">
      <c r="A421" s="347">
        <v>40738</v>
      </c>
      <c r="B421" s="364">
        <f t="shared" si="181"/>
        <v>40.738</v>
      </c>
      <c r="C421" s="337">
        <f t="shared" si="162"/>
        <v>45.088980659439159</v>
      </c>
      <c r="D421" s="338">
        <f t="shared" si="163"/>
        <v>1.5486161403385825</v>
      </c>
      <c r="E421" s="338">
        <f t="shared" si="164"/>
        <v>1.0052277573147992</v>
      </c>
      <c r="F421" s="339">
        <f t="shared" si="165"/>
        <v>0.10203022996583794</v>
      </c>
      <c r="G421" s="338">
        <f t="shared" si="166"/>
        <v>1</v>
      </c>
      <c r="H421" s="339">
        <f t="shared" si="167"/>
        <v>0</v>
      </c>
      <c r="I421" s="337">
        <f t="shared" si="168"/>
        <v>638950.43902650138</v>
      </c>
      <c r="J421" s="340">
        <f t="shared" si="169"/>
        <v>1.5707947617282829</v>
      </c>
      <c r="K421" s="348">
        <f t="shared" si="185"/>
        <v>63.29765790368365</v>
      </c>
      <c r="L421" s="349">
        <f t="shared" si="186"/>
        <v>1.5549972966903085</v>
      </c>
      <c r="M421" s="337">
        <f t="shared" si="170"/>
        <v>1.0102297331160939</v>
      </c>
      <c r="N421" s="340">
        <f t="shared" si="171"/>
        <v>0.142430905728825</v>
      </c>
      <c r="O421" s="341">
        <f t="shared" si="172"/>
        <v>1.0411656957911899</v>
      </c>
      <c r="P421" s="342">
        <f t="shared" si="173"/>
        <v>0.34001050247106446</v>
      </c>
      <c r="Q421" s="343">
        <f t="shared" si="174"/>
        <v>-16.95420481821418</v>
      </c>
      <c r="R421" s="344">
        <f t="shared" si="175"/>
        <v>-111.43025212065908</v>
      </c>
      <c r="S421" s="346">
        <f t="shared" si="176"/>
        <v>68.569747879340923</v>
      </c>
      <c r="U421" s="319">
        <f t="shared" si="182"/>
        <v>40738</v>
      </c>
      <c r="V421" s="319">
        <f t="shared" si="183"/>
        <v>1659584644</v>
      </c>
      <c r="X421" s="345">
        <f t="shared" si="177"/>
        <v>17.537230829304288</v>
      </c>
      <c r="Y421" s="346">
        <f t="shared" si="178"/>
        <v>-9.0658178545279799</v>
      </c>
      <c r="AA421" s="345">
        <f t="shared" si="179"/>
        <v>14.382514337135788</v>
      </c>
      <c r="AB421" s="346">
        <f t="shared" si="180"/>
        <v>-102.36443426613108</v>
      </c>
      <c r="AD421">
        <f t="shared" si="184"/>
        <v>0</v>
      </c>
      <c r="AE421">
        <f t="shared" si="187"/>
        <v>0</v>
      </c>
    </row>
    <row r="422" spans="1:31" x14ac:dyDescent="0.2">
      <c r="A422" s="347">
        <v>40975.25</v>
      </c>
      <c r="B422" s="364">
        <f t="shared" si="181"/>
        <v>40.975250000000003</v>
      </c>
      <c r="C422" s="337">
        <f t="shared" si="162"/>
        <v>45.351441115755122</v>
      </c>
      <c r="D422" s="338">
        <f t="shared" si="163"/>
        <v>1.5487445236548536</v>
      </c>
      <c r="E422" s="338">
        <f t="shared" si="164"/>
        <v>1.0052886648182933</v>
      </c>
      <c r="F422" s="339">
        <f t="shared" si="165"/>
        <v>0.10262028272778859</v>
      </c>
      <c r="G422" s="338">
        <f t="shared" si="166"/>
        <v>1</v>
      </c>
      <c r="H422" s="339">
        <f t="shared" si="167"/>
        <v>0</v>
      </c>
      <c r="I422" s="337">
        <f t="shared" si="168"/>
        <v>642671.5591516589</v>
      </c>
      <c r="J422" s="340">
        <f t="shared" si="169"/>
        <v>1.5707947707901446</v>
      </c>
      <c r="K422" s="348">
        <f t="shared" si="185"/>
        <v>63.666199118816536</v>
      </c>
      <c r="L422" s="349">
        <f t="shared" si="186"/>
        <v>1.5550887592582037</v>
      </c>
      <c r="M422" s="337">
        <f t="shared" si="170"/>
        <v>1.0103486199051006</v>
      </c>
      <c r="N422" s="340">
        <f t="shared" si="171"/>
        <v>0.1432491258675766</v>
      </c>
      <c r="O422" s="341">
        <f t="shared" si="172"/>
        <v>1.0416388893775135</v>
      </c>
      <c r="P422" s="342">
        <f t="shared" si="173"/>
        <v>0.34190966740485818</v>
      </c>
      <c r="Q422" s="343">
        <f t="shared" si="174"/>
        <v>-17.009073387861619</v>
      </c>
      <c r="R422" s="344">
        <f t="shared" si="175"/>
        <v>-111.55425520608451</v>
      </c>
      <c r="S422" s="346">
        <f t="shared" si="176"/>
        <v>68.445744793915495</v>
      </c>
      <c r="U422" s="319">
        <f t="shared" si="182"/>
        <v>40975.25</v>
      </c>
      <c r="V422" s="319">
        <f t="shared" si="183"/>
        <v>1678971112.5625</v>
      </c>
      <c r="X422" s="345">
        <f t="shared" si="177"/>
        <v>17.536196192567328</v>
      </c>
      <c r="Y422" s="346">
        <f t="shared" si="178"/>
        <v>-9.1074585153212482</v>
      </c>
      <c r="AA422" s="345">
        <f t="shared" si="179"/>
        <v>14.328680404225313</v>
      </c>
      <c r="AB422" s="346">
        <f t="shared" si="180"/>
        <v>-102.44679669076324</v>
      </c>
      <c r="AD422">
        <f t="shared" si="184"/>
        <v>0</v>
      </c>
      <c r="AE422">
        <f t="shared" si="187"/>
        <v>0</v>
      </c>
    </row>
    <row r="423" spans="1:31" x14ac:dyDescent="0.2">
      <c r="A423" s="347">
        <v>41212.5</v>
      </c>
      <c r="B423" s="364">
        <f t="shared" si="181"/>
        <v>41.212499999999999</v>
      </c>
      <c r="C423" s="337">
        <f t="shared" si="162"/>
        <v>45.613902310963923</v>
      </c>
      <c r="D423" s="338">
        <f t="shared" si="163"/>
        <v>1.5488714295447401</v>
      </c>
      <c r="E423" s="338">
        <f t="shared" si="164"/>
        <v>1.0053499222828826</v>
      </c>
      <c r="F423" s="339">
        <f t="shared" si="165"/>
        <v>0.10321026378954452</v>
      </c>
      <c r="G423" s="338">
        <f t="shared" si="166"/>
        <v>1</v>
      </c>
      <c r="H423" s="339">
        <f t="shared" si="167"/>
        <v>0</v>
      </c>
      <c r="I423" s="337">
        <f t="shared" si="168"/>
        <v>646392.67927681655</v>
      </c>
      <c r="J423" s="340">
        <f t="shared" si="169"/>
        <v>1.5707947797476727</v>
      </c>
      <c r="K423" s="348">
        <f t="shared" si="185"/>
        <v>64.034740860412242</v>
      </c>
      <c r="L423" s="349">
        <f t="shared" si="186"/>
        <v>1.5551791690303935</v>
      </c>
      <c r="M423" s="337">
        <f t="shared" si="170"/>
        <v>1.0104681829471092</v>
      </c>
      <c r="N423" s="340">
        <f t="shared" si="171"/>
        <v>0.14406715292306177</v>
      </c>
      <c r="O423" s="341">
        <f t="shared" si="172"/>
        <v>1.0421146589222188</v>
      </c>
      <c r="P423" s="342">
        <f t="shared" si="173"/>
        <v>0.34380750537286281</v>
      </c>
      <c r="Q423" s="343">
        <f t="shared" si="174"/>
        <v>-17.06367334590713</v>
      </c>
      <c r="R423" s="344">
        <f t="shared" si="175"/>
        <v>-111.67815097170916</v>
      </c>
      <c r="S423" s="346">
        <f t="shared" si="176"/>
        <v>68.321849028290842</v>
      </c>
      <c r="U423" s="319">
        <f t="shared" si="182"/>
        <v>41212.5</v>
      </c>
      <c r="V423" s="319">
        <f t="shared" si="183"/>
        <v>1698470156.25</v>
      </c>
      <c r="X423" s="345">
        <f t="shared" si="177"/>
        <v>17.5351560785823</v>
      </c>
      <c r="Y423" s="346">
        <f t="shared" si="178"/>
        <v>-9.1491484280310331</v>
      </c>
      <c r="AA423" s="345">
        <f t="shared" si="179"/>
        <v>14.275120560164824</v>
      </c>
      <c r="AB423" s="346">
        <f t="shared" si="180"/>
        <v>-102.52900254367812</v>
      </c>
      <c r="AD423">
        <f t="shared" si="184"/>
        <v>0</v>
      </c>
      <c r="AE423">
        <f t="shared" si="187"/>
        <v>0</v>
      </c>
    </row>
    <row r="424" spans="1:31" x14ac:dyDescent="0.2">
      <c r="A424" s="347">
        <v>41449.75</v>
      </c>
      <c r="B424" s="364">
        <f t="shared" si="181"/>
        <v>41.449750000000002</v>
      </c>
      <c r="C424" s="337">
        <f t="shared" si="162"/>
        <v>45.876364232383843</v>
      </c>
      <c r="D424" s="338">
        <f t="shared" si="163"/>
        <v>1.5489968833615013</v>
      </c>
      <c r="E424" s="338">
        <f t="shared" si="164"/>
        <v>1.0054115296446005</v>
      </c>
      <c r="F424" s="339">
        <f t="shared" si="165"/>
        <v>0.1038001727535306</v>
      </c>
      <c r="G424" s="338">
        <f t="shared" si="166"/>
        <v>1</v>
      </c>
      <c r="H424" s="339">
        <f t="shared" si="167"/>
        <v>0</v>
      </c>
      <c r="I424" s="337">
        <f t="shared" si="168"/>
        <v>650113.79940197407</v>
      </c>
      <c r="J424" s="340">
        <f t="shared" si="169"/>
        <v>1.5707947886026588</v>
      </c>
      <c r="K424" s="348">
        <f t="shared" si="185"/>
        <v>64.403283119432814</v>
      </c>
      <c r="L424" s="349">
        <f t="shared" si="186"/>
        <v>1.5552685440789868</v>
      </c>
      <c r="M424" s="337">
        <f t="shared" si="170"/>
        <v>1.0105884220020966</v>
      </c>
      <c r="N424" s="340">
        <f t="shared" si="171"/>
        <v>0.14488498586921147</v>
      </c>
      <c r="O424" s="341">
        <f t="shared" si="172"/>
        <v>1.0425930016786111</v>
      </c>
      <c r="P424" s="342">
        <f t="shared" si="173"/>
        <v>0.34570401096300168</v>
      </c>
      <c r="Q424" s="343">
        <f t="shared" si="174"/>
        <v>-17.118007977065492</v>
      </c>
      <c r="R424" s="344">
        <f t="shared" si="175"/>
        <v>-111.8019394887157</v>
      </c>
      <c r="S424" s="346">
        <f t="shared" si="176"/>
        <v>68.198060511284297</v>
      </c>
      <c r="U424" s="319">
        <f t="shared" si="182"/>
        <v>41449.75</v>
      </c>
      <c r="V424" s="319">
        <f t="shared" si="183"/>
        <v>1718081775.0625</v>
      </c>
      <c r="X424" s="345">
        <f t="shared" si="177"/>
        <v>17.534110486528405</v>
      </c>
      <c r="Y424" s="346">
        <f t="shared" si="178"/>
        <v>-9.1908864985150096</v>
      </c>
      <c r="AA424" s="345">
        <f t="shared" si="179"/>
        <v>14.221831521060357</v>
      </c>
      <c r="AB424" s="346">
        <f t="shared" si="180"/>
        <v>-102.61105299020069</v>
      </c>
      <c r="AD424">
        <f t="shared" si="184"/>
        <v>0</v>
      </c>
      <c r="AE424">
        <f t="shared" si="187"/>
        <v>0</v>
      </c>
    </row>
    <row r="425" spans="1:31" x14ac:dyDescent="0.2">
      <c r="A425" s="347">
        <v>41687</v>
      </c>
      <c r="B425" s="364">
        <f t="shared" si="181"/>
        <v>41.686999999999998</v>
      </c>
      <c r="C425" s="337">
        <f t="shared" si="162"/>
        <v>46.138826867621653</v>
      </c>
      <c r="D425" s="338">
        <f t="shared" si="163"/>
        <v>1.5491209098816892</v>
      </c>
      <c r="E425" s="338">
        <f t="shared" si="164"/>
        <v>1.0054734868391302</v>
      </c>
      <c r="F425" s="339">
        <f t="shared" si="165"/>
        <v>0.10439000922246952</v>
      </c>
      <c r="G425" s="338">
        <f t="shared" si="166"/>
        <v>1</v>
      </c>
      <c r="H425" s="339">
        <f t="shared" si="167"/>
        <v>0</v>
      </c>
      <c r="I425" s="337">
        <f t="shared" si="168"/>
        <v>653834.91952713183</v>
      </c>
      <c r="J425" s="340">
        <f t="shared" si="169"/>
        <v>1.5707947973568532</v>
      </c>
      <c r="K425" s="348">
        <f t="shared" si="185"/>
        <v>64.771825887046091</v>
      </c>
      <c r="L425" s="349">
        <f t="shared" si="186"/>
        <v>1.5553569020648472</v>
      </c>
      <c r="M425" s="337">
        <f t="shared" si="170"/>
        <v>1.0107093368287972</v>
      </c>
      <c r="N425" s="340">
        <f t="shared" si="171"/>
        <v>0.14570262368148212</v>
      </c>
      <c r="O425" s="341">
        <f t="shared" si="172"/>
        <v>1.0430739148904762</v>
      </c>
      <c r="P425" s="342">
        <f t="shared" si="173"/>
        <v>0.3475991787965837</v>
      </c>
      <c r="Q425" s="343">
        <f t="shared" si="174"/>
        <v>-17.172080508784646</v>
      </c>
      <c r="R425" s="344">
        <f t="shared" si="175"/>
        <v>-111.9256208207873</v>
      </c>
      <c r="S425" s="346">
        <f t="shared" si="176"/>
        <v>68.074379179212698</v>
      </c>
      <c r="U425" s="319">
        <f t="shared" si="182"/>
        <v>41687</v>
      </c>
      <c r="V425" s="319">
        <f t="shared" si="183"/>
        <v>1737805969</v>
      </c>
      <c r="X425" s="345">
        <f t="shared" si="177"/>
        <v>17.533059415744777</v>
      </c>
      <c r="Y425" s="346">
        <f t="shared" si="178"/>
        <v>-9.2326716562784927</v>
      </c>
      <c r="AA425" s="345">
        <f t="shared" si="179"/>
        <v>14.168810060124828</v>
      </c>
      <c r="AB425" s="346">
        <f t="shared" si="180"/>
        <v>-102.69294916450883</v>
      </c>
      <c r="AD425">
        <f t="shared" si="184"/>
        <v>0</v>
      </c>
      <c r="AE425">
        <f t="shared" si="187"/>
        <v>0</v>
      </c>
    </row>
    <row r="426" spans="1:31" x14ac:dyDescent="0.2">
      <c r="A426" s="347">
        <v>41929.75</v>
      </c>
      <c r="B426" s="364">
        <f t="shared" si="181"/>
        <v>41.929749999999999</v>
      </c>
      <c r="C426" s="337">
        <f t="shared" si="162"/>
        <v>46.407374715860691</v>
      </c>
      <c r="D426" s="338">
        <f t="shared" si="163"/>
        <v>1.549246359564511</v>
      </c>
      <c r="E426" s="338">
        <f t="shared" si="164"/>
        <v>1.0055372423680105</v>
      </c>
      <c r="F426" s="339">
        <f t="shared" si="165"/>
        <v>0.10499344400621227</v>
      </c>
      <c r="G426" s="338">
        <f t="shared" si="166"/>
        <v>1</v>
      </c>
      <c r="H426" s="339">
        <f t="shared" si="167"/>
        <v>0</v>
      </c>
      <c r="I426" s="337">
        <f t="shared" si="168"/>
        <v>657642.30376477994</v>
      </c>
      <c r="J426" s="340">
        <f t="shared" si="169"/>
        <v>1.5707948062114514</v>
      </c>
      <c r="K426" s="348">
        <f t="shared" si="185"/>
        <v>65.148912840024622</v>
      </c>
      <c r="L426" s="349">
        <f t="shared" si="186"/>
        <v>1.5554462736908092</v>
      </c>
      <c r="M426" s="337">
        <f t="shared" si="170"/>
        <v>1.0108337539382004</v>
      </c>
      <c r="N426" s="340">
        <f t="shared" si="171"/>
        <v>0.14653901317765863</v>
      </c>
      <c r="O426" s="341">
        <f t="shared" si="172"/>
        <v>1.0435686344203623</v>
      </c>
      <c r="P426" s="342">
        <f t="shared" si="173"/>
        <v>0.34953689076448835</v>
      </c>
      <c r="Q426" s="343">
        <f t="shared" si="174"/>
        <v>-17.227138589681129</v>
      </c>
      <c r="R426" s="344">
        <f t="shared" si="175"/>
        <v>-112.05205848816708</v>
      </c>
      <c r="S426" s="346">
        <f t="shared" si="176"/>
        <v>67.947941511832923</v>
      </c>
      <c r="U426" s="319">
        <f t="shared" si="182"/>
        <v>41929.75</v>
      </c>
      <c r="V426" s="319">
        <f t="shared" si="183"/>
        <v>1758103935.0625</v>
      </c>
      <c r="X426" s="345">
        <f t="shared" si="177"/>
        <v>17.531978307483111</v>
      </c>
      <c r="Y426" s="346">
        <f t="shared" si="178"/>
        <v>-9.2754731348426578</v>
      </c>
      <c r="AA426" s="345">
        <f t="shared" si="179"/>
        <v>14.114833087490013</v>
      </c>
      <c r="AB426" s="346">
        <f t="shared" si="180"/>
        <v>-102.77658535332441</v>
      </c>
      <c r="AD426">
        <f t="shared" si="184"/>
        <v>0</v>
      </c>
      <c r="AE426">
        <f t="shared" si="187"/>
        <v>0</v>
      </c>
    </row>
    <row r="427" spans="1:31" x14ac:dyDescent="0.2">
      <c r="A427" s="347">
        <v>42172.5</v>
      </c>
      <c r="B427" s="364">
        <f t="shared" si="181"/>
        <v>42.172499999999999</v>
      </c>
      <c r="C427" s="337">
        <f t="shared" si="162"/>
        <v>46.675923286037509</v>
      </c>
      <c r="D427" s="338">
        <f t="shared" si="163"/>
        <v>1.5493703657070459</v>
      </c>
      <c r="E427" s="338">
        <f t="shared" si="164"/>
        <v>1.0056013640002186</v>
      </c>
      <c r="F427" s="339">
        <f t="shared" si="165"/>
        <v>0.10559680205424327</v>
      </c>
      <c r="G427" s="338">
        <f t="shared" si="166"/>
        <v>1</v>
      </c>
      <c r="H427" s="339">
        <f t="shared" si="167"/>
        <v>0</v>
      </c>
      <c r="I427" s="337">
        <f t="shared" si="168"/>
        <v>661449.68800242816</v>
      </c>
      <c r="J427" s="340">
        <f t="shared" si="169"/>
        <v>1.5707948149641131</v>
      </c>
      <c r="K427" s="348">
        <f t="shared" si="185"/>
        <v>65.526000307377103</v>
      </c>
      <c r="L427" s="349">
        <f t="shared" si="186"/>
        <v>1.5555346166900572</v>
      </c>
      <c r="M427" s="337">
        <f t="shared" si="170"/>
        <v>1.0109588779993786</v>
      </c>
      <c r="N427" s="340">
        <f t="shared" si="171"/>
        <v>0.14737519622264592</v>
      </c>
      <c r="O427" s="341">
        <f t="shared" si="172"/>
        <v>1.044066039097264</v>
      </c>
      <c r="P427" s="342">
        <f t="shared" si="173"/>
        <v>0.35147319094709939</v>
      </c>
      <c r="Q427" s="343">
        <f t="shared" si="174"/>
        <v>-17.281928936080291</v>
      </c>
      <c r="R427" s="344">
        <f t="shared" si="175"/>
        <v>-112.17838405542126</v>
      </c>
      <c r="S427" s="346">
        <f t="shared" si="176"/>
        <v>67.821615944578738</v>
      </c>
      <c r="U427" s="319">
        <f t="shared" si="182"/>
        <v>42172.5</v>
      </c>
      <c r="V427" s="319">
        <f t="shared" si="183"/>
        <v>1778519756.25</v>
      </c>
      <c r="X427" s="345">
        <f t="shared" si="177"/>
        <v>17.530891462620801</v>
      </c>
      <c r="Y427" s="346">
        <f t="shared" si="178"/>
        <v>-9.3183217147539246</v>
      </c>
      <c r="AA427" s="345">
        <f t="shared" si="179"/>
        <v>14.061129585953164</v>
      </c>
      <c r="AB427" s="346">
        <f t="shared" si="180"/>
        <v>-102.86006234066734</v>
      </c>
      <c r="AD427">
        <f t="shared" si="184"/>
        <v>0</v>
      </c>
      <c r="AE427">
        <f t="shared" si="187"/>
        <v>0</v>
      </c>
    </row>
    <row r="428" spans="1:31" x14ac:dyDescent="0.2">
      <c r="A428" s="347">
        <v>42415.25</v>
      </c>
      <c r="B428" s="364">
        <f t="shared" si="181"/>
        <v>42.41525</v>
      </c>
      <c r="C428" s="337">
        <f t="shared" si="162"/>
        <v>46.944472565762446</v>
      </c>
      <c r="D428" s="338">
        <f t="shared" si="163"/>
        <v>1.5494929530790797</v>
      </c>
      <c r="E428" s="338">
        <f t="shared" si="164"/>
        <v>1.0056658516657264</v>
      </c>
      <c r="F428" s="339">
        <f t="shared" si="165"/>
        <v>0.10620008294198874</v>
      </c>
      <c r="G428" s="338">
        <f t="shared" si="166"/>
        <v>1</v>
      </c>
      <c r="H428" s="339">
        <f t="shared" si="167"/>
        <v>0</v>
      </c>
      <c r="I428" s="337">
        <f t="shared" si="168"/>
        <v>665257.07224007649</v>
      </c>
      <c r="J428" s="340">
        <f t="shared" si="169"/>
        <v>1.570794823616589</v>
      </c>
      <c r="K428" s="348">
        <f t="shared" si="185"/>
        <v>65.903088280274048</v>
      </c>
      <c r="L428" s="349">
        <f t="shared" si="186"/>
        <v>1.5556219487181617</v>
      </c>
      <c r="M428" s="337">
        <f t="shared" si="170"/>
        <v>1.0110847087498716</v>
      </c>
      <c r="N428" s="340">
        <f t="shared" si="171"/>
        <v>0.14821117172398662</v>
      </c>
      <c r="O428" s="341">
        <f t="shared" si="172"/>
        <v>1.0445661259384471</v>
      </c>
      <c r="P428" s="342">
        <f t="shared" si="173"/>
        <v>0.35340807369170957</v>
      </c>
      <c r="Q428" s="343">
        <f t="shared" si="174"/>
        <v>-17.336454827323855</v>
      </c>
      <c r="R428" s="344">
        <f t="shared" si="175"/>
        <v>-112.30459756812157</v>
      </c>
      <c r="S428" s="346">
        <f t="shared" si="176"/>
        <v>67.695402431878435</v>
      </c>
      <c r="U428" s="319">
        <f t="shared" si="182"/>
        <v>42415.25</v>
      </c>
      <c r="V428" s="319">
        <f t="shared" si="183"/>
        <v>1799053432.5625</v>
      </c>
      <c r="X428" s="345">
        <f t="shared" si="177"/>
        <v>17.529798880939275</v>
      </c>
      <c r="Y428" s="346">
        <f t="shared" si="178"/>
        <v>-9.3612163219297386</v>
      </c>
      <c r="AA428" s="345">
        <f t="shared" si="179"/>
        <v>14.007696276391126</v>
      </c>
      <c r="AB428" s="346">
        <f t="shared" si="180"/>
        <v>-102.94338124619182</v>
      </c>
      <c r="AD428">
        <f t="shared" si="184"/>
        <v>0</v>
      </c>
      <c r="AE428">
        <f t="shared" si="187"/>
        <v>0</v>
      </c>
    </row>
    <row r="429" spans="1:31" x14ac:dyDescent="0.2">
      <c r="A429" s="347">
        <v>42658</v>
      </c>
      <c r="B429" s="364">
        <f t="shared" si="181"/>
        <v>42.658000000000001</v>
      </c>
      <c r="C429" s="337">
        <f t="shared" si="162"/>
        <v>47.213022542927703</v>
      </c>
      <c r="D429" s="338">
        <f t="shared" si="163"/>
        <v>1.5496141458870041</v>
      </c>
      <c r="E429" s="338">
        <f t="shared" si="164"/>
        <v>1.0057307052941229</v>
      </c>
      <c r="F429" s="339">
        <f t="shared" si="165"/>
        <v>0.1068032862452082</v>
      </c>
      <c r="G429" s="338">
        <f t="shared" si="166"/>
        <v>1</v>
      </c>
      <c r="H429" s="339">
        <f t="shared" si="167"/>
        <v>0</v>
      </c>
      <c r="I429" s="337">
        <f t="shared" si="168"/>
        <v>669064.45647772483</v>
      </c>
      <c r="J429" s="340">
        <f t="shared" si="169"/>
        <v>1.5707948321705891</v>
      </c>
      <c r="K429" s="348">
        <f t="shared" si="185"/>
        <v>66.280176750086852</v>
      </c>
      <c r="L429" s="349">
        <f t="shared" si="186"/>
        <v>1.5557082870289636</v>
      </c>
      <c r="M429" s="337">
        <f t="shared" si="170"/>
        <v>1.0112112459258671</v>
      </c>
      <c r="N429" s="340">
        <f t="shared" si="171"/>
        <v>0.14904693859092591</v>
      </c>
      <c r="O429" s="341">
        <f t="shared" si="172"/>
        <v>1.0450688919511435</v>
      </c>
      <c r="P429" s="342">
        <f t="shared" si="173"/>
        <v>0.35534153338237517</v>
      </c>
      <c r="Q429" s="343">
        <f t="shared" si="174"/>
        <v>-17.390719485499432</v>
      </c>
      <c r="R429" s="344">
        <f t="shared" si="175"/>
        <v>-112.43069906475944</v>
      </c>
      <c r="S429" s="346">
        <f t="shared" si="176"/>
        <v>67.569300935240562</v>
      </c>
      <c r="U429" s="319">
        <f t="shared" si="182"/>
        <v>42658</v>
      </c>
      <c r="V429" s="319">
        <f t="shared" si="183"/>
        <v>1819704964</v>
      </c>
      <c r="X429" s="345">
        <f t="shared" si="177"/>
        <v>17.528700562375285</v>
      </c>
      <c r="Y429" s="346">
        <f t="shared" si="178"/>
        <v>-9.4041559054001649</v>
      </c>
      <c r="AA429" s="345">
        <f t="shared" si="179"/>
        <v>13.954529936779538</v>
      </c>
      <c r="AB429" s="346">
        <f t="shared" si="180"/>
        <v>-103.02654315935924</v>
      </c>
      <c r="AD429">
        <f t="shared" si="184"/>
        <v>0</v>
      </c>
      <c r="AE429">
        <f t="shared" si="187"/>
        <v>0</v>
      </c>
    </row>
    <row r="430" spans="1:31" x14ac:dyDescent="0.2">
      <c r="A430" s="347">
        <v>42906.5</v>
      </c>
      <c r="B430" s="364">
        <f t="shared" si="181"/>
        <v>42.906500000000001</v>
      </c>
      <c r="C430" s="337">
        <f t="shared" si="162"/>
        <v>47.487934352169617</v>
      </c>
      <c r="D430" s="338">
        <f t="shared" si="163"/>
        <v>1.5497367895709855</v>
      </c>
      <c r="E430" s="338">
        <f t="shared" si="164"/>
        <v>1.0057974740997198</v>
      </c>
      <c r="F430" s="339">
        <f t="shared" si="165"/>
        <v>0.10742069677178741</v>
      </c>
      <c r="G430" s="338">
        <f t="shared" si="166"/>
        <v>1</v>
      </c>
      <c r="H430" s="339">
        <f t="shared" si="167"/>
        <v>0</v>
      </c>
      <c r="I430" s="337">
        <f t="shared" si="168"/>
        <v>672962.0259238861</v>
      </c>
      <c r="J430" s="340">
        <f t="shared" si="169"/>
        <v>1.5707948408269496</v>
      </c>
      <c r="K430" s="348">
        <f t="shared" si="185"/>
        <v>66.666197790488837</v>
      </c>
      <c r="L430" s="349">
        <f t="shared" si="186"/>
        <v>1.5557956587281834</v>
      </c>
      <c r="M430" s="337">
        <f t="shared" si="170"/>
        <v>1.0113415118243296</v>
      </c>
      <c r="N430" s="340">
        <f t="shared" si="171"/>
        <v>0.14990228495863558</v>
      </c>
      <c r="O430" s="341">
        <f t="shared" si="172"/>
        <v>1.0455863389227629</v>
      </c>
      <c r="P430" s="342">
        <f t="shared" si="173"/>
        <v>0.35731931094026442</v>
      </c>
      <c r="Q430" s="343">
        <f t="shared" si="174"/>
        <v>-17.446002223332915</v>
      </c>
      <c r="R430" s="344">
        <f t="shared" si="175"/>
        <v>-112.55967152311604</v>
      </c>
      <c r="S430" s="346">
        <f t="shared" si="176"/>
        <v>67.440328476883963</v>
      </c>
      <c r="U430" s="319">
        <f t="shared" si="182"/>
        <v>42906.5</v>
      </c>
      <c r="V430" s="319">
        <f t="shared" si="183"/>
        <v>1840967742.25</v>
      </c>
      <c r="X430" s="345">
        <f t="shared" si="177"/>
        <v>17.527570285793331</v>
      </c>
      <c r="Y430" s="346">
        <f t="shared" si="178"/>
        <v>-9.4481581087007971</v>
      </c>
      <c r="AA430" s="345">
        <f t="shared" si="179"/>
        <v>13.900377475528011</v>
      </c>
      <c r="AB430" s="346">
        <f t="shared" si="180"/>
        <v>-103.1115134144152</v>
      </c>
      <c r="AD430">
        <f t="shared" si="184"/>
        <v>0</v>
      </c>
      <c r="AE430">
        <f t="shared" si="187"/>
        <v>0</v>
      </c>
    </row>
    <row r="431" spans="1:31" x14ac:dyDescent="0.2">
      <c r="A431" s="347">
        <v>43155</v>
      </c>
      <c r="B431" s="364">
        <f t="shared" si="181"/>
        <v>43.155000000000001</v>
      </c>
      <c r="C431" s="337">
        <f t="shared" si="162"/>
        <v>47.762846867477457</v>
      </c>
      <c r="D431" s="338">
        <f t="shared" si="163"/>
        <v>1.5498580214362527</v>
      </c>
      <c r="E431" s="338">
        <f t="shared" si="164"/>
        <v>1.0058646262600615</v>
      </c>
      <c r="F431" s="339">
        <f t="shared" si="165"/>
        <v>0.10803802509622684</v>
      </c>
      <c r="G431" s="338">
        <f t="shared" si="166"/>
        <v>1</v>
      </c>
      <c r="H431" s="339">
        <f t="shared" si="167"/>
        <v>0</v>
      </c>
      <c r="I431" s="337">
        <f t="shared" si="168"/>
        <v>676859.59537004726</v>
      </c>
      <c r="J431" s="340">
        <f t="shared" si="169"/>
        <v>1.5707948493836184</v>
      </c>
      <c r="K431" s="348">
        <f t="shared" si="185"/>
        <v>67.052219333948472</v>
      </c>
      <c r="L431" s="349">
        <f t="shared" si="186"/>
        <v>1.555882024425316</v>
      </c>
      <c r="M431" s="337">
        <f t="shared" si="170"/>
        <v>1.0114725174469477</v>
      </c>
      <c r="N431" s="340">
        <f t="shared" si="171"/>
        <v>0.15075741038341584</v>
      </c>
      <c r="O431" s="341">
        <f t="shared" si="172"/>
        <v>1.0461065871132231</v>
      </c>
      <c r="P431" s="342">
        <f t="shared" si="173"/>
        <v>0.35929558543874407</v>
      </c>
      <c r="Q431" s="343">
        <f t="shared" si="174"/>
        <v>-17.501017860716807</v>
      </c>
      <c r="R431" s="344">
        <f t="shared" si="175"/>
        <v>-112.68852665595834</v>
      </c>
      <c r="S431" s="346">
        <f t="shared" si="176"/>
        <v>67.311473344041659</v>
      </c>
      <c r="U431" s="319">
        <f t="shared" si="182"/>
        <v>43155</v>
      </c>
      <c r="V431" s="319">
        <f t="shared" si="183"/>
        <v>1862354025</v>
      </c>
      <c r="X431" s="345">
        <f t="shared" si="177"/>
        <v>17.526433997676914</v>
      </c>
      <c r="Y431" s="346">
        <f t="shared" si="178"/>
        <v>-9.4922052868659641</v>
      </c>
      <c r="AA431" s="345">
        <f t="shared" si="179"/>
        <v>13.846498126260535</v>
      </c>
      <c r="AB431" s="346">
        <f t="shared" si="180"/>
        <v>-103.19632136909237</v>
      </c>
      <c r="AD431">
        <f t="shared" si="184"/>
        <v>0</v>
      </c>
      <c r="AE431">
        <f t="shared" si="187"/>
        <v>0</v>
      </c>
    </row>
    <row r="432" spans="1:31" x14ac:dyDescent="0.2">
      <c r="A432" s="347">
        <v>43403.5</v>
      </c>
      <c r="B432" s="364">
        <f t="shared" si="181"/>
        <v>43.403500000000001</v>
      </c>
      <c r="C432" s="337">
        <f t="shared" si="162"/>
        <v>48.037760076729114</v>
      </c>
      <c r="D432" s="338">
        <f t="shared" si="163"/>
        <v>1.5499778657181198</v>
      </c>
      <c r="E432" s="338">
        <f t="shared" si="164"/>
        <v>1.0059321616983743</v>
      </c>
      <c r="F432" s="339">
        <f t="shared" si="165"/>
        <v>0.10865527076451577</v>
      </c>
      <c r="G432" s="338">
        <f t="shared" si="166"/>
        <v>1</v>
      </c>
      <c r="H432" s="339">
        <f t="shared" si="167"/>
        <v>0</v>
      </c>
      <c r="I432" s="337">
        <f t="shared" si="168"/>
        <v>680757.16481620865</v>
      </c>
      <c r="J432" s="340">
        <f t="shared" si="169"/>
        <v>1.5707948578423072</v>
      </c>
      <c r="K432" s="348">
        <f t="shared" si="185"/>
        <v>67.438241371827132</v>
      </c>
      <c r="L432" s="349">
        <f t="shared" si="186"/>
        <v>1.5559674013943778</v>
      </c>
      <c r="M432" s="337">
        <f t="shared" si="170"/>
        <v>1.0116042625063324</v>
      </c>
      <c r="N432" s="340">
        <f t="shared" si="171"/>
        <v>0.15161231370074593</v>
      </c>
      <c r="O432" s="341">
        <f t="shared" si="172"/>
        <v>1.0466296332799956</v>
      </c>
      <c r="P432" s="342">
        <f t="shared" si="173"/>
        <v>0.36127035097323074</v>
      </c>
      <c r="Q432" s="343">
        <f t="shared" si="174"/>
        <v>-17.555769676093753</v>
      </c>
      <c r="R432" s="344">
        <f t="shared" si="175"/>
        <v>-112.81726448322057</v>
      </c>
      <c r="S432" s="346">
        <f t="shared" si="176"/>
        <v>67.182735516779431</v>
      </c>
      <c r="U432" s="319">
        <f t="shared" si="182"/>
        <v>43403.5</v>
      </c>
      <c r="V432" s="319">
        <f t="shared" si="183"/>
        <v>1883863812.25</v>
      </c>
      <c r="X432" s="345">
        <f t="shared" si="177"/>
        <v>17.525291698434661</v>
      </c>
      <c r="Y432" s="346">
        <f t="shared" si="178"/>
        <v>-9.5362963835434069</v>
      </c>
      <c r="AA432" s="345">
        <f t="shared" si="179"/>
        <v>13.792888610125846</v>
      </c>
      <c r="AB432" s="346">
        <f t="shared" si="180"/>
        <v>-103.28096809967715</v>
      </c>
      <c r="AD432">
        <f t="shared" si="184"/>
        <v>0</v>
      </c>
      <c r="AE432">
        <f t="shared" si="187"/>
        <v>0</v>
      </c>
    </row>
    <row r="433" spans="1:31" x14ac:dyDescent="0.2">
      <c r="A433" s="347">
        <v>43652</v>
      </c>
      <c r="B433" s="364">
        <f t="shared" si="181"/>
        <v>43.652000000000001</v>
      </c>
      <c r="C433" s="337">
        <f t="shared" si="162"/>
        <v>48.312673968078371</v>
      </c>
      <c r="D433" s="338">
        <f t="shared" si="163"/>
        <v>1.5500963461004356</v>
      </c>
      <c r="E433" s="338">
        <f t="shared" si="164"/>
        <v>1.0060000803374671</v>
      </c>
      <c r="F433" s="339">
        <f t="shared" si="165"/>
        <v>0.10927243332301695</v>
      </c>
      <c r="G433" s="338">
        <f t="shared" si="166"/>
        <v>1</v>
      </c>
      <c r="H433" s="339">
        <f t="shared" si="167"/>
        <v>0</v>
      </c>
      <c r="I433" s="337">
        <f t="shared" si="168"/>
        <v>684654.73426236992</v>
      </c>
      <c r="J433" s="340">
        <f t="shared" si="169"/>
        <v>1.5707948662046898</v>
      </c>
      <c r="K433" s="348">
        <f t="shared" si="185"/>
        <v>67.824263895682847</v>
      </c>
      <c r="L433" s="349">
        <f t="shared" si="186"/>
        <v>1.5560518065161828</v>
      </c>
      <c r="M433" s="337">
        <f t="shared" si="170"/>
        <v>1.0117367467136222</v>
      </c>
      <c r="N433" s="340">
        <f t="shared" si="171"/>
        <v>0.15246699374800865</v>
      </c>
      <c r="O433" s="341">
        <f t="shared" si="172"/>
        <v>1.0471554741699787</v>
      </c>
      <c r="P433" s="342">
        <f t="shared" si="173"/>
        <v>0.36324360167967151</v>
      </c>
      <c r="Q433" s="343">
        <f t="shared" si="174"/>
        <v>-17.610260890553356</v>
      </c>
      <c r="R433" s="344">
        <f t="shared" si="175"/>
        <v>-112.94588501817671</v>
      </c>
      <c r="S433" s="346">
        <f t="shared" si="176"/>
        <v>67.05411498182329</v>
      </c>
      <c r="U433" s="319">
        <f t="shared" si="182"/>
        <v>43652</v>
      </c>
      <c r="V433" s="319">
        <f t="shared" si="183"/>
        <v>1905497104</v>
      </c>
      <c r="X433" s="345">
        <f t="shared" si="177"/>
        <v>17.524143388626616</v>
      </c>
      <c r="Y433" s="346">
        <f t="shared" si="178"/>
        <v>-9.580430365016543</v>
      </c>
      <c r="AA433" s="345">
        <f t="shared" si="179"/>
        <v>13.739545705474285</v>
      </c>
      <c r="AB433" s="346">
        <f t="shared" si="180"/>
        <v>-103.36545465316014</v>
      </c>
      <c r="AD433">
        <f t="shared" si="184"/>
        <v>0</v>
      </c>
      <c r="AE433">
        <f t="shared" si="187"/>
        <v>0</v>
      </c>
    </row>
    <row r="434" spans="1:31" x14ac:dyDescent="0.2">
      <c r="A434" s="347">
        <v>43906</v>
      </c>
      <c r="B434" s="364">
        <f t="shared" si="181"/>
        <v>43.905999999999999</v>
      </c>
      <c r="C434" s="337">
        <f t="shared" si="162"/>
        <v>48.593673165574643</v>
      </c>
      <c r="D434" s="338">
        <f t="shared" si="163"/>
        <v>1.5502160633666124</v>
      </c>
      <c r="E434" s="338">
        <f t="shared" si="164"/>
        <v>1.006069898141793</v>
      </c>
      <c r="F434" s="339">
        <f t="shared" si="165"/>
        <v>0.10990316905380974</v>
      </c>
      <c r="G434" s="338">
        <f t="shared" si="166"/>
        <v>1</v>
      </c>
      <c r="H434" s="339">
        <f t="shared" si="167"/>
        <v>0</v>
      </c>
      <c r="I434" s="337">
        <f t="shared" si="168"/>
        <v>688638.56782102189</v>
      </c>
      <c r="J434" s="340">
        <f t="shared" si="169"/>
        <v>1.5707948746543301</v>
      </c>
      <c r="K434" s="348">
        <f t="shared" si="185"/>
        <v>68.218830671253343</v>
      </c>
      <c r="L434" s="349">
        <f t="shared" si="186"/>
        <v>1.5561370925837192</v>
      </c>
      <c r="M434" s="337">
        <f t="shared" si="170"/>
        <v>1.0118729267327475</v>
      </c>
      <c r="N434" s="340">
        <f t="shared" si="171"/>
        <v>0.15334035830956771</v>
      </c>
      <c r="O434" s="341">
        <f t="shared" si="172"/>
        <v>1.0476958381821539</v>
      </c>
      <c r="P434" s="342">
        <f t="shared" si="173"/>
        <v>0.36525895439043293</v>
      </c>
      <c r="Q434" s="343">
        <f t="shared" si="174"/>
        <v>-17.665692126204149</v>
      </c>
      <c r="R434" s="344">
        <f t="shared" si="175"/>
        <v>-113.07723107736916</v>
      </c>
      <c r="S434" s="346">
        <f t="shared" si="176"/>
        <v>66.922768922630837</v>
      </c>
      <c r="U434" s="319">
        <f t="shared" si="182"/>
        <v>43906</v>
      </c>
      <c r="V434" s="319">
        <f t="shared" si="183"/>
        <v>1927736836</v>
      </c>
      <c r="X434" s="345">
        <f t="shared" si="177"/>
        <v>17.522963452663983</v>
      </c>
      <c r="Y434" s="346">
        <f t="shared" si="178"/>
        <v>-9.6255844208294032</v>
      </c>
      <c r="AA434" s="345">
        <f t="shared" si="179"/>
        <v>13.68529440578612</v>
      </c>
      <c r="AB434" s="346">
        <f t="shared" si="180"/>
        <v>-103.45164665653976</v>
      </c>
      <c r="AD434">
        <f t="shared" si="184"/>
        <v>0</v>
      </c>
      <c r="AE434">
        <f t="shared" si="187"/>
        <v>0</v>
      </c>
    </row>
    <row r="435" spans="1:31" x14ac:dyDescent="0.2">
      <c r="A435" s="347">
        <v>44160</v>
      </c>
      <c r="B435" s="364">
        <f t="shared" si="181"/>
        <v>44.16</v>
      </c>
      <c r="C435" s="337">
        <f t="shared" si="162"/>
        <v>48.874673051517945</v>
      </c>
      <c r="D435" s="338">
        <f t="shared" si="163"/>
        <v>1.5503344040303493</v>
      </c>
      <c r="E435" s="338">
        <f t="shared" si="164"/>
        <v>1.0061401161328141</v>
      </c>
      <c r="F435" s="339">
        <f t="shared" si="165"/>
        <v>0.11053381699803086</v>
      </c>
      <c r="G435" s="338">
        <f t="shared" si="166"/>
        <v>1</v>
      </c>
      <c r="H435" s="339">
        <f t="shared" si="167"/>
        <v>0</v>
      </c>
      <c r="I435" s="337">
        <f t="shared" si="168"/>
        <v>692622.40137967386</v>
      </c>
      <c r="J435" s="340">
        <f t="shared" si="169"/>
        <v>1.5707948830067691</v>
      </c>
      <c r="K435" s="348">
        <f t="shared" si="185"/>
        <v>68.61339793732111</v>
      </c>
      <c r="L435" s="349">
        <f t="shared" si="186"/>
        <v>1.55622139776208</v>
      </c>
      <c r="M435" s="337">
        <f t="shared" si="170"/>
        <v>1.0120098783657288</v>
      </c>
      <c r="N435" s="340">
        <f t="shared" si="171"/>
        <v>0.15421348715844127</v>
      </c>
      <c r="O435" s="341">
        <f t="shared" si="172"/>
        <v>1.0482391150907278</v>
      </c>
      <c r="P435" s="342">
        <f t="shared" si="173"/>
        <v>0.36727271221741831</v>
      </c>
      <c r="Q435" s="343">
        <f t="shared" si="174"/>
        <v>-17.720857724833394</v>
      </c>
      <c r="R435" s="344">
        <f t="shared" si="175"/>
        <v>-113.20845460264111</v>
      </c>
      <c r="S435" s="346">
        <f t="shared" si="176"/>
        <v>66.791545397358888</v>
      </c>
      <c r="U435" s="319">
        <f t="shared" si="182"/>
        <v>44160</v>
      </c>
      <c r="V435" s="319">
        <f t="shared" si="183"/>
        <v>1950105600</v>
      </c>
      <c r="X435" s="345">
        <f t="shared" si="177"/>
        <v>17.521777238778451</v>
      </c>
      <c r="Y435" s="346">
        <f t="shared" si="178"/>
        <v>-9.6707811665409444</v>
      </c>
      <c r="AA435" s="345">
        <f t="shared" si="179"/>
        <v>13.631315021042411</v>
      </c>
      <c r="AB435" s="346">
        <f t="shared" si="180"/>
        <v>-103.53767343610019</v>
      </c>
      <c r="AD435">
        <f t="shared" si="184"/>
        <v>0</v>
      </c>
      <c r="AE435">
        <f t="shared" si="187"/>
        <v>0</v>
      </c>
    </row>
    <row r="436" spans="1:31" x14ac:dyDescent="0.2">
      <c r="A436" s="347">
        <v>44414</v>
      </c>
      <c r="B436" s="364">
        <f t="shared" si="181"/>
        <v>44.414000000000001</v>
      </c>
      <c r="C436" s="337">
        <f t="shared" si="162"/>
        <v>49.155673614101673</v>
      </c>
      <c r="D436" s="338">
        <f t="shared" si="163"/>
        <v>1.5504513916965272</v>
      </c>
      <c r="E436" s="338">
        <f t="shared" si="164"/>
        <v>1.0062107342267494</v>
      </c>
      <c r="F436" s="339">
        <f t="shared" si="165"/>
        <v>0.11116437667247288</v>
      </c>
      <c r="G436" s="338">
        <f t="shared" si="166"/>
        <v>1</v>
      </c>
      <c r="H436" s="339">
        <f t="shared" si="167"/>
        <v>0</v>
      </c>
      <c r="I436" s="337">
        <f t="shared" si="168"/>
        <v>696606.23493832583</v>
      </c>
      <c r="J436" s="340">
        <f t="shared" si="169"/>
        <v>1.5707948912636742</v>
      </c>
      <c r="K436" s="348">
        <f t="shared" si="185"/>
        <v>69.007965685472627</v>
      </c>
      <c r="L436" s="349">
        <f t="shared" si="186"/>
        <v>1.5563047388753855</v>
      </c>
      <c r="M436" s="337">
        <f t="shared" si="170"/>
        <v>1.0121476012993496</v>
      </c>
      <c r="N436" s="340">
        <f t="shared" si="171"/>
        <v>0.15508637905931558</v>
      </c>
      <c r="O436" s="341">
        <f t="shared" si="172"/>
        <v>1.0487853013882775</v>
      </c>
      <c r="P436" s="342">
        <f t="shared" si="173"/>
        <v>0.36928486903002189</v>
      </c>
      <c r="Q436" s="343">
        <f t="shared" si="174"/>
        <v>-17.775760948738466</v>
      </c>
      <c r="R436" s="344">
        <f t="shared" si="175"/>
        <v>-113.33955558824675</v>
      </c>
      <c r="S436" s="346">
        <f t="shared" si="176"/>
        <v>66.660444411753247</v>
      </c>
      <c r="U436" s="319">
        <f t="shared" si="182"/>
        <v>44414</v>
      </c>
      <c r="V436" s="319">
        <f t="shared" si="183"/>
        <v>1972603396</v>
      </c>
      <c r="X436" s="345">
        <f t="shared" si="177"/>
        <v>17.520584748030618</v>
      </c>
      <c r="Y436" s="346">
        <f t="shared" si="178"/>
        <v>-9.7160195675173782</v>
      </c>
      <c r="AA436" s="345">
        <f t="shared" si="179"/>
        <v>13.577604287885174</v>
      </c>
      <c r="AB436" s="346">
        <f t="shared" si="180"/>
        <v>-103.62353602072939</v>
      </c>
      <c r="AD436">
        <f t="shared" si="184"/>
        <v>0</v>
      </c>
      <c r="AE436">
        <f t="shared" si="187"/>
        <v>0</v>
      </c>
    </row>
    <row r="437" spans="1:31" x14ac:dyDescent="0.2">
      <c r="A437" s="347">
        <v>44668</v>
      </c>
      <c r="B437" s="364">
        <f t="shared" si="181"/>
        <v>44.667999999999999</v>
      </c>
      <c r="C437" s="337">
        <f t="shared" si="162"/>
        <v>49.436674841787671</v>
      </c>
      <c r="D437" s="338">
        <f t="shared" si="163"/>
        <v>1.5505670494334911</v>
      </c>
      <c r="E437" s="338">
        <f t="shared" si="164"/>
        <v>1.006281752339365</v>
      </c>
      <c r="F437" s="339">
        <f t="shared" si="165"/>
        <v>0.11179484759434445</v>
      </c>
      <c r="G437" s="338">
        <f t="shared" si="166"/>
        <v>1</v>
      </c>
      <c r="H437" s="339">
        <f t="shared" si="167"/>
        <v>0</v>
      </c>
      <c r="I437" s="337">
        <f t="shared" si="168"/>
        <v>700590.06849697779</v>
      </c>
      <c r="J437" s="340">
        <f t="shared" si="169"/>
        <v>1.5707948994266752</v>
      </c>
      <c r="K437" s="348">
        <f t="shared" si="185"/>
        <v>69.402533907485633</v>
      </c>
      <c r="L437" s="349">
        <f t="shared" si="186"/>
        <v>1.5563871323652143</v>
      </c>
      <c r="M437" s="337">
        <f t="shared" si="170"/>
        <v>1.0122860952188002</v>
      </c>
      <c r="N437" s="340">
        <f t="shared" si="171"/>
        <v>0.15595903277899159</v>
      </c>
      <c r="O437" s="341">
        <f t="shared" si="172"/>
        <v>1.0493343935563413</v>
      </c>
      <c r="P437" s="342">
        <f t="shared" si="173"/>
        <v>0.3712954187420115</v>
      </c>
      <c r="Q437" s="343">
        <f t="shared" si="174"/>
        <v>-17.830405003111704</v>
      </c>
      <c r="R437" s="344">
        <f t="shared" si="175"/>
        <v>-113.47053402225458</v>
      </c>
      <c r="S437" s="346">
        <f t="shared" si="176"/>
        <v>66.529465977745417</v>
      </c>
      <c r="U437" s="319">
        <f t="shared" si="182"/>
        <v>44668</v>
      </c>
      <c r="V437" s="319">
        <f t="shared" si="183"/>
        <v>1995230224</v>
      </c>
      <c r="X437" s="345">
        <f t="shared" si="177"/>
        <v>17.519385981628098</v>
      </c>
      <c r="Y437" s="346">
        <f t="shared" si="178"/>
        <v>-9.7612986111619069</v>
      </c>
      <c r="AA437" s="345">
        <f t="shared" si="179"/>
        <v>13.524158999914457</v>
      </c>
      <c r="AB437" s="346">
        <f t="shared" si="180"/>
        <v>-103.70923541109266</v>
      </c>
      <c r="AD437">
        <f t="shared" si="184"/>
        <v>0</v>
      </c>
      <c r="AE437">
        <f t="shared" si="187"/>
        <v>0</v>
      </c>
    </row>
    <row r="438" spans="1:31" x14ac:dyDescent="0.2">
      <c r="A438" s="347">
        <v>44928.25</v>
      </c>
      <c r="B438" s="364">
        <f t="shared" si="181"/>
        <v>44.928249999999998</v>
      </c>
      <c r="C438" s="337">
        <f t="shared" si="162"/>
        <v>49.724591147822075</v>
      </c>
      <c r="D438" s="338">
        <f t="shared" si="163"/>
        <v>1.5506841972350747</v>
      </c>
      <c r="E438" s="338">
        <f t="shared" si="164"/>
        <v>1.0063549327605952</v>
      </c>
      <c r="F438" s="339">
        <f t="shared" si="165"/>
        <v>0.11244073951269259</v>
      </c>
      <c r="G438" s="338">
        <f t="shared" si="166"/>
        <v>1</v>
      </c>
      <c r="H438" s="339">
        <f t="shared" si="167"/>
        <v>0</v>
      </c>
      <c r="I438" s="337">
        <f t="shared" si="168"/>
        <v>704671.9294561873</v>
      </c>
      <c r="J438" s="340">
        <f t="shared" si="169"/>
        <v>1.5707949076948045</v>
      </c>
      <c r="K438" s="348">
        <f t="shared" si="185"/>
        <v>69.806811476321627</v>
      </c>
      <c r="L438" s="349">
        <f t="shared" si="186"/>
        <v>1.5564705871695093</v>
      </c>
      <c r="M438" s="337">
        <f t="shared" si="170"/>
        <v>1.0124287963060934</v>
      </c>
      <c r="N438" s="340">
        <f t="shared" si="171"/>
        <v>0.1568529109454167</v>
      </c>
      <c r="O438" s="341">
        <f t="shared" si="172"/>
        <v>1.0499000071640814</v>
      </c>
      <c r="P438" s="342">
        <f t="shared" si="173"/>
        <v>0.37335376741968357</v>
      </c>
      <c r="Q438" s="343">
        <f t="shared" si="174"/>
        <v>-17.886128124656548</v>
      </c>
      <c r="R438" s="344">
        <f t="shared" si="175"/>
        <v>-113.60460822006949</v>
      </c>
      <c r="S438" s="346">
        <f t="shared" si="176"/>
        <v>66.395391779930506</v>
      </c>
      <c r="U438" s="319">
        <f t="shared" si="182"/>
        <v>44928.25</v>
      </c>
      <c r="V438" s="319">
        <f t="shared" si="183"/>
        <v>2018547648.0625</v>
      </c>
      <c r="X438" s="345">
        <f t="shared" si="177"/>
        <v>17.518151210248394</v>
      </c>
      <c r="Y438" s="346">
        <f t="shared" si="178"/>
        <v>-9.8077329232127308</v>
      </c>
      <c r="AA438" s="345">
        <f t="shared" si="179"/>
        <v>13.469670649749316</v>
      </c>
      <c r="AB438" s="346">
        <f t="shared" si="180"/>
        <v>-103.79687529685677</v>
      </c>
      <c r="AD438">
        <f t="shared" si="184"/>
        <v>0</v>
      </c>
      <c r="AE438">
        <f t="shared" si="187"/>
        <v>0</v>
      </c>
    </row>
    <row r="439" spans="1:31" x14ac:dyDescent="0.2">
      <c r="A439" s="347">
        <v>45188.5</v>
      </c>
      <c r="B439" s="364">
        <f t="shared" si="181"/>
        <v>45.188499999999998</v>
      </c>
      <c r="C439" s="337">
        <f t="shared" si="162"/>
        <v>50.012508128400228</v>
      </c>
      <c r="D439" s="338">
        <f t="shared" si="163"/>
        <v>1.5507999962220029</v>
      </c>
      <c r="E439" s="338">
        <f t="shared" si="164"/>
        <v>1.0064285329481675</v>
      </c>
      <c r="F439" s="339">
        <f t="shared" si="165"/>
        <v>0.11308653723217904</v>
      </c>
      <c r="G439" s="338">
        <f t="shared" si="166"/>
        <v>1</v>
      </c>
      <c r="H439" s="339">
        <f t="shared" si="167"/>
        <v>0</v>
      </c>
      <c r="I439" s="337">
        <f t="shared" si="168"/>
        <v>708753.7904153968</v>
      </c>
      <c r="J439" s="340">
        <f t="shared" si="169"/>
        <v>1.5707949158676979</v>
      </c>
      <c r="K439" s="348">
        <f t="shared" si="185"/>
        <v>70.21108952574248</v>
      </c>
      <c r="L439" s="349">
        <f t="shared" si="186"/>
        <v>1.556553080902676</v>
      </c>
      <c r="M439" s="337">
        <f t="shared" si="170"/>
        <v>1.0125723061140111</v>
      </c>
      <c r="N439" s="340">
        <f t="shared" si="171"/>
        <v>0.15774653645063746</v>
      </c>
      <c r="O439" s="341">
        <f t="shared" si="172"/>
        <v>1.0504686638938205</v>
      </c>
      <c r="P439" s="342">
        <f t="shared" si="173"/>
        <v>0.37541041614094062</v>
      </c>
      <c r="Q439" s="343">
        <f t="shared" si="174"/>
        <v>-17.941585799625077</v>
      </c>
      <c r="R439" s="344">
        <f t="shared" si="175"/>
        <v>-113.73855371680867</v>
      </c>
      <c r="S439" s="346">
        <f t="shared" si="176"/>
        <v>66.261446283191333</v>
      </c>
      <c r="U439" s="319">
        <f t="shared" si="182"/>
        <v>45188.5</v>
      </c>
      <c r="V439" s="319">
        <f t="shared" si="183"/>
        <v>2042000532.25</v>
      </c>
      <c r="X439" s="345">
        <f t="shared" si="177"/>
        <v>17.516909853595113</v>
      </c>
      <c r="Y439" s="346">
        <f t="shared" si="178"/>
        <v>-9.8542078187058024</v>
      </c>
      <c r="AA439" s="345">
        <f t="shared" si="179"/>
        <v>13.415454331434065</v>
      </c>
      <c r="AB439" s="346">
        <f t="shared" si="180"/>
        <v>-103.88434589810285</v>
      </c>
      <c r="AD439">
        <f t="shared" si="184"/>
        <v>0</v>
      </c>
      <c r="AE439">
        <f t="shared" si="187"/>
        <v>0</v>
      </c>
    </row>
    <row r="440" spans="1:31" x14ac:dyDescent="0.2">
      <c r="A440" s="347">
        <v>45448.75</v>
      </c>
      <c r="B440" s="364">
        <f t="shared" si="181"/>
        <v>45.448749999999997</v>
      </c>
      <c r="C440" s="337">
        <f t="shared" si="162"/>
        <v>50.300425771938976</v>
      </c>
      <c r="D440" s="338">
        <f t="shared" si="163"/>
        <v>1.5509144695528283</v>
      </c>
      <c r="E440" s="338">
        <f t="shared" si="164"/>
        <v>1.0065025528099958</v>
      </c>
      <c r="F440" s="339">
        <f t="shared" si="165"/>
        <v>0.11373224023486202</v>
      </c>
      <c r="G440" s="338">
        <f t="shared" si="166"/>
        <v>1</v>
      </c>
      <c r="H440" s="339">
        <f t="shared" si="167"/>
        <v>0</v>
      </c>
      <c r="I440" s="337">
        <f t="shared" si="168"/>
        <v>712835.6513746063</v>
      </c>
      <c r="J440" s="340">
        <f t="shared" si="169"/>
        <v>1.5707949239469918</v>
      </c>
      <c r="K440" s="348">
        <f t="shared" si="185"/>
        <v>70.615368047494073</v>
      </c>
      <c r="L440" s="349">
        <f t="shared" si="186"/>
        <v>1.5566346300702045</v>
      </c>
      <c r="M440" s="337">
        <f t="shared" si="170"/>
        <v>1.0127166242987471</v>
      </c>
      <c r="N440" s="340">
        <f t="shared" si="171"/>
        <v>0.15863990797513189</v>
      </c>
      <c r="O440" s="341">
        <f t="shared" si="172"/>
        <v>1.0510403599256923</v>
      </c>
      <c r="P440" s="342">
        <f t="shared" si="173"/>
        <v>0.37746535850424723</v>
      </c>
      <c r="Q440" s="343">
        <f t="shared" si="174"/>
        <v>-17.996781297511411</v>
      </c>
      <c r="R440" s="344">
        <f t="shared" si="175"/>
        <v>-113.87237048105008</v>
      </c>
      <c r="S440" s="346">
        <f t="shared" si="176"/>
        <v>66.127629518949917</v>
      </c>
      <c r="U440" s="319">
        <f t="shared" si="182"/>
        <v>45448.75</v>
      </c>
      <c r="V440" s="319">
        <f t="shared" si="183"/>
        <v>2065588876.5625</v>
      </c>
      <c r="X440" s="345">
        <f t="shared" si="177"/>
        <v>17.515661913420676</v>
      </c>
      <c r="Y440" s="346">
        <f t="shared" si="178"/>
        <v>-9.9007222764369089</v>
      </c>
      <c r="AA440" s="345">
        <f t="shared" si="179"/>
        <v>13.361506773722162</v>
      </c>
      <c r="AB440" s="346">
        <f t="shared" si="180"/>
        <v>-103.97164820461316</v>
      </c>
      <c r="AD440">
        <f t="shared" si="184"/>
        <v>0</v>
      </c>
      <c r="AE440">
        <f t="shared" si="187"/>
        <v>0</v>
      </c>
    </row>
    <row r="441" spans="1:31" x14ac:dyDescent="0.2">
      <c r="A441" s="347">
        <v>45709</v>
      </c>
      <c r="B441" s="364">
        <f t="shared" si="181"/>
        <v>45.709000000000003</v>
      </c>
      <c r="C441" s="337">
        <f t="shared" si="162"/>
        <v>50.588344067118832</v>
      </c>
      <c r="D441" s="338">
        <f t="shared" si="163"/>
        <v>1.5510276398590261</v>
      </c>
      <c r="E441" s="338">
        <f t="shared" si="164"/>
        <v>1.0065769922534964</v>
      </c>
      <c r="F441" s="339">
        <f t="shared" si="165"/>
        <v>0.11437784800326754</v>
      </c>
      <c r="G441" s="338">
        <f t="shared" si="166"/>
        <v>1</v>
      </c>
      <c r="H441" s="339">
        <f t="shared" si="167"/>
        <v>0</v>
      </c>
      <c r="I441" s="337">
        <f t="shared" si="168"/>
        <v>716917.51233381592</v>
      </c>
      <c r="J441" s="340">
        <f t="shared" si="169"/>
        <v>1.5707949319342847</v>
      </c>
      <c r="K441" s="348">
        <f t="shared" si="185"/>
        <v>71.019647033510196</v>
      </c>
      <c r="L441" s="349">
        <f t="shared" si="186"/>
        <v>1.5567152508018063</v>
      </c>
      <c r="M441" s="337">
        <f t="shared" si="170"/>
        <v>1.0128617505147555</v>
      </c>
      <c r="N441" s="340">
        <f t="shared" si="171"/>
        <v>0.15953302420174964</v>
      </c>
      <c r="O441" s="341">
        <f t="shared" si="172"/>
        <v>1.0516150914282241</v>
      </c>
      <c r="P441" s="342">
        <f t="shared" si="173"/>
        <v>0.37951858815707673</v>
      </c>
      <c r="Q441" s="343">
        <f t="shared" si="174"/>
        <v>-18.051717830400587</v>
      </c>
      <c r="R441" s="344">
        <f t="shared" si="175"/>
        <v>-114.00605847561789</v>
      </c>
      <c r="S441" s="346">
        <f t="shared" si="176"/>
        <v>65.993941524382109</v>
      </c>
      <c r="U441" s="319">
        <f t="shared" si="182"/>
        <v>45709</v>
      </c>
      <c r="V441" s="319">
        <f t="shared" si="183"/>
        <v>2089312681</v>
      </c>
      <c r="X441" s="345">
        <f t="shared" si="177"/>
        <v>17.514407391621965</v>
      </c>
      <c r="Y441" s="346">
        <f t="shared" si="178"/>
        <v>-9.9472752968660778</v>
      </c>
      <c r="AA441" s="345">
        <f t="shared" si="179"/>
        <v>13.307824762631704</v>
      </c>
      <c r="AB441" s="346">
        <f t="shared" si="180"/>
        <v>-104.05878317875181</v>
      </c>
      <c r="AD441">
        <f t="shared" si="184"/>
        <v>0</v>
      </c>
      <c r="AE441">
        <f t="shared" si="187"/>
        <v>0</v>
      </c>
    </row>
    <row r="442" spans="1:31" x14ac:dyDescent="0.2">
      <c r="A442" s="347">
        <v>45975.25</v>
      </c>
      <c r="B442" s="364">
        <f t="shared" si="181"/>
        <v>45.975250000000003</v>
      </c>
      <c r="C442" s="337">
        <f t="shared" si="162"/>
        <v>50.882900910880679</v>
      </c>
      <c r="D442" s="338">
        <f t="shared" si="163"/>
        <v>1.5511420939096381</v>
      </c>
      <c r="E442" s="338">
        <f t="shared" si="164"/>
        <v>1.0066535819862743</v>
      </c>
      <c r="F442" s="339">
        <f t="shared" si="165"/>
        <v>0.11503824100850726</v>
      </c>
      <c r="G442" s="338">
        <f t="shared" si="166"/>
        <v>1</v>
      </c>
      <c r="H442" s="339">
        <f t="shared" si="167"/>
        <v>0</v>
      </c>
      <c r="I442" s="337">
        <f t="shared" si="168"/>
        <v>721093.4795975606</v>
      </c>
      <c r="J442" s="340">
        <f t="shared" si="169"/>
        <v>1.5707949400121448</v>
      </c>
      <c r="K442" s="348">
        <f t="shared" si="185"/>
        <v>71.433247044741265</v>
      </c>
      <c r="L442" s="349">
        <f t="shared" si="186"/>
        <v>1.5567967858718181</v>
      </c>
      <c r="M442" s="337">
        <f t="shared" si="170"/>
        <v>1.0130110584074277</v>
      </c>
      <c r="N442" s="340">
        <f t="shared" si="171"/>
        <v>0.16044646543870011</v>
      </c>
      <c r="O442" s="341">
        <f t="shared" si="172"/>
        <v>1.0522062104676977</v>
      </c>
      <c r="P442" s="342">
        <f t="shared" si="173"/>
        <v>0.38161737554877312</v>
      </c>
      <c r="Q442" s="343">
        <f t="shared" si="174"/>
        <v>-18.107656212940896</v>
      </c>
      <c r="R442" s="344">
        <f t="shared" si="175"/>
        <v>-114.1426953125853</v>
      </c>
      <c r="S442" s="346">
        <f t="shared" si="176"/>
        <v>65.857304687414697</v>
      </c>
      <c r="U442" s="319">
        <f t="shared" si="182"/>
        <v>45975.25</v>
      </c>
      <c r="V442" s="319">
        <f t="shared" si="183"/>
        <v>2113723612.5625</v>
      </c>
      <c r="X442" s="345">
        <f t="shared" si="177"/>
        <v>17.51311713827582</v>
      </c>
      <c r="Y442" s="346">
        <f t="shared" si="178"/>
        <v>-9.9949404720643269</v>
      </c>
      <c r="AA442" s="345">
        <f t="shared" si="179"/>
        <v>13.253176633437535</v>
      </c>
      <c r="AB442" s="346">
        <f t="shared" si="180"/>
        <v>-104.14775484052099</v>
      </c>
      <c r="AD442">
        <f t="shared" si="184"/>
        <v>0</v>
      </c>
      <c r="AE442">
        <f t="shared" si="187"/>
        <v>0</v>
      </c>
    </row>
    <row r="443" spans="1:31" x14ac:dyDescent="0.2">
      <c r="A443" s="347">
        <v>46241.5</v>
      </c>
      <c r="B443" s="364">
        <f t="shared" si="181"/>
        <v>46.241500000000002</v>
      </c>
      <c r="C443" s="337">
        <f t="shared" si="162"/>
        <v>51.177458413521947</v>
      </c>
      <c r="D443" s="338">
        <f t="shared" si="163"/>
        <v>1.5512552304559113</v>
      </c>
      <c r="E443" s="338">
        <f t="shared" si="164"/>
        <v>1.0067306106728156</v>
      </c>
      <c r="F443" s="339">
        <f t="shared" si="165"/>
        <v>0.1156985332434483</v>
      </c>
      <c r="G443" s="338">
        <f t="shared" si="166"/>
        <v>1</v>
      </c>
      <c r="H443" s="339">
        <f t="shared" si="167"/>
        <v>0</v>
      </c>
      <c r="I443" s="337">
        <f t="shared" si="168"/>
        <v>725269.44686130551</v>
      </c>
      <c r="J443" s="340">
        <f t="shared" si="169"/>
        <v>1.5707949479969832</v>
      </c>
      <c r="K443" s="348">
        <f t="shared" si="185"/>
        <v>71.846847525390686</v>
      </c>
      <c r="L443" s="349">
        <f t="shared" si="186"/>
        <v>1.55687738219709</v>
      </c>
      <c r="M443" s="337">
        <f t="shared" si="170"/>
        <v>1.0131612112815616</v>
      </c>
      <c r="N443" s="340">
        <f t="shared" si="171"/>
        <v>0.16135963668911119</v>
      </c>
      <c r="O443" s="341">
        <f t="shared" si="172"/>
        <v>1.0528004984059323</v>
      </c>
      <c r="P443" s="342">
        <f t="shared" si="173"/>
        <v>0.38371435705362406</v>
      </c>
      <c r="Q443" s="343">
        <f t="shared" si="174"/>
        <v>-18.163330174986086</v>
      </c>
      <c r="R443" s="344">
        <f t="shared" si="175"/>
        <v>-114.27919727782543</v>
      </c>
      <c r="S443" s="346">
        <f t="shared" si="176"/>
        <v>65.720802722174568</v>
      </c>
      <c r="U443" s="319">
        <f t="shared" si="182"/>
        <v>46241.5</v>
      </c>
      <c r="V443" s="319">
        <f t="shared" si="183"/>
        <v>2138276322.25</v>
      </c>
      <c r="X443" s="345">
        <f t="shared" si="177"/>
        <v>17.511820000793939</v>
      </c>
      <c r="Y443" s="346">
        <f t="shared" si="178"/>
        <v>-10.042643958955271</v>
      </c>
      <c r="AA443" s="345">
        <f t="shared" si="179"/>
        <v>13.198799808874231</v>
      </c>
      <c r="AB443" s="346">
        <f t="shared" si="180"/>
        <v>-104.23655331887016</v>
      </c>
      <c r="AD443">
        <f t="shared" si="184"/>
        <v>0</v>
      </c>
      <c r="AE443">
        <f t="shared" si="187"/>
        <v>0</v>
      </c>
    </row>
    <row r="444" spans="1:31" x14ac:dyDescent="0.2">
      <c r="A444" s="347">
        <v>46507.75</v>
      </c>
      <c r="B444" s="364">
        <f t="shared" si="181"/>
        <v>46.507750000000001</v>
      </c>
      <c r="C444" s="337">
        <f t="shared" si="162"/>
        <v>51.472016563730989</v>
      </c>
      <c r="D444" s="338">
        <f t="shared" si="163"/>
        <v>1.5513670721139121</v>
      </c>
      <c r="E444" s="338">
        <f t="shared" si="164"/>
        <v>1.0068080782123701</v>
      </c>
      <c r="F444" s="339">
        <f t="shared" si="165"/>
        <v>0.11635872415553002</v>
      </c>
      <c r="G444" s="338">
        <f t="shared" si="166"/>
        <v>1</v>
      </c>
      <c r="H444" s="339">
        <f t="shared" si="167"/>
        <v>0</v>
      </c>
      <c r="I444" s="337">
        <f t="shared" si="168"/>
        <v>729445.4141250503</v>
      </c>
      <c r="J444" s="340">
        <f t="shared" si="169"/>
        <v>1.5707949558903975</v>
      </c>
      <c r="K444" s="348">
        <f t="shared" si="185"/>
        <v>72.260448467398007</v>
      </c>
      <c r="L444" s="349">
        <f t="shared" si="186"/>
        <v>1.5569570558959949</v>
      </c>
      <c r="M444" s="337">
        <f t="shared" si="170"/>
        <v>1.0133122087615289</v>
      </c>
      <c r="N444" s="340">
        <f t="shared" si="171"/>
        <v>0.16227253655038926</v>
      </c>
      <c r="O444" s="341">
        <f t="shared" si="172"/>
        <v>1.0533979511035214</v>
      </c>
      <c r="P444" s="342">
        <f t="shared" si="173"/>
        <v>0.38580952602888585</v>
      </c>
      <c r="Q444" s="343">
        <f t="shared" si="174"/>
        <v>-18.218742977780003</v>
      </c>
      <c r="R444" s="344">
        <f t="shared" si="175"/>
        <v>-114.41556431441572</v>
      </c>
      <c r="S444" s="346">
        <f t="shared" si="176"/>
        <v>65.584435685584282</v>
      </c>
      <c r="U444" s="319">
        <f t="shared" si="182"/>
        <v>46507.75</v>
      </c>
      <c r="V444" s="319">
        <f t="shared" si="183"/>
        <v>2162970810.0625</v>
      </c>
      <c r="X444" s="345">
        <f t="shared" si="177"/>
        <v>17.510515981651139</v>
      </c>
      <c r="Y444" s="346">
        <f t="shared" si="178"/>
        <v>-10.090384753753014</v>
      </c>
      <c r="AA444" s="345">
        <f t="shared" si="179"/>
        <v>13.144691025223114</v>
      </c>
      <c r="AB444" s="346">
        <f t="shared" si="180"/>
        <v>-104.32517956066272</v>
      </c>
      <c r="AD444">
        <f t="shared" si="184"/>
        <v>0</v>
      </c>
      <c r="AE444">
        <f t="shared" si="187"/>
        <v>0</v>
      </c>
    </row>
    <row r="445" spans="1:31" x14ac:dyDescent="0.2">
      <c r="A445" s="347">
        <v>46774</v>
      </c>
      <c r="B445" s="364">
        <f t="shared" si="181"/>
        <v>46.774000000000001</v>
      </c>
      <c r="C445" s="337">
        <f t="shared" si="162"/>
        <v>51.766575350453593</v>
      </c>
      <c r="D445" s="338">
        <f t="shared" si="163"/>
        <v>1.5514776409850848</v>
      </c>
      <c r="E445" s="338">
        <f t="shared" si="164"/>
        <v>1.0068859845036444</v>
      </c>
      <c r="F445" s="339">
        <f t="shared" si="165"/>
        <v>0.11701881319271473</v>
      </c>
      <c r="G445" s="338">
        <f t="shared" si="166"/>
        <v>1</v>
      </c>
      <c r="H445" s="339">
        <f t="shared" si="167"/>
        <v>0</v>
      </c>
      <c r="I445" s="337">
        <f t="shared" si="168"/>
        <v>733621.3813887951</v>
      </c>
      <c r="J445" s="340">
        <f t="shared" si="169"/>
        <v>1.5707949636939493</v>
      </c>
      <c r="K445" s="348">
        <f t="shared" si="185"/>
        <v>72.674049862886179</v>
      </c>
      <c r="L445" s="349">
        <f t="shared" si="186"/>
        <v>1.5570358227200216</v>
      </c>
      <c r="M445" s="337">
        <f t="shared" si="170"/>
        <v>1.0134640504698122</v>
      </c>
      <c r="N445" s="340">
        <f t="shared" si="171"/>
        <v>0.16318516362258359</v>
      </c>
      <c r="O445" s="341">
        <f t="shared" si="172"/>
        <v>1.0539985644089755</v>
      </c>
      <c r="P445" s="342">
        <f t="shared" si="173"/>
        <v>0.38790287588556577</v>
      </c>
      <c r="Q445" s="343">
        <f t="shared" si="174"/>
        <v>-18.273897825204582</v>
      </c>
      <c r="R445" s="344">
        <f t="shared" si="175"/>
        <v>-114.55179636016796</v>
      </c>
      <c r="S445" s="346">
        <f t="shared" si="176"/>
        <v>65.448203639832045</v>
      </c>
      <c r="U445" s="319">
        <f t="shared" si="182"/>
        <v>46774</v>
      </c>
      <c r="V445" s="319">
        <f t="shared" si="183"/>
        <v>2187807076</v>
      </c>
      <c r="X445" s="345">
        <f t="shared" si="177"/>
        <v>17.509205083463652</v>
      </c>
      <c r="Y445" s="346">
        <f t="shared" si="178"/>
        <v>-10.138161873841931</v>
      </c>
      <c r="AA445" s="345">
        <f t="shared" si="179"/>
        <v>13.090847075986026</v>
      </c>
      <c r="AB445" s="346">
        <f t="shared" si="180"/>
        <v>-104.41363448632603</v>
      </c>
      <c r="AD445">
        <f t="shared" si="184"/>
        <v>0</v>
      </c>
      <c r="AE445">
        <f t="shared" si="187"/>
        <v>0</v>
      </c>
    </row>
    <row r="446" spans="1:31" x14ac:dyDescent="0.2">
      <c r="A446" s="347">
        <v>47046.25</v>
      </c>
      <c r="B446" s="364">
        <f t="shared" si="181"/>
        <v>47.046250000000001</v>
      </c>
      <c r="C446" s="337">
        <f t="shared" si="162"/>
        <v>52.067772728602343</v>
      </c>
      <c r="D446" s="338">
        <f t="shared" si="163"/>
        <v>1.5515894079173054</v>
      </c>
      <c r="E446" s="338">
        <f t="shared" si="164"/>
        <v>1.0069661000177252</v>
      </c>
      <c r="F446" s="339">
        <f t="shared" si="165"/>
        <v>0.11769367155680868</v>
      </c>
      <c r="G446" s="338">
        <f t="shared" si="166"/>
        <v>1</v>
      </c>
      <c r="H446" s="339">
        <f t="shared" si="167"/>
        <v>0</v>
      </c>
      <c r="I446" s="337">
        <f t="shared" si="168"/>
        <v>737891.45495707518</v>
      </c>
      <c r="J446" s="340">
        <f t="shared" si="169"/>
        <v>1.5707949715820217</v>
      </c>
      <c r="K446" s="348">
        <f t="shared" si="185"/>
        <v>73.096972314107518</v>
      </c>
      <c r="L446" s="349">
        <f t="shared" si="186"/>
        <v>1.5571154428478182</v>
      </c>
      <c r="M446" s="337">
        <f t="shared" si="170"/>
        <v>1.0136201865477665</v>
      </c>
      <c r="N446" s="340">
        <f t="shared" si="171"/>
        <v>0.16411807340354728</v>
      </c>
      <c r="O446" s="341">
        <f t="shared" si="172"/>
        <v>1.0546159765723917</v>
      </c>
      <c r="P446" s="342">
        <f t="shared" si="173"/>
        <v>0.39004151194345227</v>
      </c>
      <c r="Q446" s="343">
        <f t="shared" si="174"/>
        <v>-18.330032137434213</v>
      </c>
      <c r="R446" s="344">
        <f t="shared" si="175"/>
        <v>-114.69095876561398</v>
      </c>
      <c r="S446" s="346">
        <f t="shared" si="176"/>
        <v>65.309041234386015</v>
      </c>
      <c r="U446" s="319">
        <f t="shared" si="182"/>
        <v>47046.25</v>
      </c>
      <c r="V446" s="319">
        <f t="shared" si="183"/>
        <v>2213349639.0625</v>
      </c>
      <c r="X446" s="345">
        <f t="shared" si="177"/>
        <v>17.507857533455834</v>
      </c>
      <c r="Y446" s="346">
        <f t="shared" si="178"/>
        <v>-10.187052221679705</v>
      </c>
      <c r="AA446" s="345">
        <f t="shared" si="179"/>
        <v>13.03606031376421</v>
      </c>
      <c r="AB446" s="346">
        <f t="shared" si="180"/>
        <v>-104.50390654393426</v>
      </c>
      <c r="AD446">
        <f t="shared" si="184"/>
        <v>0</v>
      </c>
      <c r="AE446">
        <f t="shared" si="187"/>
        <v>0</v>
      </c>
    </row>
    <row r="447" spans="1:31" x14ac:dyDescent="0.2">
      <c r="A447" s="347">
        <v>47318.5</v>
      </c>
      <c r="B447" s="364">
        <f t="shared" si="181"/>
        <v>47.3185</v>
      </c>
      <c r="C447" s="337">
        <f t="shared" si="162"/>
        <v>52.368970749692004</v>
      </c>
      <c r="D447" s="338">
        <f t="shared" si="163"/>
        <v>1.5516998892048959</v>
      </c>
      <c r="E447" s="338">
        <f t="shared" si="164"/>
        <v>1.0070466740651245</v>
      </c>
      <c r="F447" s="339">
        <f t="shared" si="165"/>
        <v>0.1183684222370049</v>
      </c>
      <c r="G447" s="338">
        <f t="shared" si="166"/>
        <v>1</v>
      </c>
      <c r="H447" s="339">
        <f t="shared" si="167"/>
        <v>0</v>
      </c>
      <c r="I447" s="337">
        <f t="shared" si="168"/>
        <v>742161.52852535527</v>
      </c>
      <c r="J447" s="340">
        <f t="shared" si="169"/>
        <v>1.5707949793793252</v>
      </c>
      <c r="K447" s="348">
        <f t="shared" si="185"/>
        <v>73.519895223385944</v>
      </c>
      <c r="L447" s="349">
        <f t="shared" si="186"/>
        <v>1.5571941469471624</v>
      </c>
      <c r="M447" s="337">
        <f t="shared" si="170"/>
        <v>1.0137772045281277</v>
      </c>
      <c r="N447" s="340">
        <f t="shared" si="171"/>
        <v>0.16505069501017908</v>
      </c>
      <c r="O447" s="341">
        <f t="shared" si="172"/>
        <v>1.0552366845814565</v>
      </c>
      <c r="P447" s="342">
        <f t="shared" si="173"/>
        <v>0.39217823220866022</v>
      </c>
      <c r="Q447" s="343">
        <f t="shared" si="174"/>
        <v>-18.385903334444613</v>
      </c>
      <c r="R447" s="344">
        <f t="shared" si="175"/>
        <v>-114.8299798802371</v>
      </c>
      <c r="S447" s="346">
        <f t="shared" si="176"/>
        <v>65.170020119762896</v>
      </c>
      <c r="U447" s="319">
        <f t="shared" si="182"/>
        <v>47318.5</v>
      </c>
      <c r="V447" s="319">
        <f t="shared" si="183"/>
        <v>2239040442.25</v>
      </c>
      <c r="X447" s="345">
        <f t="shared" si="177"/>
        <v>17.506502796837172</v>
      </c>
      <c r="Y447" s="346">
        <f t="shared" si="178"/>
        <v>-10.235978537708109</v>
      </c>
      <c r="AA447" s="345">
        <f t="shared" si="179"/>
        <v>12.98154385337247</v>
      </c>
      <c r="AB447" s="346">
        <f t="shared" si="180"/>
        <v>-104.59400134252898</v>
      </c>
      <c r="AD447">
        <f t="shared" si="184"/>
        <v>0</v>
      </c>
      <c r="AE447">
        <f t="shared" si="187"/>
        <v>0</v>
      </c>
    </row>
    <row r="448" spans="1:31" x14ac:dyDescent="0.2">
      <c r="A448" s="347">
        <v>47590.75</v>
      </c>
      <c r="B448" s="364">
        <f t="shared" si="181"/>
        <v>47.59075</v>
      </c>
      <c r="C448" s="337">
        <f t="shared" si="162"/>
        <v>52.670169402692466</v>
      </c>
      <c r="D448" s="338">
        <f t="shared" si="163"/>
        <v>1.5518091069013265</v>
      </c>
      <c r="E448" s="338">
        <f t="shared" si="164"/>
        <v>1.0071277065357889</v>
      </c>
      <c r="F448" s="339">
        <f t="shared" si="165"/>
        <v>0.11904306464481042</v>
      </c>
      <c r="G448" s="338">
        <f t="shared" si="166"/>
        <v>1</v>
      </c>
      <c r="H448" s="339">
        <f t="shared" si="167"/>
        <v>0</v>
      </c>
      <c r="I448" s="337">
        <f t="shared" si="168"/>
        <v>746431.60209363536</v>
      </c>
      <c r="J448" s="340">
        <f t="shared" si="169"/>
        <v>1.5707949870874174</v>
      </c>
      <c r="K448" s="348">
        <f t="shared" si="185"/>
        <v>73.942818582861776</v>
      </c>
      <c r="L448" s="349">
        <f t="shared" si="186"/>
        <v>1.5572719507350201</v>
      </c>
      <c r="M448" s="337">
        <f t="shared" si="170"/>
        <v>1.0139351040011808</v>
      </c>
      <c r="N448" s="340">
        <f t="shared" si="171"/>
        <v>0.16598302695438047</v>
      </c>
      <c r="O448" s="341">
        <f t="shared" si="172"/>
        <v>1.0558606839594891</v>
      </c>
      <c r="P448" s="342">
        <f t="shared" si="173"/>
        <v>0.39431302981101113</v>
      </c>
      <c r="Q448" s="343">
        <f t="shared" si="174"/>
        <v>-18.441514663933617</v>
      </c>
      <c r="R448" s="344">
        <f t="shared" si="175"/>
        <v>-114.96885962200567</v>
      </c>
      <c r="S448" s="346">
        <f t="shared" si="176"/>
        <v>65.031140377994333</v>
      </c>
      <c r="U448" s="319">
        <f t="shared" si="182"/>
        <v>47590.75</v>
      </c>
      <c r="V448" s="319">
        <f t="shared" si="183"/>
        <v>2264879485.5625</v>
      </c>
      <c r="X448" s="345">
        <f t="shared" si="177"/>
        <v>17.505140876838887</v>
      </c>
      <c r="Y448" s="346">
        <f t="shared" si="178"/>
        <v>-10.284939836238792</v>
      </c>
      <c r="AA448" s="345">
        <f t="shared" si="179"/>
        <v>12.927294443881754</v>
      </c>
      <c r="AB448" s="346">
        <f t="shared" si="180"/>
        <v>-104.68391978576689</v>
      </c>
      <c r="AD448">
        <f t="shared" si="184"/>
        <v>0</v>
      </c>
      <c r="AE448">
        <f t="shared" si="187"/>
        <v>0</v>
      </c>
    </row>
    <row r="449" spans="1:31" x14ac:dyDescent="0.2">
      <c r="A449" s="347">
        <v>47863</v>
      </c>
      <c r="B449" s="364">
        <f t="shared" si="181"/>
        <v>47.863</v>
      </c>
      <c r="C449" s="337">
        <f t="shared" si="162"/>
        <v>52.971368676824476</v>
      </c>
      <c r="D449" s="338">
        <f t="shared" si="163"/>
        <v>1.5519170825585979</v>
      </c>
      <c r="E449" s="338">
        <f t="shared" si="164"/>
        <v>1.0072091973190747</v>
      </c>
      <c r="F449" s="339">
        <f t="shared" si="165"/>
        <v>0.11971759819231532</v>
      </c>
      <c r="G449" s="338">
        <f t="shared" si="166"/>
        <v>1</v>
      </c>
      <c r="H449" s="339">
        <f t="shared" si="167"/>
        <v>0</v>
      </c>
      <c r="I449" s="337">
        <f t="shared" si="168"/>
        <v>750701.67566191556</v>
      </c>
      <c r="J449" s="340">
        <f t="shared" si="169"/>
        <v>1.5707949947078208</v>
      </c>
      <c r="K449" s="348">
        <f t="shared" si="185"/>
        <v>74.365742384854073</v>
      </c>
      <c r="L449" s="349">
        <f t="shared" si="186"/>
        <v>1.5573488695708675</v>
      </c>
      <c r="M449" s="337">
        <f t="shared" si="170"/>
        <v>1.0140938845551681</v>
      </c>
      <c r="N449" s="340">
        <f t="shared" si="171"/>
        <v>0.16691506775099155</v>
      </c>
      <c r="O449" s="341">
        <f t="shared" si="172"/>
        <v>1.0564879702172982</v>
      </c>
      <c r="P449" s="342">
        <f t="shared" si="173"/>
        <v>0.39644589793910151</v>
      </c>
      <c r="Q449" s="343">
        <f t="shared" si="174"/>
        <v>-18.496869316399447</v>
      </c>
      <c r="R449" s="344">
        <f t="shared" si="175"/>
        <v>-115.10759790413924</v>
      </c>
      <c r="S449" s="346">
        <f t="shared" si="176"/>
        <v>64.89240209586076</v>
      </c>
      <c r="U449" s="319">
        <f t="shared" si="182"/>
        <v>47863</v>
      </c>
      <c r="V449" s="319">
        <f t="shared" si="183"/>
        <v>2290866769</v>
      </c>
      <c r="X449" s="345">
        <f t="shared" si="177"/>
        <v>17.503771776830689</v>
      </c>
      <c r="Y449" s="346">
        <f t="shared" si="178"/>
        <v>-10.333935152232447</v>
      </c>
      <c r="AA449" s="345">
        <f t="shared" si="179"/>
        <v>12.873308891424122</v>
      </c>
      <c r="AB449" s="346">
        <f t="shared" si="180"/>
        <v>-104.77366275190677</v>
      </c>
      <c r="AD449">
        <f t="shared" si="184"/>
        <v>0</v>
      </c>
      <c r="AE449">
        <f t="shared" si="187"/>
        <v>0</v>
      </c>
    </row>
    <row r="450" spans="1:31" x14ac:dyDescent="0.2">
      <c r="A450" s="347">
        <v>48141.75</v>
      </c>
      <c r="B450" s="364">
        <f t="shared" si="181"/>
        <v>48.141750000000002</v>
      </c>
      <c r="C450" s="337">
        <f t="shared" si="162"/>
        <v>53.279759750751069</v>
      </c>
      <c r="D450" s="338">
        <f t="shared" si="163"/>
        <v>1.552026371269001</v>
      </c>
      <c r="E450" s="338">
        <f t="shared" si="164"/>
        <v>1.0072931084446404</v>
      </c>
      <c r="F450" s="339">
        <f t="shared" si="165"/>
        <v>0.12040812290242332</v>
      </c>
      <c r="G450" s="338">
        <f t="shared" si="166"/>
        <v>1</v>
      </c>
      <c r="H450" s="339">
        <f t="shared" si="167"/>
        <v>0</v>
      </c>
      <c r="I450" s="337">
        <f t="shared" si="168"/>
        <v>755073.69772677531</v>
      </c>
      <c r="J450" s="340">
        <f t="shared" si="169"/>
        <v>1.5707950024208612</v>
      </c>
      <c r="K450" s="348">
        <f t="shared" si="185"/>
        <v>74.798763991815193</v>
      </c>
      <c r="L450" s="349">
        <f t="shared" si="186"/>
        <v>1.5574267236316837</v>
      </c>
      <c r="M450" s="337">
        <f t="shared" si="170"/>
        <v>1.0142573684668619</v>
      </c>
      <c r="N450" s="340">
        <f t="shared" si="171"/>
        <v>0.16786905792334494</v>
      </c>
      <c r="O450" s="341">
        <f t="shared" si="172"/>
        <v>1.0571336338338229</v>
      </c>
      <c r="P450" s="342">
        <f t="shared" si="173"/>
        <v>0.39862768236305596</v>
      </c>
      <c r="Q450" s="343">
        <f t="shared" si="174"/>
        <v>-18.553282898329005</v>
      </c>
      <c r="R450" s="344">
        <f t="shared" si="175"/>
        <v>-115.24950191731193</v>
      </c>
      <c r="S450" s="346">
        <f t="shared" si="176"/>
        <v>64.750498082688068</v>
      </c>
      <c r="U450" s="319">
        <f t="shared" si="182"/>
        <v>48141.75</v>
      </c>
      <c r="V450" s="319">
        <f t="shared" si="183"/>
        <v>2317628093.0625</v>
      </c>
      <c r="X450" s="345">
        <f t="shared" si="177"/>
        <v>17.502362553871791</v>
      </c>
      <c r="Y450" s="346">
        <f t="shared" si="178"/>
        <v>-10.384134495684547</v>
      </c>
      <c r="AA450" s="345">
        <f t="shared" si="179"/>
        <v>12.81830453245346</v>
      </c>
      <c r="AB450" s="346">
        <f t="shared" si="180"/>
        <v>-104.86536742162737</v>
      </c>
      <c r="AD450">
        <f t="shared" si="184"/>
        <v>0</v>
      </c>
      <c r="AE450">
        <f t="shared" si="187"/>
        <v>0</v>
      </c>
    </row>
    <row r="451" spans="1:31" x14ac:dyDescent="0.2">
      <c r="A451" s="347">
        <v>48420.5</v>
      </c>
      <c r="B451" s="364">
        <f t="shared" si="181"/>
        <v>48.420499999999997</v>
      </c>
      <c r="C451" s="337">
        <f t="shared" si="162"/>
        <v>53.588151453727818</v>
      </c>
      <c r="D451" s="338">
        <f t="shared" si="163"/>
        <v>1.5521344021006991</v>
      </c>
      <c r="E451" s="338">
        <f t="shared" si="164"/>
        <v>1.0073774997919644</v>
      </c>
      <c r="F451" s="339">
        <f t="shared" si="165"/>
        <v>0.12109853224660862</v>
      </c>
      <c r="G451" s="338">
        <f t="shared" si="166"/>
        <v>1</v>
      </c>
      <c r="H451" s="339">
        <f t="shared" si="167"/>
        <v>0</v>
      </c>
      <c r="I451" s="337">
        <f t="shared" si="168"/>
        <v>759445.71979163529</v>
      </c>
      <c r="J451" s="340">
        <f t="shared" si="169"/>
        <v>1.5707950100450963</v>
      </c>
      <c r="K451" s="348">
        <f t="shared" si="185"/>
        <v>75.231786046931575</v>
      </c>
      <c r="L451" s="349">
        <f t="shared" si="186"/>
        <v>1.5575036814620684</v>
      </c>
      <c r="M451" s="337">
        <f t="shared" si="170"/>
        <v>1.0144217751533824</v>
      </c>
      <c r="N451" s="340">
        <f t="shared" si="171"/>
        <v>0.16882273973825684</v>
      </c>
      <c r="O451" s="341">
        <f t="shared" si="172"/>
        <v>1.0577827335889811</v>
      </c>
      <c r="P451" s="342">
        <f t="shared" si="173"/>
        <v>0.40080742981727996</v>
      </c>
      <c r="Q451" s="343">
        <f t="shared" si="174"/>
        <v>-18.609433991544755</v>
      </c>
      <c r="R451" s="344">
        <f t="shared" si="175"/>
        <v>-115.39125743710849</v>
      </c>
      <c r="S451" s="346">
        <f t="shared" si="176"/>
        <v>64.608742562891507</v>
      </c>
      <c r="U451" s="319">
        <f t="shared" si="182"/>
        <v>48420.5</v>
      </c>
      <c r="V451" s="319">
        <f t="shared" si="183"/>
        <v>2344544820.25</v>
      </c>
      <c r="X451" s="345">
        <f t="shared" si="177"/>
        <v>17.500945811541669</v>
      </c>
      <c r="Y451" s="346">
        <f t="shared" si="178"/>
        <v>-10.434367516689743</v>
      </c>
      <c r="AA451" s="345">
        <f t="shared" si="179"/>
        <v>12.763570181567834</v>
      </c>
      <c r="AB451" s="346">
        <f t="shared" si="180"/>
        <v>-104.95688992041875</v>
      </c>
      <c r="AD451">
        <f t="shared" si="184"/>
        <v>0</v>
      </c>
      <c r="AE451">
        <f t="shared" si="187"/>
        <v>0</v>
      </c>
    </row>
    <row r="452" spans="1:31" x14ac:dyDescent="0.2">
      <c r="A452" s="347">
        <v>48699.25</v>
      </c>
      <c r="B452" s="364">
        <f t="shared" si="181"/>
        <v>48.699249999999999</v>
      </c>
      <c r="C452" s="337">
        <f t="shared" si="162"/>
        <v>53.896543774956626</v>
      </c>
      <c r="D452" s="338">
        <f t="shared" si="163"/>
        <v>1.5522411966436354</v>
      </c>
      <c r="E452" s="338">
        <f t="shared" si="164"/>
        <v>1.0074623712403681</v>
      </c>
      <c r="F452" s="339">
        <f t="shared" si="165"/>
        <v>0.12178882559575759</v>
      </c>
      <c r="G452" s="338">
        <f t="shared" si="166"/>
        <v>1</v>
      </c>
      <c r="H452" s="339">
        <f t="shared" si="167"/>
        <v>0</v>
      </c>
      <c r="I452" s="337">
        <f t="shared" si="168"/>
        <v>763817.74185649527</v>
      </c>
      <c r="J452" s="340">
        <f t="shared" si="169"/>
        <v>1.5707950175820502</v>
      </c>
      <c r="K452" s="348">
        <f t="shared" si="185"/>
        <v>75.664808542508993</v>
      </c>
      <c r="L452" s="349">
        <f t="shared" si="186"/>
        <v>1.5575797584482265</v>
      </c>
      <c r="M452" s="337">
        <f t="shared" si="170"/>
        <v>1.0145871041661416</v>
      </c>
      <c r="N452" s="340">
        <f t="shared" si="171"/>
        <v>0.16977611161128781</v>
      </c>
      <c r="O452" s="341">
        <f t="shared" si="172"/>
        <v>1.0584352646247042</v>
      </c>
      <c r="P452" s="342">
        <f t="shared" si="173"/>
        <v>0.40298513318221879</v>
      </c>
      <c r="Q452" s="343">
        <f t="shared" si="174"/>
        <v>-18.665325842551038</v>
      </c>
      <c r="R452" s="344">
        <f t="shared" si="175"/>
        <v>-115.5328643564077</v>
      </c>
      <c r="S452" s="346">
        <f t="shared" si="176"/>
        <v>64.4671356435923</v>
      </c>
      <c r="U452" s="319">
        <f t="shared" si="182"/>
        <v>48699.25</v>
      </c>
      <c r="V452" s="319">
        <f t="shared" si="183"/>
        <v>2371616950.5625</v>
      </c>
      <c r="X452" s="345">
        <f t="shared" si="177"/>
        <v>17.499521553884875</v>
      </c>
      <c r="Y452" s="346">
        <f t="shared" si="178"/>
        <v>-10.484633242989045</v>
      </c>
      <c r="AA452" s="345">
        <f t="shared" si="179"/>
        <v>12.709102588218341</v>
      </c>
      <c r="AB452" s="346">
        <f t="shared" si="180"/>
        <v>-105.04823111341865</v>
      </c>
      <c r="AD452">
        <f t="shared" si="184"/>
        <v>0</v>
      </c>
      <c r="AE452">
        <f t="shared" si="187"/>
        <v>0</v>
      </c>
    </row>
    <row r="453" spans="1:31" x14ac:dyDescent="0.2">
      <c r="A453" s="347">
        <v>48978</v>
      </c>
      <c r="B453" s="364">
        <f t="shared" si="181"/>
        <v>48.978000000000002</v>
      </c>
      <c r="C453" s="337">
        <f t="shared" si="162"/>
        <v>54.204936703885053</v>
      </c>
      <c r="D453" s="338">
        <f t="shared" si="163"/>
        <v>1.552346775996533</v>
      </c>
      <c r="E453" s="338">
        <f t="shared" si="164"/>
        <v>1.0075477226685263</v>
      </c>
      <c r="F453" s="339">
        <f t="shared" si="165"/>
        <v>0.12247900232141014</v>
      </c>
      <c r="G453" s="338">
        <f t="shared" si="166"/>
        <v>1</v>
      </c>
      <c r="H453" s="339">
        <f t="shared" si="167"/>
        <v>0</v>
      </c>
      <c r="I453" s="337">
        <f t="shared" si="168"/>
        <v>768189.76392135525</v>
      </c>
      <c r="J453" s="340">
        <f t="shared" si="169"/>
        <v>1.5707950250332134</v>
      </c>
      <c r="K453" s="348">
        <f t="shared" si="185"/>
        <v>76.097831471028314</v>
      </c>
      <c r="L453" s="349">
        <f t="shared" si="186"/>
        <v>1.5576549696261928</v>
      </c>
      <c r="M453" s="337">
        <f t="shared" si="170"/>
        <v>1.0147533550543291</v>
      </c>
      <c r="N453" s="340">
        <f t="shared" si="171"/>
        <v>0.17072917196128182</v>
      </c>
      <c r="O453" s="341">
        <f t="shared" si="172"/>
        <v>1.0590912220699584</v>
      </c>
      <c r="P453" s="342">
        <f t="shared" si="173"/>
        <v>0.40516078540285622</v>
      </c>
      <c r="Q453" s="343">
        <f t="shared" si="174"/>
        <v>-18.720961640516226</v>
      </c>
      <c r="R453" s="344">
        <f t="shared" si="175"/>
        <v>-115.67432256385328</v>
      </c>
      <c r="S453" s="346">
        <f t="shared" si="176"/>
        <v>64.325677436146719</v>
      </c>
      <c r="U453" s="319">
        <f t="shared" si="182"/>
        <v>48978</v>
      </c>
      <c r="V453" s="319">
        <f t="shared" si="183"/>
        <v>2398844484</v>
      </c>
      <c r="X453" s="345">
        <f t="shared" si="177"/>
        <v>17.49808978508268</v>
      </c>
      <c r="Y453" s="346">
        <f t="shared" si="178"/>
        <v>-10.534930722572973</v>
      </c>
      <c r="AA453" s="345">
        <f t="shared" si="179"/>
        <v>12.654898559055352</v>
      </c>
      <c r="AB453" s="346">
        <f t="shared" si="180"/>
        <v>-105.13939184128031</v>
      </c>
      <c r="AD453">
        <f t="shared" si="184"/>
        <v>0</v>
      </c>
      <c r="AE453">
        <f t="shared" si="187"/>
        <v>0</v>
      </c>
    </row>
    <row r="454" spans="1:31" x14ac:dyDescent="0.2">
      <c r="A454" s="347">
        <v>49263.25</v>
      </c>
      <c r="B454" s="364">
        <f t="shared" si="181"/>
        <v>49.263249999999999</v>
      </c>
      <c r="C454" s="337">
        <f t="shared" si="162"/>
        <v>54.520521476424001</v>
      </c>
      <c r="D454" s="338">
        <f t="shared" si="163"/>
        <v>1.5524535807760613</v>
      </c>
      <c r="E454" s="338">
        <f t="shared" si="164"/>
        <v>1.0076355611257253</v>
      </c>
      <c r="F454" s="339">
        <f t="shared" si="165"/>
        <v>0.12318515146472668</v>
      </c>
      <c r="G454" s="338">
        <f t="shared" si="166"/>
        <v>1</v>
      </c>
      <c r="H454" s="339">
        <f t="shared" si="167"/>
        <v>0</v>
      </c>
      <c r="I454" s="337">
        <f t="shared" si="168"/>
        <v>772663.73448279512</v>
      </c>
      <c r="J454" s="340">
        <f t="shared" si="169"/>
        <v>1.5707950325708306</v>
      </c>
      <c r="K454" s="348">
        <f t="shared" si="185"/>
        <v>76.540952235726991</v>
      </c>
      <c r="L454" s="349">
        <f t="shared" si="186"/>
        <v>1.5577310536099747</v>
      </c>
      <c r="M454" s="337">
        <f t="shared" si="170"/>
        <v>1.0149244365432177</v>
      </c>
      <c r="N454" s="340">
        <f t="shared" si="171"/>
        <v>0.17170413198985715</v>
      </c>
      <c r="O454" s="341">
        <f t="shared" si="172"/>
        <v>1.0597660174771553</v>
      </c>
      <c r="P454" s="342">
        <f t="shared" si="173"/>
        <v>0.40738503958223043</v>
      </c>
      <c r="Q454" s="343">
        <f t="shared" si="174"/>
        <v>-18.777632965155131</v>
      </c>
      <c r="R454" s="344">
        <f t="shared" si="175"/>
        <v>-115.81892527408672</v>
      </c>
      <c r="S454" s="346">
        <f t="shared" si="176"/>
        <v>64.181074725913277</v>
      </c>
      <c r="U454" s="319">
        <f t="shared" si="182"/>
        <v>49263.25</v>
      </c>
      <c r="V454" s="319">
        <f t="shared" si="183"/>
        <v>2426867800.5625</v>
      </c>
      <c r="X454" s="345">
        <f t="shared" si="177"/>
        <v>17.49661685833626</v>
      </c>
      <c r="Y454" s="346">
        <f t="shared" si="178"/>
        <v>-10.586432958177552</v>
      </c>
      <c r="AA454" s="345">
        <f t="shared" si="179"/>
        <v>12.599700161162865</v>
      </c>
      <c r="AB454" s="346">
        <f t="shared" si="180"/>
        <v>-105.23249231590916</v>
      </c>
      <c r="AD454">
        <f t="shared" si="184"/>
        <v>0</v>
      </c>
      <c r="AE454">
        <f t="shared" si="187"/>
        <v>0</v>
      </c>
    </row>
    <row r="455" spans="1:31" x14ac:dyDescent="0.2">
      <c r="A455" s="347">
        <v>49548.5</v>
      </c>
      <c r="B455" s="364">
        <f t="shared" si="181"/>
        <v>49.548499999999997</v>
      </c>
      <c r="C455" s="337">
        <f t="shared" si="162"/>
        <v>54.836106863734265</v>
      </c>
      <c r="D455" s="338">
        <f t="shared" si="163"/>
        <v>1.5525591562197767</v>
      </c>
      <c r="E455" s="338">
        <f t="shared" si="164"/>
        <v>1.0077239019492443</v>
      </c>
      <c r="F455" s="339">
        <f t="shared" si="165"/>
        <v>0.12389117715273111</v>
      </c>
      <c r="G455" s="338">
        <f t="shared" si="166"/>
        <v>1</v>
      </c>
      <c r="H455" s="339">
        <f t="shared" si="167"/>
        <v>0</v>
      </c>
      <c r="I455" s="337">
        <f t="shared" si="168"/>
        <v>777137.70504423487</v>
      </c>
      <c r="J455" s="340">
        <f t="shared" si="169"/>
        <v>1.5707950400216599</v>
      </c>
      <c r="K455" s="348">
        <f t="shared" si="185"/>
        <v>76.984073438403129</v>
      </c>
      <c r="L455" s="349">
        <f t="shared" si="186"/>
        <v>1.5578062617136352</v>
      </c>
      <c r="M455" s="337">
        <f t="shared" si="170"/>
        <v>1.0150964824398212</v>
      </c>
      <c r="N455" s="340">
        <f t="shared" si="171"/>
        <v>0.17267876245804359</v>
      </c>
      <c r="O455" s="341">
        <f t="shared" si="172"/>
        <v>1.060444390592292</v>
      </c>
      <c r="P455" s="342">
        <f t="shared" si="173"/>
        <v>0.40960713110209657</v>
      </c>
      <c r="Q455" s="343">
        <f t="shared" si="174"/>
        <v>-18.834042734868962</v>
      </c>
      <c r="R455" s="344">
        <f t="shared" si="175"/>
        <v>-115.96337200761462</v>
      </c>
      <c r="S455" s="346">
        <f t="shared" si="176"/>
        <v>64.036627992385377</v>
      </c>
      <c r="U455" s="319">
        <f t="shared" si="182"/>
        <v>49548.5</v>
      </c>
      <c r="V455" s="319">
        <f t="shared" si="183"/>
        <v>2455053852.25</v>
      </c>
      <c r="X455" s="345">
        <f t="shared" si="177"/>
        <v>17.495136075347204</v>
      </c>
      <c r="Y455" s="346">
        <f t="shared" si="178"/>
        <v>-10.637966490624514</v>
      </c>
      <c r="AA455" s="345">
        <f t="shared" si="179"/>
        <v>12.544771174438091</v>
      </c>
      <c r="AB455" s="346">
        <f t="shared" si="180"/>
        <v>-105.3254055169901</v>
      </c>
      <c r="AD455">
        <f t="shared" si="184"/>
        <v>0</v>
      </c>
      <c r="AE455">
        <f t="shared" si="187"/>
        <v>0</v>
      </c>
    </row>
    <row r="456" spans="1:31" x14ac:dyDescent="0.2">
      <c r="A456" s="347">
        <v>49833.75</v>
      </c>
      <c r="B456" s="364">
        <f t="shared" si="181"/>
        <v>49.833750000000002</v>
      </c>
      <c r="C456" s="337">
        <f t="shared" si="162"/>
        <v>55.151692855262453</v>
      </c>
      <c r="D456" s="338">
        <f t="shared" si="163"/>
        <v>1.5526635234286186</v>
      </c>
      <c r="E456" s="338">
        <f t="shared" si="164"/>
        <v>1.0078127450069774</v>
      </c>
      <c r="F456" s="339">
        <f t="shared" si="165"/>
        <v>0.12459707871411276</v>
      </c>
      <c r="G456" s="338">
        <f t="shared" si="166"/>
        <v>1</v>
      </c>
      <c r="H456" s="339">
        <f t="shared" si="167"/>
        <v>0</v>
      </c>
      <c r="I456" s="337">
        <f t="shared" si="168"/>
        <v>781611.67560567474</v>
      </c>
      <c r="J456" s="340">
        <f t="shared" si="169"/>
        <v>1.5707950473871917</v>
      </c>
      <c r="K456" s="348">
        <f t="shared" si="185"/>
        <v>77.427195071536985</v>
      </c>
      <c r="L456" s="349">
        <f t="shared" si="186"/>
        <v>1.5578806089744983</v>
      </c>
      <c r="M456" s="337">
        <f t="shared" si="170"/>
        <v>1.0152694922538585</v>
      </c>
      <c r="N456" s="340">
        <f t="shared" si="171"/>
        <v>0.17365306168224226</v>
      </c>
      <c r="O456" s="341">
        <f t="shared" si="172"/>
        <v>1.0611263361547083</v>
      </c>
      <c r="P456" s="342">
        <f t="shared" si="173"/>
        <v>0.4118270526120299</v>
      </c>
      <c r="Q456" s="343">
        <f t="shared" si="174"/>
        <v>-18.890194189075203</v>
      </c>
      <c r="R456" s="344">
        <f t="shared" si="175"/>
        <v>-116.10766263279382</v>
      </c>
      <c r="S456" s="346">
        <f t="shared" si="176"/>
        <v>63.892337367206181</v>
      </c>
      <c r="U456" s="319">
        <f t="shared" si="182"/>
        <v>49833.75</v>
      </c>
      <c r="V456" s="319">
        <f t="shared" si="183"/>
        <v>2483402639.0625</v>
      </c>
      <c r="X456" s="345">
        <f t="shared" si="177"/>
        <v>17.493647441018062</v>
      </c>
      <c r="Y456" s="346">
        <f t="shared" si="178"/>
        <v>-10.689530361960964</v>
      </c>
      <c r="AA456" s="345">
        <f t="shared" si="179"/>
        <v>12.490108354560991</v>
      </c>
      <c r="AB456" s="346">
        <f t="shared" si="180"/>
        <v>-105.41813227083288</v>
      </c>
      <c r="AD456">
        <f t="shared" si="184"/>
        <v>0</v>
      </c>
      <c r="AE456">
        <f t="shared" si="187"/>
        <v>0</v>
      </c>
    </row>
    <row r="457" spans="1:31" x14ac:dyDescent="0.2">
      <c r="A457" s="347">
        <v>50119</v>
      </c>
      <c r="B457" s="364">
        <f t="shared" si="181"/>
        <v>50.119</v>
      </c>
      <c r="C457" s="337">
        <f t="shared" si="162"/>
        <v>55.467279440695314</v>
      </c>
      <c r="D457" s="338">
        <f t="shared" si="163"/>
        <v>1.5527667030234105</v>
      </c>
      <c r="E457" s="338">
        <f t="shared" si="164"/>
        <v>1.0079020901661135</v>
      </c>
      <c r="F457" s="339">
        <f t="shared" si="165"/>
        <v>0.12530285547829176</v>
      </c>
      <c r="G457" s="338">
        <f t="shared" si="166"/>
        <v>1</v>
      </c>
      <c r="H457" s="339">
        <f t="shared" si="167"/>
        <v>0</v>
      </c>
      <c r="I457" s="337">
        <f t="shared" si="168"/>
        <v>786085.64616711461</v>
      </c>
      <c r="J457" s="340">
        <f t="shared" si="169"/>
        <v>1.5707950546688823</v>
      </c>
      <c r="K457" s="348">
        <f t="shared" si="185"/>
        <v>77.87031712777997</v>
      </c>
      <c r="L457" s="349">
        <f t="shared" si="186"/>
        <v>1.5579541100876468</v>
      </c>
      <c r="M457" s="337">
        <f t="shared" si="170"/>
        <v>1.0154434654926374</v>
      </c>
      <c r="N457" s="340">
        <f t="shared" si="171"/>
        <v>0.17462702798251406</v>
      </c>
      <c r="O457" s="341">
        <f t="shared" si="172"/>
        <v>1.061811848890402</v>
      </c>
      <c r="P457" s="342">
        <f t="shared" si="173"/>
        <v>0.4140447968322446</v>
      </c>
      <c r="Q457" s="343">
        <f t="shared" si="174"/>
        <v>-18.946090509847174</v>
      </c>
      <c r="R457" s="344">
        <f t="shared" si="175"/>
        <v>-116.25179701429471</v>
      </c>
      <c r="S457" s="346">
        <f t="shared" si="176"/>
        <v>63.748202985705291</v>
      </c>
      <c r="U457" s="319">
        <f t="shared" si="182"/>
        <v>50119</v>
      </c>
      <c r="V457" s="319">
        <f t="shared" si="183"/>
        <v>2511914161</v>
      </c>
      <c r="X457" s="345">
        <f t="shared" si="177"/>
        <v>17.492150960386411</v>
      </c>
      <c r="Y457" s="346">
        <f t="shared" si="178"/>
        <v>-10.741123634050686</v>
      </c>
      <c r="AA457" s="345">
        <f t="shared" si="179"/>
        <v>12.43570851442067</v>
      </c>
      <c r="AB457" s="346">
        <f t="shared" si="180"/>
        <v>-105.51067338024404</v>
      </c>
      <c r="AD457">
        <f t="shared" si="184"/>
        <v>0</v>
      </c>
      <c r="AE457">
        <f t="shared" si="187"/>
        <v>0</v>
      </c>
    </row>
    <row r="458" spans="1:31" x14ac:dyDescent="0.2">
      <c r="A458" s="347">
        <v>50410.75</v>
      </c>
      <c r="B458" s="364">
        <f t="shared" si="181"/>
        <v>50.41075</v>
      </c>
      <c r="C458" s="337">
        <f t="shared" si="162"/>
        <v>55.790057910631774</v>
      </c>
      <c r="D458" s="338">
        <f t="shared" si="163"/>
        <v>1.5528710262629857</v>
      </c>
      <c r="E458" s="338">
        <f t="shared" si="164"/>
        <v>1.0079939904906696</v>
      </c>
      <c r="F458" s="339">
        <f t="shared" si="165"/>
        <v>0.12602458500459551</v>
      </c>
      <c r="G458" s="338">
        <f t="shared" si="166"/>
        <v>1</v>
      </c>
      <c r="H458" s="339">
        <f t="shared" si="167"/>
        <v>0</v>
      </c>
      <c r="I458" s="337">
        <f t="shared" si="168"/>
        <v>790661.56522513414</v>
      </c>
      <c r="J458" s="340">
        <f t="shared" si="169"/>
        <v>1.5707950620312556</v>
      </c>
      <c r="K458" s="348">
        <f t="shared" si="185"/>
        <v>78.323537049330568</v>
      </c>
      <c r="L458" s="349">
        <f t="shared" si="186"/>
        <v>1.5580284257516923</v>
      </c>
      <c r="M458" s="337">
        <f t="shared" si="170"/>
        <v>1.0156223991538376</v>
      </c>
      <c r="N458" s="340">
        <f t="shared" si="171"/>
        <v>0.17562284194401181</v>
      </c>
      <c r="O458" s="341">
        <f t="shared" si="172"/>
        <v>1.062516666941121</v>
      </c>
      <c r="P458" s="342">
        <f t="shared" si="173"/>
        <v>0.41631081706450168</v>
      </c>
      <c r="Q458" s="343">
        <f t="shared" si="174"/>
        <v>-19.00299987935157</v>
      </c>
      <c r="R458" s="344">
        <f t="shared" si="175"/>
        <v>-116.39905402069361</v>
      </c>
      <c r="S458" s="346">
        <f t="shared" si="176"/>
        <v>63.600945979306388</v>
      </c>
      <c r="U458" s="319">
        <f t="shared" si="182"/>
        <v>50410.75</v>
      </c>
      <c r="V458" s="319">
        <f t="shared" si="183"/>
        <v>2541243715.5625</v>
      </c>
      <c r="X458" s="345">
        <f t="shared" si="177"/>
        <v>17.490612268265465</v>
      </c>
      <c r="Y458" s="346">
        <f t="shared" si="178"/>
        <v>-10.793922019216437</v>
      </c>
      <c r="AA458" s="345">
        <f t="shared" si="179"/>
        <v>12.380337837037223</v>
      </c>
      <c r="AB458" s="346">
        <f t="shared" si="180"/>
        <v>-105.60513200147717</v>
      </c>
      <c r="AD458">
        <f t="shared" si="184"/>
        <v>0</v>
      </c>
      <c r="AE458">
        <f t="shared" si="187"/>
        <v>0</v>
      </c>
    </row>
    <row r="459" spans="1:31" x14ac:dyDescent="0.2">
      <c r="A459" s="347">
        <v>50702.5</v>
      </c>
      <c r="B459" s="364">
        <f t="shared" si="181"/>
        <v>50.702500000000001</v>
      </c>
      <c r="C459" s="337">
        <f t="shared" si="162"/>
        <v>56.112836980764911</v>
      </c>
      <c r="D459" s="338">
        <f t="shared" si="163"/>
        <v>1.5529741493020761</v>
      </c>
      <c r="E459" s="338">
        <f t="shared" si="164"/>
        <v>1.0080864157768612</v>
      </c>
      <c r="F459" s="339">
        <f t="shared" si="165"/>
        <v>0.12674618256477341</v>
      </c>
      <c r="G459" s="338">
        <f t="shared" si="166"/>
        <v>1</v>
      </c>
      <c r="H459" s="339">
        <f t="shared" si="167"/>
        <v>0</v>
      </c>
      <c r="I459" s="337">
        <f t="shared" si="168"/>
        <v>795237.4842831539</v>
      </c>
      <c r="J459" s="340">
        <f t="shared" si="169"/>
        <v>1.5707950693089006</v>
      </c>
      <c r="K459" s="348">
        <f t="shared" si="185"/>
        <v>78.776757398470508</v>
      </c>
      <c r="L459" s="349">
        <f t="shared" si="186"/>
        <v>1.5581018863067821</v>
      </c>
      <c r="M459" s="337">
        <f t="shared" si="170"/>
        <v>1.0158023395969675</v>
      </c>
      <c r="N459" s="340">
        <f t="shared" si="171"/>
        <v>0.1766183040930086</v>
      </c>
      <c r="O459" s="341">
        <f t="shared" si="172"/>
        <v>1.063225205386237</v>
      </c>
      <c r="P459" s="342">
        <f t="shared" si="173"/>
        <v>0.4185745444703538</v>
      </c>
      <c r="Q459" s="343">
        <f t="shared" si="174"/>
        <v>-19.059648910752337</v>
      </c>
      <c r="R459" s="344">
        <f t="shared" si="175"/>
        <v>-116.54614728440396</v>
      </c>
      <c r="S459" s="346">
        <f t="shared" si="176"/>
        <v>63.453852715596042</v>
      </c>
      <c r="U459" s="319">
        <f t="shared" si="182"/>
        <v>50702.5</v>
      </c>
      <c r="V459" s="319">
        <f t="shared" si="183"/>
        <v>2570743506.25</v>
      </c>
      <c r="X459" s="345">
        <f t="shared" si="177"/>
        <v>17.489065379257475</v>
      </c>
      <c r="Y459" s="346">
        <f t="shared" si="178"/>
        <v>-10.84674923629035</v>
      </c>
      <c r="AA459" s="345">
        <f t="shared" si="179"/>
        <v>12.32523569464445</v>
      </c>
      <c r="AB459" s="346">
        <f t="shared" si="180"/>
        <v>-105.69939804811364</v>
      </c>
      <c r="AD459">
        <f t="shared" si="184"/>
        <v>0</v>
      </c>
      <c r="AE459">
        <f t="shared" si="187"/>
        <v>0</v>
      </c>
    </row>
    <row r="460" spans="1:31" x14ac:dyDescent="0.2">
      <c r="A460" s="347">
        <v>50994.25</v>
      </c>
      <c r="B460" s="364">
        <f t="shared" si="181"/>
        <v>50.994250000000001</v>
      </c>
      <c r="C460" s="337">
        <f t="shared" si="162"/>
        <v>56.435616640796376</v>
      </c>
      <c r="D460" s="338">
        <f t="shared" si="163"/>
        <v>1.5530760927318639</v>
      </c>
      <c r="E460" s="338">
        <f t="shared" si="164"/>
        <v>1.0081793658803102</v>
      </c>
      <c r="F460" s="339">
        <f t="shared" si="165"/>
        <v>0.12746764744374731</v>
      </c>
      <c r="G460" s="338">
        <f t="shared" si="166"/>
        <v>1</v>
      </c>
      <c r="H460" s="339">
        <f t="shared" si="167"/>
        <v>0</v>
      </c>
      <c r="I460" s="337">
        <f t="shared" si="168"/>
        <v>799813.40334117354</v>
      </c>
      <c r="J460" s="340">
        <f t="shared" si="169"/>
        <v>1.5707950765032712</v>
      </c>
      <c r="K460" s="348">
        <f t="shared" si="185"/>
        <v>79.22997816786193</v>
      </c>
      <c r="L460" s="349">
        <f t="shared" si="186"/>
        <v>1.5581745064266053</v>
      </c>
      <c r="M460" s="337">
        <f t="shared" si="170"/>
        <v>1.015983286287095</v>
      </c>
      <c r="N460" s="340">
        <f t="shared" si="171"/>
        <v>0.17761341264406269</v>
      </c>
      <c r="O460" s="341">
        <f t="shared" si="172"/>
        <v>1.063937458541061</v>
      </c>
      <c r="P460" s="342">
        <f t="shared" si="173"/>
        <v>0.42083597148993701</v>
      </c>
      <c r="Q460" s="343">
        <f t="shared" si="174"/>
        <v>-19.11604083085539</v>
      </c>
      <c r="R460" s="344">
        <f t="shared" si="175"/>
        <v>-116.6930766500809</v>
      </c>
      <c r="S460" s="346">
        <f t="shared" si="176"/>
        <v>63.306923349919103</v>
      </c>
      <c r="U460" s="319">
        <f t="shared" si="182"/>
        <v>50994.25</v>
      </c>
      <c r="V460" s="319">
        <f t="shared" si="183"/>
        <v>2600413533.0625</v>
      </c>
      <c r="X460" s="345">
        <f t="shared" si="177"/>
        <v>17.487510299168822</v>
      </c>
      <c r="Y460" s="346">
        <f t="shared" si="178"/>
        <v>-10.899604342316994</v>
      </c>
      <c r="AA460" s="345">
        <f t="shared" si="179"/>
        <v>12.270398854630045</v>
      </c>
      <c r="AB460" s="346">
        <f t="shared" si="180"/>
        <v>-105.79347230776391</v>
      </c>
      <c r="AD460">
        <f t="shared" si="184"/>
        <v>0</v>
      </c>
      <c r="AE460">
        <f t="shared" si="187"/>
        <v>0</v>
      </c>
    </row>
    <row r="461" spans="1:31" x14ac:dyDescent="0.2">
      <c r="A461" s="347">
        <v>51286</v>
      </c>
      <c r="B461" s="364">
        <f t="shared" si="181"/>
        <v>51.286000000000001</v>
      </c>
      <c r="C461" s="337">
        <f t="shared" ref="C461:C524" si="188">SQRT(1+(A461/pole1)^2)</f>
        <v>56.758396880662097</v>
      </c>
      <c r="D461" s="338">
        <f t="shared" ref="D461:D524" si="189">ATAN(A461/pole1)</f>
        <v>1.553176876675229</v>
      </c>
      <c r="E461" s="338">
        <f t="shared" ref="E461:E524" si="190">SQRT(1+(A461/Zero1)^2)</f>
        <v>1.0082728406558716</v>
      </c>
      <c r="F461" s="339">
        <f t="shared" ref="F461:F524" si="191">ATAN(A461/Zero1)</f>
        <v>0.12818897892725456</v>
      </c>
      <c r="G461" s="338">
        <f t="shared" ref="G461:G524" si="192">IF(VIN_nom&gt;Vout, 1, SQRT(1+(A461/z_RHP)^2))</f>
        <v>1</v>
      </c>
      <c r="H461" s="339">
        <f t="shared" ref="H461:H524" si="193">IF(VIN_nom&gt;Vout, 0, -ATAN(A461/z_RHP))</f>
        <v>0</v>
      </c>
      <c r="I461" s="337">
        <f t="shared" ref="I461:I524" si="194">SQRT(1+(A461/Pole2)^2)</f>
        <v>804389.3223991933</v>
      </c>
      <c r="J461" s="340">
        <f t="shared" ref="J461:J524" si="195">ATAN(A461/Pole2)</f>
        <v>1.5707950836157889</v>
      </c>
      <c r="K461" s="348">
        <f t="shared" si="185"/>
        <v>79.68319935033395</v>
      </c>
      <c r="L461" s="349">
        <f t="shared" si="186"/>
        <v>1.558246300451043</v>
      </c>
      <c r="M461" s="337">
        <f t="shared" ref="M461:M524" si="196">SQRT(1+(A461/pole4)^2)</f>
        <v>1.016165238686678</v>
      </c>
      <c r="N461" s="340">
        <f t="shared" ref="N461:N524" si="197">ATAN(A461/pole4)</f>
        <v>0.1786081658158018</v>
      </c>
      <c r="O461" s="341">
        <f t="shared" ref="O461:O524" si="198">SQRT((1-(V461/pterm2))^2+(A461/pterm1)^2)</f>
        <v>1.0646534207072755</v>
      </c>
      <c r="P461" s="342">
        <f t="shared" ref="P461:P524" si="199">IF((ATAN((A461/pterm1)/(1-A461^2/pterm2))&gt;0),ATAN((A461/pterm1)/(1-A461^2/pterm2)),PI()+ATAN((A461/pterm1)/(1-A461^2/pterm2)))</f>
        <v>0.42309509064045603</v>
      </c>
      <c r="Q461" s="343">
        <f t="shared" ref="Q461:Q524" si="200">20*LOG10(((E461*K461*G461)/(C461*I461*O461*M461))*Adc)</f>
        <v>-19.172178809234431</v>
      </c>
      <c r="R461" s="344">
        <f t="shared" ref="R461:R524" si="201">((F461+L461+H461)-(D461+J461+P461+N461))*radconv</f>
        <v>-116.83984195927376</v>
      </c>
      <c r="S461" s="346">
        <f t="shared" ref="S461:S524" si="202">IF(R461&gt;0,R461,R461+180)</f>
        <v>63.160158040726245</v>
      </c>
      <c r="U461" s="319">
        <f t="shared" si="182"/>
        <v>51286</v>
      </c>
      <c r="V461" s="319">
        <f t="shared" si="183"/>
        <v>2630253796</v>
      </c>
      <c r="X461" s="345">
        <f t="shared" ref="X461:X524" si="203">20*LOG10((K461/(I461*M461))*AEA)</f>
        <v>17.485947033939361</v>
      </c>
      <c r="Y461" s="346">
        <f t="shared" ref="Y461:Y524" si="204">(L461-(J461+N461))*radconv</f>
        <v>-10.952486413698033</v>
      </c>
      <c r="AA461" s="345">
        <f t="shared" ref="AA461:AA524" si="205">20*LOG10((E461*G461/(C461*O461))*Acs*Am)</f>
        <v>12.215824141480461</v>
      </c>
      <c r="AB461" s="346">
        <f t="shared" ref="AB461:AB524" si="206">(F461+H461-(D461+P461))*radconv</f>
        <v>-105.88735554557573</v>
      </c>
      <c r="AD461">
        <f t="shared" si="184"/>
        <v>0</v>
      </c>
      <c r="AE461">
        <f t="shared" si="187"/>
        <v>0</v>
      </c>
    </row>
    <row r="462" spans="1:31" x14ac:dyDescent="0.2">
      <c r="A462" s="347">
        <v>51584.75</v>
      </c>
      <c r="B462" s="364">
        <f t="shared" ref="B462:B525" si="207">A462/1000</f>
        <v>51.58475</v>
      </c>
      <c r="C462" s="337">
        <f t="shared" si="188"/>
        <v>57.08892222416236</v>
      </c>
      <c r="D462" s="338">
        <f t="shared" si="189"/>
        <v>1.5532788977341223</v>
      </c>
      <c r="E462" s="338">
        <f t="shared" si="190"/>
        <v>1.0083691017387753</v>
      </c>
      <c r="F462" s="339">
        <f t="shared" si="191"/>
        <v>0.12892747844154498</v>
      </c>
      <c r="G462" s="338">
        <f t="shared" si="192"/>
        <v>1</v>
      </c>
      <c r="H462" s="339">
        <f t="shared" si="193"/>
        <v>0</v>
      </c>
      <c r="I462" s="337">
        <f t="shared" si="194"/>
        <v>809075.03214583744</v>
      </c>
      <c r="J462" s="340">
        <f t="shared" si="195"/>
        <v>1.5707950908155865</v>
      </c>
      <c r="K462" s="348">
        <f t="shared" si="185"/>
        <v>80.147295155016735</v>
      </c>
      <c r="L462" s="349">
        <f t="shared" si="186"/>
        <v>1.5583189756139344</v>
      </c>
      <c r="M462" s="337">
        <f t="shared" si="196"/>
        <v>1.0163525983264361</v>
      </c>
      <c r="N462" s="340">
        <f t="shared" si="197"/>
        <v>0.1796264161163727</v>
      </c>
      <c r="O462" s="341">
        <f t="shared" si="198"/>
        <v>1.0653903986563436</v>
      </c>
      <c r="P462" s="342">
        <f t="shared" si="199"/>
        <v>0.42540601383564614</v>
      </c>
      <c r="Q462" s="343">
        <f t="shared" si="200"/>
        <v>-19.229403812206968</v>
      </c>
      <c r="R462" s="344">
        <f t="shared" si="201"/>
        <v>-116.98995845318287</v>
      </c>
      <c r="S462" s="346">
        <f t="shared" si="202"/>
        <v>63.010041546817135</v>
      </c>
      <c r="U462" s="319">
        <f t="shared" ref="U462:U525" si="208">IF(Q462&lt;0,A462,1000000000)</f>
        <v>51584.75</v>
      </c>
      <c r="V462" s="319">
        <f t="shared" ref="V462:V525" si="209">A462^2</f>
        <v>2660986432.5625</v>
      </c>
      <c r="X462" s="345">
        <f t="shared" si="203"/>
        <v>17.484337785324527</v>
      </c>
      <c r="Y462" s="346">
        <f t="shared" si="204"/>
        <v>-11.006664290879494</v>
      </c>
      <c r="AA462" s="345">
        <f t="shared" si="205"/>
        <v>12.16020838712276</v>
      </c>
      <c r="AB462" s="346">
        <f t="shared" si="206"/>
        <v>-105.98329416230337</v>
      </c>
      <c r="AD462">
        <f t="shared" ref="AD462:AD525" si="210">SUM((Q463&lt;0)*(Q462&gt;0))*A462</f>
        <v>0</v>
      </c>
      <c r="AE462">
        <f t="shared" si="187"/>
        <v>0</v>
      </c>
    </row>
    <row r="463" spans="1:31" x14ac:dyDescent="0.2">
      <c r="A463" s="347">
        <v>51883.5</v>
      </c>
      <c r="B463" s="364">
        <f t="shared" si="207"/>
        <v>51.883499999999998</v>
      </c>
      <c r="C463" s="337">
        <f t="shared" si="188"/>
        <v>57.419448155020241</v>
      </c>
      <c r="D463" s="338">
        <f t="shared" si="189"/>
        <v>1.5533797442580211</v>
      </c>
      <c r="E463" s="338">
        <f t="shared" si="190"/>
        <v>1.0084659126624023</v>
      </c>
      <c r="F463" s="339">
        <f t="shared" si="191"/>
        <v>0.12966583656919342</v>
      </c>
      <c r="G463" s="338">
        <f t="shared" si="192"/>
        <v>1</v>
      </c>
      <c r="H463" s="339">
        <f t="shared" si="193"/>
        <v>0</v>
      </c>
      <c r="I463" s="337">
        <f t="shared" si="194"/>
        <v>813760.74189248157</v>
      </c>
      <c r="J463" s="340">
        <f t="shared" si="195"/>
        <v>1.5707950979324699</v>
      </c>
      <c r="K463" s="348">
        <f t="shared" si="185"/>
        <v>80.611391378137611</v>
      </c>
      <c r="L463" s="349">
        <f t="shared" si="186"/>
        <v>1.5583908139657279</v>
      </c>
      <c r="M463" s="337">
        <f t="shared" si="196"/>
        <v>1.0165410113657065</v>
      </c>
      <c r="N463" s="340">
        <f t="shared" si="197"/>
        <v>0.18064429001228186</v>
      </c>
      <c r="O463" s="341">
        <f t="shared" si="198"/>
        <v>1.0661312535974898</v>
      </c>
      <c r="P463" s="342">
        <f t="shared" si="199"/>
        <v>0.42771450145384132</v>
      </c>
      <c r="Q463" s="343">
        <f t="shared" si="200"/>
        <v>-19.286369089949417</v>
      </c>
      <c r="R463" s="344">
        <f t="shared" si="201"/>
        <v>-117.13990257836409</v>
      </c>
      <c r="S463" s="346">
        <f t="shared" si="202"/>
        <v>62.860097421635913</v>
      </c>
      <c r="U463" s="319">
        <f t="shared" si="208"/>
        <v>51883.5</v>
      </c>
      <c r="V463" s="319">
        <f t="shared" si="209"/>
        <v>2691897572.25</v>
      </c>
      <c r="X463" s="345">
        <f t="shared" si="203"/>
        <v>17.482719967103236</v>
      </c>
      <c r="Y463" s="346">
        <f t="shared" si="204"/>
        <v>-11.060868542655991</v>
      </c>
      <c r="AA463" s="345">
        <f t="shared" si="205"/>
        <v>12.104860927601601</v>
      </c>
      <c r="AB463" s="346">
        <f t="shared" si="206"/>
        <v>-106.07903403570809</v>
      </c>
      <c r="AD463">
        <f t="shared" si="210"/>
        <v>0</v>
      </c>
      <c r="AE463">
        <f t="shared" si="187"/>
        <v>0</v>
      </c>
    </row>
    <row r="464" spans="1:31" x14ac:dyDescent="0.2">
      <c r="A464" s="347">
        <v>52182.25</v>
      </c>
      <c r="B464" s="364">
        <f t="shared" si="207"/>
        <v>52.182250000000003</v>
      </c>
      <c r="C464" s="337">
        <f t="shared" si="188"/>
        <v>57.749974663150702</v>
      </c>
      <c r="D464" s="338">
        <f t="shared" si="189"/>
        <v>1.5534794364118758</v>
      </c>
      <c r="E464" s="338">
        <f t="shared" si="190"/>
        <v>1.0085632732684167</v>
      </c>
      <c r="F464" s="339">
        <f t="shared" si="191"/>
        <v>0.13040405254596552</v>
      </c>
      <c r="G464" s="338">
        <f t="shared" si="192"/>
        <v>1</v>
      </c>
      <c r="H464" s="339">
        <f t="shared" si="193"/>
        <v>0</v>
      </c>
      <c r="I464" s="337">
        <f t="shared" si="194"/>
        <v>818446.45163912571</v>
      </c>
      <c r="J464" s="340">
        <f t="shared" si="195"/>
        <v>1.5707951049678632</v>
      </c>
      <c r="K464" s="348">
        <f t="shared" si="185"/>
        <v>81.075488012510903</v>
      </c>
      <c r="L464" s="349">
        <f t="shared" si="186"/>
        <v>1.5584618298760318</v>
      </c>
      <c r="M464" s="337">
        <f t="shared" si="196"/>
        <v>1.0167304772188646</v>
      </c>
      <c r="N464" s="340">
        <f t="shared" si="197"/>
        <v>0.1816617856042041</v>
      </c>
      <c r="O464" s="341">
        <f t="shared" si="198"/>
        <v>1.0668759793694911</v>
      </c>
      <c r="P464" s="342">
        <f t="shared" si="199"/>
        <v>0.43002054571134984</v>
      </c>
      <c r="Q464" s="343">
        <f t="shared" si="200"/>
        <v>-19.343077867521885</v>
      </c>
      <c r="R464" s="344">
        <f t="shared" si="201"/>
        <v>-117.28967415593905</v>
      </c>
      <c r="S464" s="346">
        <f t="shared" si="202"/>
        <v>62.710325844060947</v>
      </c>
      <c r="U464" s="319">
        <f t="shared" si="208"/>
        <v>52182.25</v>
      </c>
      <c r="V464" s="319">
        <f t="shared" si="209"/>
        <v>2722987215.0625</v>
      </c>
      <c r="X464" s="345">
        <f t="shared" si="203"/>
        <v>17.481093586067214</v>
      </c>
      <c r="Y464" s="346">
        <f t="shared" si="204"/>
        <v>-11.115098236967921</v>
      </c>
      <c r="AA464" s="345">
        <f t="shared" si="205"/>
        <v>12.049778531065162</v>
      </c>
      <c r="AB464" s="346">
        <f t="shared" si="206"/>
        <v>-106.17457591897114</v>
      </c>
      <c r="AD464">
        <f t="shared" si="210"/>
        <v>0</v>
      </c>
      <c r="AE464">
        <f t="shared" si="187"/>
        <v>0</v>
      </c>
    </row>
    <row r="465" spans="1:31" x14ac:dyDescent="0.2">
      <c r="A465" s="347">
        <v>52481</v>
      </c>
      <c r="B465" s="364">
        <f t="shared" si="207"/>
        <v>52.481000000000002</v>
      </c>
      <c r="C465" s="337">
        <f t="shared" si="188"/>
        <v>58.080501738698246</v>
      </c>
      <c r="D465" s="338">
        <f t="shared" si="189"/>
        <v>1.5535779939017069</v>
      </c>
      <c r="E465" s="338">
        <f t="shared" si="190"/>
        <v>1.0086611833976447</v>
      </c>
      <c r="F465" s="339">
        <f t="shared" si="191"/>
        <v>0.13114212560854097</v>
      </c>
      <c r="G465" s="338">
        <f t="shared" si="192"/>
        <v>1</v>
      </c>
      <c r="H465" s="339">
        <f t="shared" si="193"/>
        <v>0</v>
      </c>
      <c r="I465" s="337">
        <f t="shared" si="194"/>
        <v>823132.16138576996</v>
      </c>
      <c r="J465" s="340">
        <f t="shared" si="195"/>
        <v>1.570795111923158</v>
      </c>
      <c r="K465" s="348">
        <f t="shared" si="185"/>
        <v>81.539585051114429</v>
      </c>
      <c r="L465" s="349">
        <f t="shared" si="186"/>
        <v>1.558532037387339</v>
      </c>
      <c r="M465" s="337">
        <f t="shared" si="196"/>
        <v>1.0169209952974507</v>
      </c>
      <c r="N465" s="340">
        <f t="shared" si="197"/>
        <v>0.18267890099735895</v>
      </c>
      <c r="O465" s="341">
        <f t="shared" si="198"/>
        <v>1.067624569797222</v>
      </c>
      <c r="P465" s="342">
        <f t="shared" si="199"/>
        <v>0.43232413890886334</v>
      </c>
      <c r="Q465" s="343">
        <f t="shared" si="200"/>
        <v>-19.399533312597327</v>
      </c>
      <c r="R465" s="344">
        <f t="shared" si="201"/>
        <v>-117.43927300451803</v>
      </c>
      <c r="S465" s="346">
        <f t="shared" si="202"/>
        <v>62.560726995481971</v>
      </c>
      <c r="U465" s="319">
        <f t="shared" si="208"/>
        <v>52481</v>
      </c>
      <c r="V465" s="319">
        <f t="shared" si="209"/>
        <v>2754255361</v>
      </c>
      <c r="X465" s="345">
        <f t="shared" si="203"/>
        <v>17.479458649141101</v>
      </c>
      <c r="Y465" s="346">
        <f t="shared" si="204"/>
        <v>-11.169352460756491</v>
      </c>
      <c r="AA465" s="345">
        <f t="shared" si="205"/>
        <v>11.994958022915831</v>
      </c>
      <c r="AB465" s="346">
        <f t="shared" si="206"/>
        <v>-106.26992054376154</v>
      </c>
      <c r="AD465">
        <f t="shared" si="210"/>
        <v>0</v>
      </c>
      <c r="AE465">
        <f t="shared" si="187"/>
        <v>0</v>
      </c>
    </row>
    <row r="466" spans="1:31" x14ac:dyDescent="0.2">
      <c r="A466" s="347">
        <v>52786.5</v>
      </c>
      <c r="B466" s="364">
        <f t="shared" si="207"/>
        <v>52.786499999999997</v>
      </c>
      <c r="C466" s="337">
        <f t="shared" si="188"/>
        <v>58.418497366768605</v>
      </c>
      <c r="D466" s="338">
        <f t="shared" si="189"/>
        <v>1.5536776248698785</v>
      </c>
      <c r="E466" s="338">
        <f t="shared" si="190"/>
        <v>1.0087618738430228</v>
      </c>
      <c r="F466" s="339">
        <f t="shared" si="191"/>
        <v>0.13189672621031145</v>
      </c>
      <c r="G466" s="338">
        <f t="shared" si="192"/>
        <v>1</v>
      </c>
      <c r="H466" s="339">
        <f t="shared" si="193"/>
        <v>0</v>
      </c>
      <c r="I466" s="337">
        <f t="shared" si="194"/>
        <v>827923.7407250161</v>
      </c>
      <c r="J466" s="340">
        <f t="shared" si="195"/>
        <v>1.5707951189541851</v>
      </c>
      <c r="K466" s="348">
        <f t="shared" si="185"/>
        <v>82.014168375113556</v>
      </c>
      <c r="L466" s="349">
        <f t="shared" si="186"/>
        <v>1.5586030094725307</v>
      </c>
      <c r="M466" s="337">
        <f t="shared" si="196"/>
        <v>1.0171169055077125</v>
      </c>
      <c r="N466" s="340">
        <f t="shared" si="197"/>
        <v>0.18371860208973384</v>
      </c>
      <c r="O466" s="341">
        <f t="shared" si="198"/>
        <v>1.0683940641552567</v>
      </c>
      <c r="P466" s="342">
        <f t="shared" si="199"/>
        <v>0.43467723712990086</v>
      </c>
      <c r="Q466" s="343">
        <f t="shared" si="200"/>
        <v>-19.45700557887514</v>
      </c>
      <c r="R466" s="344">
        <f t="shared" si="201"/>
        <v>-117.59207309227504</v>
      </c>
      <c r="S466" s="346">
        <f t="shared" si="202"/>
        <v>62.407926907724956</v>
      </c>
      <c r="U466" s="319">
        <f t="shared" si="208"/>
        <v>52786.5</v>
      </c>
      <c r="V466" s="319">
        <f t="shared" si="209"/>
        <v>2786414582.25</v>
      </c>
      <c r="X466" s="345">
        <f t="shared" si="203"/>
        <v>17.477777931525004</v>
      </c>
      <c r="Y466" s="346">
        <f t="shared" si="204"/>
        <v>-11.224856947271597</v>
      </c>
      <c r="AA466" s="345">
        <f t="shared" si="205"/>
        <v>11.939166474254108</v>
      </c>
      <c r="AB466" s="346">
        <f t="shared" si="206"/>
        <v>-106.36721614500345</v>
      </c>
      <c r="AD466">
        <f t="shared" si="210"/>
        <v>0</v>
      </c>
      <c r="AE466">
        <f t="shared" si="187"/>
        <v>0</v>
      </c>
    </row>
    <row r="467" spans="1:31" x14ac:dyDescent="0.2">
      <c r="A467" s="347">
        <v>53092</v>
      </c>
      <c r="B467" s="364">
        <f t="shared" si="207"/>
        <v>53.091999999999999</v>
      </c>
      <c r="C467" s="337">
        <f t="shared" si="188"/>
        <v>58.756493568048718</v>
      </c>
      <c r="D467" s="338">
        <f t="shared" si="189"/>
        <v>1.5537761095865199</v>
      </c>
      <c r="E467" s="338">
        <f t="shared" si="190"/>
        <v>1.0088631385848237</v>
      </c>
      <c r="F467" s="339">
        <f t="shared" si="191"/>
        <v>0.13265117575538368</v>
      </c>
      <c r="G467" s="338">
        <f t="shared" si="192"/>
        <v>1</v>
      </c>
      <c r="H467" s="339">
        <f t="shared" si="193"/>
        <v>0</v>
      </c>
      <c r="I467" s="337">
        <f t="shared" si="194"/>
        <v>832715.32006426249</v>
      </c>
      <c r="J467" s="340">
        <f t="shared" si="195"/>
        <v>1.5707951259042969</v>
      </c>
      <c r="K467" s="348">
        <f t="shared" si="185"/>
        <v>82.488752107467576</v>
      </c>
      <c r="L467" s="349">
        <f t="shared" si="186"/>
        <v>1.5586731649086207</v>
      </c>
      <c r="M467" s="337">
        <f t="shared" si="196"/>
        <v>1.0173139147751797</v>
      </c>
      <c r="N467" s="340">
        <f t="shared" si="197"/>
        <v>0.18475790161583561</v>
      </c>
      <c r="O467" s="341">
        <f t="shared" si="198"/>
        <v>1.0691675866752064</v>
      </c>
      <c r="P467" s="342">
        <f t="shared" si="199"/>
        <v>0.43702775626588047</v>
      </c>
      <c r="Q467" s="343">
        <f t="shared" si="200"/>
        <v>-19.514219457276326</v>
      </c>
      <c r="R467" s="344">
        <f t="shared" si="201"/>
        <v>-117.74469216673749</v>
      </c>
      <c r="S467" s="346">
        <f t="shared" si="202"/>
        <v>62.255307833262506</v>
      </c>
      <c r="U467" s="319">
        <f t="shared" si="208"/>
        <v>53092</v>
      </c>
      <c r="V467" s="319">
        <f t="shared" si="209"/>
        <v>2818760464</v>
      </c>
      <c r="X467" s="345">
        <f t="shared" si="203"/>
        <v>17.47608828208276</v>
      </c>
      <c r="Y467" s="346">
        <f t="shared" si="204"/>
        <v>-11.280385211644839</v>
      </c>
      <c r="AA467" s="345">
        <f t="shared" si="205"/>
        <v>11.883642245295169</v>
      </c>
      <c r="AB467" s="346">
        <f t="shared" si="206"/>
        <v>-106.46430695509265</v>
      </c>
      <c r="AD467">
        <f t="shared" si="210"/>
        <v>0</v>
      </c>
      <c r="AE467">
        <f t="shared" si="187"/>
        <v>0</v>
      </c>
    </row>
    <row r="468" spans="1:31" x14ac:dyDescent="0.2">
      <c r="A468" s="347">
        <v>53397.5</v>
      </c>
      <c r="B468" s="364">
        <f t="shared" si="207"/>
        <v>53.397500000000001</v>
      </c>
      <c r="C468" s="337">
        <f t="shared" si="188"/>
        <v>59.09449033270301</v>
      </c>
      <c r="D468" s="338">
        <f t="shared" si="189"/>
        <v>1.5538734677180002</v>
      </c>
      <c r="E468" s="338">
        <f t="shared" si="190"/>
        <v>1.0089649774501293</v>
      </c>
      <c r="F468" s="339">
        <f t="shared" si="191"/>
        <v>0.13340547343051351</v>
      </c>
      <c r="G468" s="338">
        <f t="shared" si="192"/>
        <v>1</v>
      </c>
      <c r="H468" s="339">
        <f t="shared" si="193"/>
        <v>0</v>
      </c>
      <c r="I468" s="337">
        <f t="shared" si="194"/>
        <v>837506.89940350875</v>
      </c>
      <c r="J468" s="340">
        <f t="shared" si="195"/>
        <v>1.5707951327748824</v>
      </c>
      <c r="K468" s="348">
        <f t="shared" si="185"/>
        <v>82.963336241168648</v>
      </c>
      <c r="L468" s="349">
        <f t="shared" si="186"/>
        <v>1.558742517709611</v>
      </c>
      <c r="M468" s="337">
        <f t="shared" si="196"/>
        <v>1.0175120224614587</v>
      </c>
      <c r="N468" s="340">
        <f t="shared" si="197"/>
        <v>0.18579679756438594</v>
      </c>
      <c r="O468" s="341">
        <f t="shared" si="198"/>
        <v>1.069945130710527</v>
      </c>
      <c r="P468" s="342">
        <f t="shared" si="199"/>
        <v>0.43937568835679186</v>
      </c>
      <c r="Q468" s="343">
        <f t="shared" si="200"/>
        <v>-19.571178157276378</v>
      </c>
      <c r="R468" s="344">
        <f t="shared" si="201"/>
        <v>-117.89713002712445</v>
      </c>
      <c r="S468" s="346">
        <f t="shared" si="202"/>
        <v>62.102869972875553</v>
      </c>
      <c r="U468" s="319">
        <f t="shared" si="208"/>
        <v>53397.5</v>
      </c>
      <c r="V468" s="319">
        <f t="shared" si="209"/>
        <v>2851293006.25</v>
      </c>
      <c r="X468" s="345">
        <f t="shared" si="203"/>
        <v>17.47438970863</v>
      </c>
      <c r="Y468" s="346">
        <f t="shared" si="204"/>
        <v>-11.335936335774884</v>
      </c>
      <c r="AA468" s="345">
        <f t="shared" si="205"/>
        <v>11.82838211874788</v>
      </c>
      <c r="AB468" s="346">
        <f t="shared" si="206"/>
        <v>-106.56119369134954</v>
      </c>
      <c r="AD468">
        <f t="shared" si="210"/>
        <v>0</v>
      </c>
      <c r="AE468">
        <f t="shared" si="187"/>
        <v>0</v>
      </c>
    </row>
    <row r="469" spans="1:31" x14ac:dyDescent="0.2">
      <c r="A469" s="347">
        <v>53703</v>
      </c>
      <c r="B469" s="364">
        <f t="shared" si="207"/>
        <v>53.703000000000003</v>
      </c>
      <c r="C469" s="337">
        <f t="shared" si="188"/>
        <v>59.432487651119644</v>
      </c>
      <c r="D469" s="338">
        <f t="shared" si="189"/>
        <v>1.553969718483398</v>
      </c>
      <c r="E469" s="338">
        <f t="shared" si="190"/>
        <v>1.0090673902651115</v>
      </c>
      <c r="F469" s="339">
        <f t="shared" si="191"/>
        <v>0.13415961842347535</v>
      </c>
      <c r="G469" s="338">
        <f t="shared" si="192"/>
        <v>1</v>
      </c>
      <c r="H469" s="339">
        <f t="shared" si="193"/>
        <v>0</v>
      </c>
      <c r="I469" s="337">
        <f t="shared" si="194"/>
        <v>842298.47874275513</v>
      </c>
      <c r="J469" s="340">
        <f t="shared" si="195"/>
        <v>1.5707951395672983</v>
      </c>
      <c r="K469" s="348">
        <f t="shared" si="185"/>
        <v>83.437920769368333</v>
      </c>
      <c r="L469" s="349">
        <f t="shared" si="186"/>
        <v>1.5588110815706948</v>
      </c>
      <c r="M469" s="337">
        <f t="shared" si="196"/>
        <v>1.0177112279250944</v>
      </c>
      <c r="N469" s="340">
        <f t="shared" si="197"/>
        <v>0.18683528792915297</v>
      </c>
      <c r="O469" s="341">
        <f t="shared" si="198"/>
        <v>1.0707266896006706</v>
      </c>
      <c r="P469" s="342">
        <f t="shared" si="199"/>
        <v>0.44172102553440151</v>
      </c>
      <c r="Q469" s="343">
        <f t="shared" si="200"/>
        <v>-19.627884831125236</v>
      </c>
      <c r="R469" s="344">
        <f t="shared" si="201"/>
        <v>-118.04938647078082</v>
      </c>
      <c r="S469" s="346">
        <f t="shared" si="202"/>
        <v>61.950613529219183</v>
      </c>
      <c r="U469" s="319">
        <f t="shared" si="208"/>
        <v>53703</v>
      </c>
      <c r="V469" s="319">
        <f t="shared" si="209"/>
        <v>2884012209</v>
      </c>
      <c r="X469" s="345">
        <f t="shared" si="203"/>
        <v>17.4726822191144</v>
      </c>
      <c r="Y469" s="346">
        <f t="shared" si="204"/>
        <v>-11.391509420114087</v>
      </c>
      <c r="AA469" s="345">
        <f t="shared" si="205"/>
        <v>11.773382934414618</v>
      </c>
      <c r="AB469" s="346">
        <f t="shared" si="206"/>
        <v>-106.65787705066674</v>
      </c>
      <c r="AD469">
        <f t="shared" si="210"/>
        <v>0</v>
      </c>
      <c r="AE469">
        <f t="shared" si="187"/>
        <v>0</v>
      </c>
    </row>
    <row r="470" spans="1:31" x14ac:dyDescent="0.2">
      <c r="A470" s="347">
        <v>54015.75</v>
      </c>
      <c r="B470" s="364">
        <f t="shared" si="207"/>
        <v>54.015749999999997</v>
      </c>
      <c r="C470" s="337">
        <f t="shared" si="188"/>
        <v>59.778506746317383</v>
      </c>
      <c r="D470" s="338">
        <f t="shared" si="189"/>
        <v>1.5540671259447127</v>
      </c>
      <c r="E470" s="338">
        <f t="shared" si="190"/>
        <v>1.0091728278587391</v>
      </c>
      <c r="F470" s="339">
        <f t="shared" si="191"/>
        <v>0.13493150146717575</v>
      </c>
      <c r="G470" s="338">
        <f t="shared" si="192"/>
        <v>1</v>
      </c>
      <c r="H470" s="339">
        <f t="shared" si="193"/>
        <v>0</v>
      </c>
      <c r="I470" s="337">
        <f t="shared" si="194"/>
        <v>847203.76986664825</v>
      </c>
      <c r="J470" s="340">
        <f t="shared" si="195"/>
        <v>1.5707951464413199</v>
      </c>
      <c r="K470" s="348">
        <f t="shared" si="185"/>
        <v>83.923768343519512</v>
      </c>
      <c r="L470" s="349">
        <f t="shared" si="186"/>
        <v>1.5588804692882519</v>
      </c>
      <c r="M470" s="337">
        <f t="shared" si="196"/>
        <v>1.0179162973421869</v>
      </c>
      <c r="N470" s="340">
        <f t="shared" si="197"/>
        <v>0.18789800109389601</v>
      </c>
      <c r="O470" s="341">
        <f t="shared" si="198"/>
        <v>1.071530948059259</v>
      </c>
      <c r="P470" s="342">
        <f t="shared" si="199"/>
        <v>0.44411932515169883</v>
      </c>
      <c r="Q470" s="343">
        <f t="shared" si="200"/>
        <v>-19.685679408228463</v>
      </c>
      <c r="R470" s="344">
        <f t="shared" si="201"/>
        <v>-118.20506806244151</v>
      </c>
      <c r="S470" s="346">
        <f t="shared" si="202"/>
        <v>61.794931937558488</v>
      </c>
      <c r="U470" s="319">
        <f t="shared" si="208"/>
        <v>54015.75</v>
      </c>
      <c r="V470" s="319">
        <f t="shared" si="209"/>
        <v>2917701248.0625</v>
      </c>
      <c r="X470" s="345">
        <f t="shared" si="203"/>
        <v>17.470924980633246</v>
      </c>
      <c r="Y470" s="346">
        <f t="shared" si="204"/>
        <v>-11.448423169838241</v>
      </c>
      <c r="AA470" s="345">
        <f t="shared" si="205"/>
        <v>11.717345595792548</v>
      </c>
      <c r="AB470" s="346">
        <f t="shared" si="206"/>
        <v>-106.75664489260325</v>
      </c>
      <c r="AD470">
        <f t="shared" si="210"/>
        <v>0</v>
      </c>
      <c r="AE470">
        <f t="shared" si="187"/>
        <v>0</v>
      </c>
    </row>
    <row r="471" spans="1:31" x14ac:dyDescent="0.2">
      <c r="A471" s="347">
        <v>54328.5</v>
      </c>
      <c r="B471" s="364">
        <f t="shared" si="207"/>
        <v>54.328499999999998</v>
      </c>
      <c r="C471" s="337">
        <f t="shared" si="188"/>
        <v>60.124526402177928</v>
      </c>
      <c r="D471" s="338">
        <f t="shared" si="189"/>
        <v>1.5541634122373111</v>
      </c>
      <c r="E471" s="338">
        <f t="shared" si="190"/>
        <v>1.0092788665951664</v>
      </c>
      <c r="F471" s="339">
        <f t="shared" si="191"/>
        <v>0.13570322277656158</v>
      </c>
      <c r="G471" s="338">
        <f t="shared" si="192"/>
        <v>1</v>
      </c>
      <c r="H471" s="339">
        <f t="shared" si="193"/>
        <v>0</v>
      </c>
      <c r="I471" s="337">
        <f t="shared" si="194"/>
        <v>852109.06099054124</v>
      </c>
      <c r="J471" s="340">
        <f t="shared" si="195"/>
        <v>1.5707951532361988</v>
      </c>
      <c r="K471" s="348">
        <f t="shared" ref="K471:K534" si="211">SQRT(1+(A471/Zero2)^2)</f>
        <v>84.409616317083248</v>
      </c>
      <c r="L471" s="349">
        <f t="shared" ref="L471:L534" si="212">ATAN(A471/Zero2)</f>
        <v>1.5589490582373837</v>
      </c>
      <c r="M471" s="337">
        <f t="shared" si="196"/>
        <v>1.0181225158886291</v>
      </c>
      <c r="N471" s="340">
        <f t="shared" si="197"/>
        <v>0.18896028495736056</v>
      </c>
      <c r="O471" s="341">
        <f t="shared" si="198"/>
        <v>1.0723394000213611</v>
      </c>
      <c r="P471" s="342">
        <f t="shared" si="199"/>
        <v>0.44651488883757667</v>
      </c>
      <c r="Q471" s="343">
        <f t="shared" si="200"/>
        <v>-19.743216362794943</v>
      </c>
      <c r="R471" s="344">
        <f t="shared" si="201"/>
        <v>-118.36055908961028</v>
      </c>
      <c r="S471" s="346">
        <f t="shared" si="202"/>
        <v>61.639440910389723</v>
      </c>
      <c r="U471" s="319">
        <f t="shared" si="208"/>
        <v>54328.5</v>
      </c>
      <c r="V471" s="319">
        <f t="shared" si="209"/>
        <v>2951585912.25</v>
      </c>
      <c r="X471" s="345">
        <f t="shared" si="203"/>
        <v>17.469158415150524</v>
      </c>
      <c r="Y471" s="346">
        <f t="shared" si="204"/>
        <v>-11.505358083936063</v>
      </c>
      <c r="AA471" s="345">
        <f t="shared" si="205"/>
        <v>11.661575206708793</v>
      </c>
      <c r="AB471" s="346">
        <f t="shared" si="206"/>
        <v>-106.8552010056742</v>
      </c>
      <c r="AD471">
        <f t="shared" si="210"/>
        <v>0</v>
      </c>
      <c r="AE471">
        <f t="shared" si="187"/>
        <v>0</v>
      </c>
    </row>
    <row r="472" spans="1:31" x14ac:dyDescent="0.2">
      <c r="A472" s="347">
        <v>54641.25</v>
      </c>
      <c r="B472" s="364">
        <f t="shared" si="207"/>
        <v>54.641249999999999</v>
      </c>
      <c r="C472" s="337">
        <f t="shared" si="188"/>
        <v>60.470546609076763</v>
      </c>
      <c r="D472" s="338">
        <f t="shared" si="189"/>
        <v>1.5542585966058051</v>
      </c>
      <c r="E472" s="338">
        <f t="shared" si="190"/>
        <v>1.009385506284938</v>
      </c>
      <c r="F472" s="339">
        <f t="shared" si="191"/>
        <v>0.13647478148354714</v>
      </c>
      <c r="G472" s="338">
        <f t="shared" si="192"/>
        <v>1</v>
      </c>
      <c r="H472" s="339">
        <f t="shared" si="193"/>
        <v>0</v>
      </c>
      <c r="I472" s="337">
        <f t="shared" si="194"/>
        <v>857014.35211443424</v>
      </c>
      <c r="J472" s="340">
        <f t="shared" si="195"/>
        <v>1.5707951599532941</v>
      </c>
      <c r="K472" s="348">
        <f t="shared" si="211"/>
        <v>84.895464683202178</v>
      </c>
      <c r="L472" s="349">
        <f t="shared" si="212"/>
        <v>1.5590168621312575</v>
      </c>
      <c r="M472" s="337">
        <f t="shared" si="196"/>
        <v>1.0183298828663019</v>
      </c>
      <c r="N472" s="340">
        <f t="shared" si="197"/>
        <v>0.19002213738362481</v>
      </c>
      <c r="O472" s="341">
        <f t="shared" si="198"/>
        <v>1.0731520382972524</v>
      </c>
      <c r="P472" s="342">
        <f t="shared" si="199"/>
        <v>0.44890770844817707</v>
      </c>
      <c r="Q472" s="343">
        <f t="shared" si="200"/>
        <v>-19.800498898880612</v>
      </c>
      <c r="R472" s="344">
        <f t="shared" si="201"/>
        <v>-118.5158593300431</v>
      </c>
      <c r="S472" s="346">
        <f t="shared" si="202"/>
        <v>61.484140669956901</v>
      </c>
      <c r="U472" s="319">
        <f t="shared" si="208"/>
        <v>54641.25</v>
      </c>
      <c r="V472" s="319">
        <f t="shared" si="209"/>
        <v>2985666201.5625</v>
      </c>
      <c r="X472" s="345">
        <f t="shared" si="203"/>
        <v>17.467382531603729</v>
      </c>
      <c r="Y472" s="346">
        <f t="shared" si="204"/>
        <v>-11.562313254399504</v>
      </c>
      <c r="AA472" s="345">
        <f t="shared" si="205"/>
        <v>11.606068554169918</v>
      </c>
      <c r="AB472" s="346">
        <f t="shared" si="206"/>
        <v>-106.9535460756436</v>
      </c>
      <c r="AD472">
        <f t="shared" si="210"/>
        <v>0</v>
      </c>
      <c r="AE472">
        <f t="shared" si="187"/>
        <v>0</v>
      </c>
    </row>
    <row r="473" spans="1:31" x14ac:dyDescent="0.2">
      <c r="A473" s="347">
        <v>54954</v>
      </c>
      <c r="B473" s="364">
        <f t="shared" si="207"/>
        <v>54.954000000000001</v>
      </c>
      <c r="C473" s="337">
        <f t="shared" si="188"/>
        <v>60.816567357608356</v>
      </c>
      <c r="D473" s="338">
        <f t="shared" si="189"/>
        <v>1.5543526978569122</v>
      </c>
      <c r="E473" s="338">
        <f t="shared" si="190"/>
        <v>1.0094927467376056</v>
      </c>
      <c r="F473" s="339">
        <f t="shared" si="191"/>
        <v>0.13724617672118694</v>
      </c>
      <c r="G473" s="338">
        <f t="shared" si="192"/>
        <v>1</v>
      </c>
      <c r="H473" s="339">
        <f t="shared" si="193"/>
        <v>0</v>
      </c>
      <c r="I473" s="337">
        <f t="shared" si="194"/>
        <v>861919.64323832747</v>
      </c>
      <c r="J473" s="340">
        <f t="shared" si="195"/>
        <v>1.5707951665939337</v>
      </c>
      <c r="K473" s="348">
        <f t="shared" si="211"/>
        <v>85.381313435174974</v>
      </c>
      <c r="L473" s="349">
        <f t="shared" si="212"/>
        <v>1.5590838943709402</v>
      </c>
      <c r="M473" s="337">
        <f t="shared" si="196"/>
        <v>1.0185383975737687</v>
      </c>
      <c r="N473" s="340">
        <f t="shared" si="197"/>
        <v>0.19108355624239343</v>
      </c>
      <c r="O473" s="341">
        <f t="shared" si="198"/>
        <v>1.0739688556831561</v>
      </c>
      <c r="P473" s="342">
        <f t="shared" si="199"/>
        <v>0.45129777593977749</v>
      </c>
      <c r="Q473" s="343">
        <f t="shared" si="200"/>
        <v>-19.857530163225679</v>
      </c>
      <c r="R473" s="344">
        <f t="shared" si="201"/>
        <v>-118.67096856028107</v>
      </c>
      <c r="S473" s="346">
        <f t="shared" si="202"/>
        <v>61.329031439718932</v>
      </c>
      <c r="U473" s="319">
        <f t="shared" si="208"/>
        <v>54954</v>
      </c>
      <c r="V473" s="319">
        <f t="shared" si="209"/>
        <v>3019942116</v>
      </c>
      <c r="X473" s="345">
        <f t="shared" si="203"/>
        <v>17.465597339062512</v>
      </c>
      <c r="Y473" s="346">
        <f t="shared" si="204"/>
        <v>-11.619287791423128</v>
      </c>
      <c r="AA473" s="345">
        <f t="shared" si="205"/>
        <v>11.550822482366067</v>
      </c>
      <c r="AB473" s="346">
        <f t="shared" si="206"/>
        <v>-107.05168076885793</v>
      </c>
      <c r="AD473">
        <f t="shared" si="210"/>
        <v>0</v>
      </c>
      <c r="AE473">
        <f t="shared" si="187"/>
        <v>0</v>
      </c>
    </row>
    <row r="474" spans="1:31" x14ac:dyDescent="0.2">
      <c r="A474" s="347">
        <v>55274</v>
      </c>
      <c r="B474" s="364">
        <f t="shared" si="207"/>
        <v>55.274000000000001</v>
      </c>
      <c r="C474" s="337">
        <f t="shared" si="188"/>
        <v>61.170609921519365</v>
      </c>
      <c r="D474" s="338">
        <f t="shared" si="189"/>
        <v>1.5544478786109555</v>
      </c>
      <c r="E474" s="338">
        <f t="shared" si="190"/>
        <v>1.0096030947944492</v>
      </c>
      <c r="F474" s="339">
        <f t="shared" si="191"/>
        <v>0.13803528392217856</v>
      </c>
      <c r="G474" s="338">
        <f t="shared" si="192"/>
        <v>1</v>
      </c>
      <c r="H474" s="339">
        <f t="shared" si="193"/>
        <v>0</v>
      </c>
      <c r="I474" s="337">
        <f t="shared" si="194"/>
        <v>866938.64614686719</v>
      </c>
      <c r="J474" s="340">
        <f t="shared" si="195"/>
        <v>1.5707951733107319</v>
      </c>
      <c r="K474" s="348">
        <f t="shared" si="211"/>
        <v>85.878425260592692</v>
      </c>
      <c r="L474" s="349">
        <f t="shared" si="212"/>
        <v>1.5591516954815476</v>
      </c>
      <c r="M474" s="337">
        <f t="shared" si="196"/>
        <v>1.0187529331676621</v>
      </c>
      <c r="N474" s="340">
        <f t="shared" si="197"/>
        <v>0.19216912935836339</v>
      </c>
      <c r="O474" s="341">
        <f t="shared" si="198"/>
        <v>1.0748089261058644</v>
      </c>
      <c r="P474" s="342">
        <f t="shared" si="199"/>
        <v>0.45374039183227932</v>
      </c>
      <c r="Q474" s="343">
        <f t="shared" si="200"/>
        <v>-19.915626642144979</v>
      </c>
      <c r="R474" s="344">
        <f t="shared" si="201"/>
        <v>-118.82947551062954</v>
      </c>
      <c r="S474" s="346">
        <f t="shared" si="202"/>
        <v>61.170524489370464</v>
      </c>
      <c r="U474" s="319">
        <f t="shared" si="208"/>
        <v>55274</v>
      </c>
      <c r="V474" s="319">
        <f t="shared" si="209"/>
        <v>3055215076</v>
      </c>
      <c r="X474" s="345">
        <f t="shared" si="203"/>
        <v>17.463761137566841</v>
      </c>
      <c r="Y474" s="346">
        <f t="shared" si="204"/>
        <v>-11.677602216747795</v>
      </c>
      <c r="AA474" s="345">
        <f t="shared" si="205"/>
        <v>11.494562204942438</v>
      </c>
      <c r="AB474" s="346">
        <f t="shared" si="206"/>
        <v>-107.15187329388169</v>
      </c>
      <c r="AD474">
        <f t="shared" si="210"/>
        <v>0</v>
      </c>
      <c r="AE474">
        <f t="shared" ref="AE474:AE537" si="213">IF(AD474&gt;0,S474,0)</f>
        <v>0</v>
      </c>
    </row>
    <row r="475" spans="1:31" x14ac:dyDescent="0.2">
      <c r="A475" s="347">
        <v>55594</v>
      </c>
      <c r="B475" s="364">
        <f t="shared" si="207"/>
        <v>55.594000000000001</v>
      </c>
      <c r="C475" s="337">
        <f t="shared" si="188"/>
        <v>61.524653033220041</v>
      </c>
      <c r="D475" s="338">
        <f t="shared" si="189"/>
        <v>1.5545419639321043</v>
      </c>
      <c r="E475" s="338">
        <f t="shared" si="190"/>
        <v>1.0097140713835819</v>
      </c>
      <c r="F475" s="339">
        <f t="shared" si="191"/>
        <v>0.13882421815449214</v>
      </c>
      <c r="G475" s="338">
        <f t="shared" si="192"/>
        <v>1</v>
      </c>
      <c r="H475" s="339">
        <f t="shared" si="193"/>
        <v>0</v>
      </c>
      <c r="I475" s="337">
        <f t="shared" si="194"/>
        <v>871957.64905540703</v>
      </c>
      <c r="J475" s="340">
        <f t="shared" si="195"/>
        <v>1.5707951799502062</v>
      </c>
      <c r="K475" s="348">
        <f t="shared" si="211"/>
        <v>86.375537476248596</v>
      </c>
      <c r="L475" s="349">
        <f t="shared" si="212"/>
        <v>1.559218716168713</v>
      </c>
      <c r="M475" s="337">
        <f t="shared" si="196"/>
        <v>1.0189686688239308</v>
      </c>
      <c r="N475" s="340">
        <f t="shared" si="197"/>
        <v>0.19325424407840872</v>
      </c>
      <c r="O475" s="341">
        <f t="shared" si="198"/>
        <v>1.0756533563383441</v>
      </c>
      <c r="P475" s="342">
        <f t="shared" si="199"/>
        <v>0.45618010981364149</v>
      </c>
      <c r="Q475" s="343">
        <f t="shared" si="200"/>
        <v>-19.973466551453903</v>
      </c>
      <c r="R475" s="344">
        <f t="shared" si="201"/>
        <v>-118.98778201598095</v>
      </c>
      <c r="S475" s="346">
        <f t="shared" si="202"/>
        <v>61.012217984019046</v>
      </c>
      <c r="U475" s="319">
        <f t="shared" si="208"/>
        <v>55594</v>
      </c>
      <c r="V475" s="319">
        <f t="shared" si="209"/>
        <v>3090692836</v>
      </c>
      <c r="X475" s="345">
        <f t="shared" si="203"/>
        <v>17.461915210103388</v>
      </c>
      <c r="Y475" s="346">
        <f t="shared" si="204"/>
        <v>-11.735935088459776</v>
      </c>
      <c r="AA475" s="345">
        <f t="shared" si="205"/>
        <v>11.438568223096965</v>
      </c>
      <c r="AB475" s="346">
        <f t="shared" si="206"/>
        <v>-107.25184692752119</v>
      </c>
      <c r="AD475">
        <f t="shared" si="210"/>
        <v>0</v>
      </c>
      <c r="AE475">
        <f t="shared" si="213"/>
        <v>0</v>
      </c>
    </row>
    <row r="476" spans="1:31" x14ac:dyDescent="0.2">
      <c r="A476" s="347">
        <v>55914</v>
      </c>
      <c r="B476" s="364">
        <f t="shared" si="207"/>
        <v>55.914000000000001</v>
      </c>
      <c r="C476" s="337">
        <f t="shared" si="188"/>
        <v>61.878696683307716</v>
      </c>
      <c r="D476" s="338">
        <f t="shared" si="189"/>
        <v>1.5546349726214859</v>
      </c>
      <c r="E476" s="338">
        <f t="shared" si="190"/>
        <v>1.0098256762977824</v>
      </c>
      <c r="F476" s="339">
        <f t="shared" si="191"/>
        <v>0.13961297849322388</v>
      </c>
      <c r="G476" s="338">
        <f t="shared" si="192"/>
        <v>1</v>
      </c>
      <c r="H476" s="339">
        <f t="shared" si="193"/>
        <v>0</v>
      </c>
      <c r="I476" s="337">
        <f t="shared" si="194"/>
        <v>876976.65196394688</v>
      </c>
      <c r="J476" s="340">
        <f t="shared" si="195"/>
        <v>1.5707951865136842</v>
      </c>
      <c r="K476" s="348">
        <f t="shared" si="211"/>
        <v>86.872650075443474</v>
      </c>
      <c r="L476" s="349">
        <f t="shared" si="212"/>
        <v>1.5592849698293134</v>
      </c>
      <c r="M476" s="337">
        <f t="shared" si="196"/>
        <v>1.0191856037805065</v>
      </c>
      <c r="N476" s="340">
        <f t="shared" si="197"/>
        <v>0.19433889813904784</v>
      </c>
      <c r="O476" s="341">
        <f t="shared" si="198"/>
        <v>1.0765021386206373</v>
      </c>
      <c r="P476" s="342">
        <f t="shared" si="199"/>
        <v>0.45861692159194067</v>
      </c>
      <c r="Q476" s="343">
        <f t="shared" si="200"/>
        <v>-20.031053083920153</v>
      </c>
      <c r="R476" s="344">
        <f t="shared" si="201"/>
        <v>-119.14588783426515</v>
      </c>
      <c r="S476" s="346">
        <f t="shared" si="202"/>
        <v>60.854112165734847</v>
      </c>
      <c r="U476" s="319">
        <f t="shared" si="208"/>
        <v>55914</v>
      </c>
      <c r="V476" s="319">
        <f t="shared" si="209"/>
        <v>3126375396</v>
      </c>
      <c r="X476" s="345">
        <f t="shared" si="203"/>
        <v>17.460059566797895</v>
      </c>
      <c r="Y476" s="346">
        <f t="shared" si="204"/>
        <v>-11.7942855093627</v>
      </c>
      <c r="AA476" s="345">
        <f t="shared" si="205"/>
        <v>11.382837333936207</v>
      </c>
      <c r="AB476" s="346">
        <f t="shared" si="206"/>
        <v>-107.35160232490243</v>
      </c>
      <c r="AD476">
        <f t="shared" si="210"/>
        <v>0</v>
      </c>
      <c r="AE476">
        <f t="shared" si="213"/>
        <v>0</v>
      </c>
    </row>
    <row r="477" spans="1:31" x14ac:dyDescent="0.2">
      <c r="A477" s="347">
        <v>56234</v>
      </c>
      <c r="B477" s="364">
        <f t="shared" si="207"/>
        <v>56.234000000000002</v>
      </c>
      <c r="C477" s="337">
        <f t="shared" si="188"/>
        <v>62.232740862593708</v>
      </c>
      <c r="D477" s="338">
        <f t="shared" si="189"/>
        <v>1.5547269230524612</v>
      </c>
      <c r="E477" s="338">
        <f t="shared" si="190"/>
        <v>1.0099379093287484</v>
      </c>
      <c r="F477" s="339">
        <f t="shared" si="191"/>
        <v>0.14040156401474321</v>
      </c>
      <c r="G477" s="338">
        <f t="shared" si="192"/>
        <v>1</v>
      </c>
      <c r="H477" s="339">
        <f t="shared" si="193"/>
        <v>0</v>
      </c>
      <c r="I477" s="337">
        <f t="shared" si="194"/>
        <v>881995.65487248672</v>
      </c>
      <c r="J477" s="340">
        <f t="shared" si="195"/>
        <v>1.5707951930024631</v>
      </c>
      <c r="K477" s="348">
        <f t="shared" si="211"/>
        <v>87.369763051630628</v>
      </c>
      <c r="L477" s="349">
        <f t="shared" si="212"/>
        <v>1.5593504695553531</v>
      </c>
      <c r="M477" s="337">
        <f t="shared" si="196"/>
        <v>1.0194037372717355</v>
      </c>
      <c r="N477" s="340">
        <f t="shared" si="197"/>
        <v>0.19542308928305613</v>
      </c>
      <c r="O477" s="341">
        <f t="shared" si="198"/>
        <v>1.0773552651788549</v>
      </c>
      <c r="P477" s="342">
        <f t="shared" si="199"/>
        <v>0.46105081898413042</v>
      </c>
      <c r="Q477" s="343">
        <f t="shared" si="200"/>
        <v>-20.08838937503366</v>
      </c>
      <c r="R477" s="344">
        <f t="shared" si="201"/>
        <v>-119.30379272289248</v>
      </c>
      <c r="S477" s="346">
        <f t="shared" si="202"/>
        <v>60.696207277107519</v>
      </c>
      <c r="U477" s="319">
        <f t="shared" si="208"/>
        <v>56234</v>
      </c>
      <c r="V477" s="319">
        <f t="shared" si="209"/>
        <v>3162262756</v>
      </c>
      <c r="X477" s="345">
        <f t="shared" si="203"/>
        <v>17.458194217908492</v>
      </c>
      <c r="Y477" s="346">
        <f t="shared" si="204"/>
        <v>-11.852652600084836</v>
      </c>
      <c r="AA477" s="345">
        <f t="shared" si="205"/>
        <v>11.327366391712104</v>
      </c>
      <c r="AB477" s="346">
        <f t="shared" si="206"/>
        <v>-107.45114012280767</v>
      </c>
      <c r="AD477">
        <f t="shared" si="210"/>
        <v>0</v>
      </c>
      <c r="AE477">
        <f t="shared" si="213"/>
        <v>0</v>
      </c>
    </row>
    <row r="478" spans="1:31" x14ac:dyDescent="0.2">
      <c r="A478" s="347">
        <v>56561.5</v>
      </c>
      <c r="B478" s="364">
        <f t="shared" si="207"/>
        <v>56.561500000000002</v>
      </c>
      <c r="C478" s="337">
        <f t="shared" si="188"/>
        <v>62.595083490909609</v>
      </c>
      <c r="D478" s="338">
        <f t="shared" si="189"/>
        <v>1.5548199515549301</v>
      </c>
      <c r="E478" s="338">
        <f t="shared" si="190"/>
        <v>1.0100534229743898</v>
      </c>
      <c r="F478" s="339">
        <f t="shared" si="191"/>
        <v>0.14120845003579344</v>
      </c>
      <c r="G478" s="338">
        <f t="shared" si="192"/>
        <v>1</v>
      </c>
      <c r="H478" s="339">
        <f t="shared" si="193"/>
        <v>0</v>
      </c>
      <c r="I478" s="337">
        <f t="shared" si="194"/>
        <v>887132.29066169553</v>
      </c>
      <c r="J478" s="340">
        <f t="shared" si="195"/>
        <v>1.5707951995673</v>
      </c>
      <c r="K478" s="348">
        <f t="shared" si="211"/>
        <v>87.878527496870433</v>
      </c>
      <c r="L478" s="349">
        <f t="shared" si="212"/>
        <v>1.559416737134933</v>
      </c>
      <c r="M478" s="337">
        <f t="shared" si="196"/>
        <v>1.0196282234637639</v>
      </c>
      <c r="N478" s="340">
        <f t="shared" si="197"/>
        <v>0.19653220948994637</v>
      </c>
      <c r="O478" s="341">
        <f t="shared" si="198"/>
        <v>1.078232876961903</v>
      </c>
      <c r="P478" s="342">
        <f t="shared" si="199"/>
        <v>0.46353873477584756</v>
      </c>
      <c r="Q478" s="343">
        <f t="shared" si="200"/>
        <v>-20.146813591040249</v>
      </c>
      <c r="R478" s="344">
        <f t="shared" si="201"/>
        <v>-119.46519020507432</v>
      </c>
      <c r="S478" s="346">
        <f t="shared" si="202"/>
        <v>60.534809794925678</v>
      </c>
      <c r="U478" s="319">
        <f t="shared" si="208"/>
        <v>56561.5</v>
      </c>
      <c r="V478" s="319">
        <f t="shared" si="209"/>
        <v>3199203282.25</v>
      </c>
      <c r="X478" s="345">
        <f t="shared" si="203"/>
        <v>17.456275111283407</v>
      </c>
      <c r="Y478" s="346">
        <f t="shared" si="204"/>
        <v>-11.912404030489569</v>
      </c>
      <c r="AA478" s="345">
        <f t="shared" si="205"/>
        <v>11.270861282330596</v>
      </c>
      <c r="AB478" s="346">
        <f t="shared" si="206"/>
        <v>-107.55278617458477</v>
      </c>
      <c r="AD478">
        <f t="shared" si="210"/>
        <v>0</v>
      </c>
      <c r="AE478">
        <f t="shared" si="213"/>
        <v>0</v>
      </c>
    </row>
    <row r="479" spans="1:31" x14ac:dyDescent="0.2">
      <c r="A479" s="347">
        <v>56889</v>
      </c>
      <c r="B479" s="364">
        <f t="shared" si="207"/>
        <v>56.889000000000003</v>
      </c>
      <c r="C479" s="337">
        <f t="shared" si="188"/>
        <v>62.957426654706744</v>
      </c>
      <c r="D479" s="338">
        <f t="shared" si="189"/>
        <v>1.5549119092316399</v>
      </c>
      <c r="E479" s="338">
        <f t="shared" si="190"/>
        <v>1.0101695940798683</v>
      </c>
      <c r="F479" s="339">
        <f t="shared" si="191"/>
        <v>0.14201515099561374</v>
      </c>
      <c r="G479" s="338">
        <f t="shared" si="192"/>
        <v>1</v>
      </c>
      <c r="H479" s="339">
        <f t="shared" si="193"/>
        <v>0</v>
      </c>
      <c r="I479" s="337">
        <f t="shared" si="194"/>
        <v>892268.92645090446</v>
      </c>
      <c r="J479" s="340">
        <f t="shared" si="195"/>
        <v>1.5707952060565515</v>
      </c>
      <c r="K479" s="348">
        <f t="shared" si="211"/>
        <v>88.387292323576659</v>
      </c>
      <c r="L479" s="349">
        <f t="shared" si="212"/>
        <v>1.5594822418310679</v>
      </c>
      <c r="M479" s="337">
        <f t="shared" si="196"/>
        <v>1.0198539633959585</v>
      </c>
      <c r="N479" s="340">
        <f t="shared" si="197"/>
        <v>0.19764084006291394</v>
      </c>
      <c r="O479" s="341">
        <f t="shared" si="198"/>
        <v>1.0791150225261257</v>
      </c>
      <c r="P479" s="342">
        <f t="shared" si="199"/>
        <v>0.46602358097380137</v>
      </c>
      <c r="Q479" s="343">
        <f t="shared" si="200"/>
        <v>-20.204982165346159</v>
      </c>
      <c r="R479" s="344">
        <f t="shared" si="201"/>
        <v>-119.62637671363299</v>
      </c>
      <c r="S479" s="346">
        <f t="shared" si="202"/>
        <v>60.373623286367007</v>
      </c>
      <c r="U479" s="319">
        <f t="shared" si="208"/>
        <v>56889</v>
      </c>
      <c r="V479" s="319">
        <f t="shared" si="209"/>
        <v>3236358321</v>
      </c>
      <c r="X479" s="345">
        <f t="shared" si="203"/>
        <v>17.454345860947164</v>
      </c>
      <c r="Y479" s="346">
        <f t="shared" si="204"/>
        <v>-11.972171112607985</v>
      </c>
      <c r="AA479" s="345">
        <f t="shared" si="205"/>
        <v>11.214621958360935</v>
      </c>
      <c r="AB479" s="346">
        <f t="shared" si="206"/>
        <v>-107.65420560102498</v>
      </c>
      <c r="AD479">
        <f t="shared" si="210"/>
        <v>0</v>
      </c>
      <c r="AE479">
        <f t="shared" si="213"/>
        <v>0</v>
      </c>
    </row>
    <row r="480" spans="1:31" x14ac:dyDescent="0.2">
      <c r="A480" s="347">
        <v>57216.5</v>
      </c>
      <c r="B480" s="364">
        <f t="shared" si="207"/>
        <v>57.216500000000003</v>
      </c>
      <c r="C480" s="337">
        <f t="shared" si="188"/>
        <v>63.319770344792325</v>
      </c>
      <c r="D480" s="338">
        <f t="shared" si="189"/>
        <v>1.5550028144642354</v>
      </c>
      <c r="E480" s="338">
        <f t="shared" si="190"/>
        <v>1.0102864224183832</v>
      </c>
      <c r="F480" s="339">
        <f t="shared" si="191"/>
        <v>0.1428216659082778</v>
      </c>
      <c r="G480" s="338">
        <f t="shared" si="192"/>
        <v>1</v>
      </c>
      <c r="H480" s="339">
        <f t="shared" si="193"/>
        <v>0</v>
      </c>
      <c r="I480" s="337">
        <f t="shared" si="194"/>
        <v>897405.56224011339</v>
      </c>
      <c r="J480" s="340">
        <f t="shared" si="195"/>
        <v>1.5707952124715159</v>
      </c>
      <c r="K480" s="348">
        <f t="shared" si="211"/>
        <v>88.896057525199751</v>
      </c>
      <c r="L480" s="349">
        <f t="shared" si="212"/>
        <v>1.5595469967414723</v>
      </c>
      <c r="M480" s="337">
        <f t="shared" si="196"/>
        <v>1.0200809562359756</v>
      </c>
      <c r="N480" s="340">
        <f t="shared" si="197"/>
        <v>0.19874897860277857</v>
      </c>
      <c r="O480" s="341">
        <f t="shared" si="198"/>
        <v>1.0800016934952106</v>
      </c>
      <c r="P480" s="342">
        <f t="shared" si="199"/>
        <v>0.46850534915862052</v>
      </c>
      <c r="Q480" s="343">
        <f t="shared" si="200"/>
        <v>-20.262898281159018</v>
      </c>
      <c r="R480" s="344">
        <f t="shared" si="201"/>
        <v>-119.78735198802174</v>
      </c>
      <c r="S480" s="346">
        <f t="shared" si="202"/>
        <v>60.21264801197826</v>
      </c>
      <c r="U480" s="319">
        <f t="shared" si="208"/>
        <v>57216.5</v>
      </c>
      <c r="V480" s="319">
        <f t="shared" si="209"/>
        <v>3273727872.25</v>
      </c>
      <c r="X480" s="345">
        <f t="shared" si="203"/>
        <v>17.452406478308447</v>
      </c>
      <c r="Y480" s="346">
        <f t="shared" si="204"/>
        <v>-12.031952958607782</v>
      </c>
      <c r="AA480" s="345">
        <f t="shared" si="205"/>
        <v>11.158645225186785</v>
      </c>
      <c r="AB480" s="346">
        <f t="shared" si="206"/>
        <v>-107.75539902941395</v>
      </c>
      <c r="AD480">
        <f t="shared" si="210"/>
        <v>0</v>
      </c>
      <c r="AE480">
        <f t="shared" si="213"/>
        <v>0</v>
      </c>
    </row>
    <row r="481" spans="1:31" x14ac:dyDescent="0.2">
      <c r="A481" s="347">
        <v>57544</v>
      </c>
      <c r="B481" s="364">
        <f t="shared" si="207"/>
        <v>57.543999999999997</v>
      </c>
      <c r="C481" s="337">
        <f t="shared" si="188"/>
        <v>63.682114552182803</v>
      </c>
      <c r="D481" s="338">
        <f t="shared" si="189"/>
        <v>1.5550926852160742</v>
      </c>
      <c r="E481" s="338">
        <f t="shared" si="190"/>
        <v>1.0104039077619564</v>
      </c>
      <c r="F481" s="339">
        <f t="shared" si="191"/>
        <v>0.1436279937892822</v>
      </c>
      <c r="G481" s="338">
        <f t="shared" si="192"/>
        <v>1</v>
      </c>
      <c r="H481" s="339">
        <f t="shared" si="193"/>
        <v>0</v>
      </c>
      <c r="I481" s="337">
        <f t="shared" si="194"/>
        <v>902542.19802932232</v>
      </c>
      <c r="J481" s="340">
        <f t="shared" si="195"/>
        <v>1.5707952188134613</v>
      </c>
      <c r="K481" s="348">
        <f t="shared" si="211"/>
        <v>89.404823095339225</v>
      </c>
      <c r="L481" s="349">
        <f t="shared" si="212"/>
        <v>1.5596110146657527</v>
      </c>
      <c r="M481" s="337">
        <f t="shared" si="196"/>
        <v>1.0203092011475949</v>
      </c>
      <c r="N481" s="340">
        <f t="shared" si="197"/>
        <v>0.19985662271732271</v>
      </c>
      <c r="O481" s="341">
        <f t="shared" si="198"/>
        <v>1.0808928814791874</v>
      </c>
      <c r="P481" s="342">
        <f t="shared" si="199"/>
        <v>0.47098403102926906</v>
      </c>
      <c r="Q481" s="343">
        <f t="shared" si="200"/>
        <v>-20.320565064394131</v>
      </c>
      <c r="R481" s="344">
        <f t="shared" si="201"/>
        <v>-119.94811576790407</v>
      </c>
      <c r="S481" s="346">
        <f t="shared" si="202"/>
        <v>60.051884232095929</v>
      </c>
      <c r="U481" s="319">
        <f t="shared" si="208"/>
        <v>57544</v>
      </c>
      <c r="V481" s="319">
        <f t="shared" si="209"/>
        <v>3311311936</v>
      </c>
      <c r="X481" s="345">
        <f t="shared" si="203"/>
        <v>17.450456974909066</v>
      </c>
      <c r="Y481" s="346">
        <f t="shared" si="204"/>
        <v>-12.091748698134246</v>
      </c>
      <c r="AA481" s="345">
        <f t="shared" si="205"/>
        <v>11.102927945351055</v>
      </c>
      <c r="AB481" s="346">
        <f t="shared" si="206"/>
        <v>-107.85636706976983</v>
      </c>
      <c r="AD481">
        <f t="shared" si="210"/>
        <v>0</v>
      </c>
      <c r="AE481">
        <f t="shared" si="213"/>
        <v>0</v>
      </c>
    </row>
    <row r="482" spans="1:31" x14ac:dyDescent="0.2">
      <c r="A482" s="347">
        <v>57879</v>
      </c>
      <c r="B482" s="364">
        <f t="shared" si="207"/>
        <v>57.878999999999998</v>
      </c>
      <c r="C482" s="337">
        <f t="shared" si="188"/>
        <v>64.052757244579382</v>
      </c>
      <c r="D482" s="338">
        <f t="shared" si="189"/>
        <v>1.5551835620900074</v>
      </c>
      <c r="E482" s="338">
        <f t="shared" si="190"/>
        <v>1.0105247631168934</v>
      </c>
      <c r="F482" s="339">
        <f t="shared" si="191"/>
        <v>0.14445259266396668</v>
      </c>
      <c r="G482" s="338">
        <f t="shared" si="192"/>
        <v>1</v>
      </c>
      <c r="H482" s="339">
        <f t="shared" si="193"/>
        <v>0</v>
      </c>
      <c r="I482" s="337">
        <f t="shared" si="194"/>
        <v>907796.46669920022</v>
      </c>
      <c r="J482" s="340">
        <f t="shared" si="195"/>
        <v>1.5707952252263879</v>
      </c>
      <c r="K482" s="348">
        <f t="shared" si="211"/>
        <v>89.925240160156818</v>
      </c>
      <c r="L482" s="349">
        <f t="shared" si="212"/>
        <v>1.5596757491937243</v>
      </c>
      <c r="M482" s="337">
        <f t="shared" si="196"/>
        <v>1.0205439675761216</v>
      </c>
      <c r="N482" s="340">
        <f t="shared" si="197"/>
        <v>0.20098911870198632</v>
      </c>
      <c r="O482" s="341">
        <f t="shared" si="198"/>
        <v>1.0818091429517525</v>
      </c>
      <c r="P482" s="342">
        <f t="shared" si="199"/>
        <v>0.47351627493481374</v>
      </c>
      <c r="Q482" s="343">
        <f t="shared" si="200"/>
        <v>-20.379297698274719</v>
      </c>
      <c r="R482" s="344">
        <f t="shared" si="201"/>
        <v>-120.11234207502704</v>
      </c>
      <c r="S482" s="346">
        <f t="shared" si="202"/>
        <v>59.887657924972956</v>
      </c>
      <c r="U482" s="319">
        <f t="shared" si="208"/>
        <v>57879</v>
      </c>
      <c r="V482" s="319">
        <f t="shared" si="209"/>
        <v>3349978641</v>
      </c>
      <c r="X482" s="345">
        <f t="shared" si="203"/>
        <v>17.448452367488471</v>
      </c>
      <c r="Y482" s="346">
        <f t="shared" si="204"/>
        <v>-12.152927290632981</v>
      </c>
      <c r="AA482" s="345">
        <f t="shared" si="205"/>
        <v>11.046199918891064</v>
      </c>
      <c r="AB482" s="346">
        <f t="shared" si="206"/>
        <v>-107.95941478439407</v>
      </c>
      <c r="AD482">
        <f t="shared" si="210"/>
        <v>0</v>
      </c>
      <c r="AE482">
        <f t="shared" si="213"/>
        <v>0</v>
      </c>
    </row>
    <row r="483" spans="1:31" x14ac:dyDescent="0.2">
      <c r="A483" s="347">
        <v>58214</v>
      </c>
      <c r="B483" s="364">
        <f t="shared" si="207"/>
        <v>58.213999999999999</v>
      </c>
      <c r="C483" s="337">
        <f t="shared" si="188"/>
        <v>64.423400459875694</v>
      </c>
      <c r="D483" s="338">
        <f t="shared" si="189"/>
        <v>1.5552733932919383</v>
      </c>
      <c r="E483" s="338">
        <f t="shared" si="190"/>
        <v>1.0106463054269803</v>
      </c>
      <c r="F483" s="339">
        <f t="shared" si="191"/>
        <v>0.14527699376334044</v>
      </c>
      <c r="G483" s="338">
        <f t="shared" si="192"/>
        <v>1</v>
      </c>
      <c r="H483" s="339">
        <f t="shared" si="193"/>
        <v>0</v>
      </c>
      <c r="I483" s="337">
        <f t="shared" si="194"/>
        <v>913050.73536907812</v>
      </c>
      <c r="J483" s="340">
        <f t="shared" si="195"/>
        <v>1.5707952315655065</v>
      </c>
      <c r="K483" s="348">
        <f t="shared" si="211"/>
        <v>90.445657597474863</v>
      </c>
      <c r="L483" s="349">
        <f t="shared" si="212"/>
        <v>1.5597397387668572</v>
      </c>
      <c r="M483" s="337">
        <f t="shared" si="196"/>
        <v>1.020780042297373</v>
      </c>
      <c r="N483" s="340">
        <f t="shared" si="197"/>
        <v>0.20212109231560305</v>
      </c>
      <c r="O483" s="341">
        <f t="shared" si="198"/>
        <v>1.0827301128939868</v>
      </c>
      <c r="P483" s="342">
        <f t="shared" si="199"/>
        <v>0.47604527235734462</v>
      </c>
      <c r="Q483" s="343">
        <f t="shared" si="200"/>
        <v>-20.437775887416375</v>
      </c>
      <c r="R483" s="344">
        <f t="shared" si="201"/>
        <v>-120.2763465403559</v>
      </c>
      <c r="S483" s="346">
        <f t="shared" si="202"/>
        <v>59.723653459644098</v>
      </c>
      <c r="U483" s="319">
        <f t="shared" si="208"/>
        <v>58214</v>
      </c>
      <c r="V483" s="319">
        <f t="shared" si="209"/>
        <v>3388869796</v>
      </c>
      <c r="X483" s="345">
        <f t="shared" si="203"/>
        <v>17.446437195297129</v>
      </c>
      <c r="Y483" s="346">
        <f t="shared" si="204"/>
        <v>-12.214118632014685</v>
      </c>
      <c r="AA483" s="345">
        <f t="shared" si="205"/>
        <v>10.989736901940752</v>
      </c>
      <c r="AB483" s="346">
        <f t="shared" si="206"/>
        <v>-108.06222790834121</v>
      </c>
      <c r="AD483">
        <f t="shared" si="210"/>
        <v>0</v>
      </c>
      <c r="AE483">
        <f t="shared" si="213"/>
        <v>0</v>
      </c>
    </row>
    <row r="484" spans="1:31" x14ac:dyDescent="0.2">
      <c r="A484" s="347">
        <v>58549</v>
      </c>
      <c r="B484" s="364">
        <f t="shared" si="207"/>
        <v>58.548999999999999</v>
      </c>
      <c r="C484" s="337">
        <f t="shared" si="188"/>
        <v>64.794044189098258</v>
      </c>
      <c r="D484" s="338">
        <f t="shared" si="189"/>
        <v>1.5553621967651909</v>
      </c>
      <c r="E484" s="338">
        <f t="shared" si="190"/>
        <v>1.0107685344444031</v>
      </c>
      <c r="F484" s="339">
        <f t="shared" si="191"/>
        <v>0.14610119603836513</v>
      </c>
      <c r="G484" s="338">
        <f t="shared" si="192"/>
        <v>1</v>
      </c>
      <c r="H484" s="339">
        <f t="shared" si="193"/>
        <v>0</v>
      </c>
      <c r="I484" s="337">
        <f t="shared" si="194"/>
        <v>918305.00403895602</v>
      </c>
      <c r="J484" s="340">
        <f t="shared" si="195"/>
        <v>1.570795237832084</v>
      </c>
      <c r="K484" s="348">
        <f t="shared" si="211"/>
        <v>90.966075400900138</v>
      </c>
      <c r="L484" s="349">
        <f t="shared" si="212"/>
        <v>1.5598029961703042</v>
      </c>
      <c r="M484" s="337">
        <f t="shared" si="196"/>
        <v>1.0210174244038575</v>
      </c>
      <c r="N484" s="340">
        <f t="shared" si="197"/>
        <v>0.20325254102058246</v>
      </c>
      <c r="O484" s="341">
        <f t="shared" si="198"/>
        <v>1.083655782284511</v>
      </c>
      <c r="P484" s="342">
        <f t="shared" si="199"/>
        <v>0.47857101479466035</v>
      </c>
      <c r="Q484" s="343">
        <f t="shared" si="200"/>
        <v>-20.496002799782801</v>
      </c>
      <c r="R484" s="344">
        <f t="shared" si="201"/>
        <v>-120.44012888707663</v>
      </c>
      <c r="S484" s="346">
        <f t="shared" si="202"/>
        <v>59.559871112923375</v>
      </c>
      <c r="U484" s="319">
        <f t="shared" si="208"/>
        <v>58549</v>
      </c>
      <c r="V484" s="319">
        <f t="shared" si="209"/>
        <v>3427985401</v>
      </c>
      <c r="X484" s="345">
        <f t="shared" si="203"/>
        <v>17.444411471102462</v>
      </c>
      <c r="Y484" s="346">
        <f t="shared" si="204"/>
        <v>-12.275321844423472</v>
      </c>
      <c r="AA484" s="345">
        <f t="shared" si="205"/>
        <v>10.933535713768993</v>
      </c>
      <c r="AB484" s="346">
        <f t="shared" si="206"/>
        <v>-108.16480704265318</v>
      </c>
      <c r="AD484">
        <f t="shared" si="210"/>
        <v>0</v>
      </c>
      <c r="AE484">
        <f t="shared" si="213"/>
        <v>0</v>
      </c>
    </row>
    <row r="485" spans="1:31" x14ac:dyDescent="0.2">
      <c r="A485" s="347">
        <v>58884</v>
      </c>
      <c r="B485" s="364">
        <f t="shared" si="207"/>
        <v>58.884</v>
      </c>
      <c r="C485" s="337">
        <f t="shared" si="188"/>
        <v>65.164688423477756</v>
      </c>
      <c r="D485" s="338">
        <f t="shared" si="189"/>
        <v>1.5554499900449232</v>
      </c>
      <c r="E485" s="338">
        <f t="shared" si="190"/>
        <v>1.0108914499200681</v>
      </c>
      <c r="F485" s="339">
        <f t="shared" si="191"/>
        <v>0.14692519844158888</v>
      </c>
      <c r="G485" s="338">
        <f t="shared" si="192"/>
        <v>1</v>
      </c>
      <c r="H485" s="339">
        <f t="shared" si="193"/>
        <v>0</v>
      </c>
      <c r="I485" s="337">
        <f t="shared" si="194"/>
        <v>923559.27270883415</v>
      </c>
      <c r="J485" s="340">
        <f t="shared" si="195"/>
        <v>1.5707952440273585</v>
      </c>
      <c r="K485" s="348">
        <f t="shared" si="211"/>
        <v>91.486493564184855</v>
      </c>
      <c r="L485" s="349">
        <f t="shared" si="212"/>
        <v>1.5598655338983303</v>
      </c>
      <c r="M485" s="337">
        <f t="shared" si="196"/>
        <v>1.0212561129839044</v>
      </c>
      <c r="N485" s="340">
        <f t="shared" si="197"/>
        <v>0.20438346228706275</v>
      </c>
      <c r="O485" s="341">
        <f t="shared" si="198"/>
        <v>1.0845861420887819</v>
      </c>
      <c r="P485" s="342">
        <f t="shared" si="199"/>
        <v>0.48109349387272238</v>
      </c>
      <c r="Q485" s="343">
        <f t="shared" si="200"/>
        <v>-20.553981546155583</v>
      </c>
      <c r="R485" s="344">
        <f t="shared" si="201"/>
        <v>-120.6036888393492</v>
      </c>
      <c r="S485" s="346">
        <f t="shared" si="202"/>
        <v>59.396311160650797</v>
      </c>
      <c r="U485" s="319">
        <f t="shared" si="208"/>
        <v>58884</v>
      </c>
      <c r="V485" s="319">
        <f t="shared" si="209"/>
        <v>3467325456</v>
      </c>
      <c r="X485" s="345">
        <f t="shared" si="203"/>
        <v>17.442375207805849</v>
      </c>
      <c r="Y485" s="346">
        <f t="shared" si="204"/>
        <v>-12.336536067111178</v>
      </c>
      <c r="AA485" s="345">
        <f t="shared" si="205"/>
        <v>10.877593230692824</v>
      </c>
      <c r="AB485" s="346">
        <f t="shared" si="206"/>
        <v>-108.26715277223803</v>
      </c>
      <c r="AD485">
        <f t="shared" si="210"/>
        <v>0</v>
      </c>
      <c r="AE485">
        <f t="shared" si="213"/>
        <v>0</v>
      </c>
    </row>
    <row r="486" spans="1:31" x14ac:dyDescent="0.2">
      <c r="A486" s="347">
        <v>59227</v>
      </c>
      <c r="B486" s="364">
        <f t="shared" si="207"/>
        <v>59.226999999999997</v>
      </c>
      <c r="C486" s="337">
        <f t="shared" si="188"/>
        <v>65.544184377900635</v>
      </c>
      <c r="D486" s="338">
        <f t="shared" si="189"/>
        <v>1.5555388511092534</v>
      </c>
      <c r="E486" s="338">
        <f t="shared" si="190"/>
        <v>1.0110180116727192</v>
      </c>
      <c r="F486" s="339">
        <f t="shared" si="191"/>
        <v>0.14776867033352789</v>
      </c>
      <c r="G486" s="338">
        <f t="shared" si="192"/>
        <v>1</v>
      </c>
      <c r="H486" s="339">
        <f t="shared" si="193"/>
        <v>0</v>
      </c>
      <c r="I486" s="337">
        <f t="shared" si="194"/>
        <v>928939.01645142562</v>
      </c>
      <c r="J486" s="340">
        <f t="shared" si="195"/>
        <v>1.5707952502979659</v>
      </c>
      <c r="K486" s="348">
        <f t="shared" si="211"/>
        <v>92.019339990382392</v>
      </c>
      <c r="L486" s="349">
        <f t="shared" si="212"/>
        <v>1.5599288321560991</v>
      </c>
      <c r="M486" s="337">
        <f t="shared" si="196"/>
        <v>1.021501854278408</v>
      </c>
      <c r="N486" s="340">
        <f t="shared" si="197"/>
        <v>0.20554084151242719</v>
      </c>
      <c r="O486" s="341">
        <f t="shared" si="198"/>
        <v>1.0855435697579996</v>
      </c>
      <c r="P486" s="342">
        <f t="shared" si="199"/>
        <v>0.48367282145969537</v>
      </c>
      <c r="Q486" s="343">
        <f t="shared" si="200"/>
        <v>-20.613090923379339</v>
      </c>
      <c r="R486" s="344">
        <f t="shared" si="201"/>
        <v>-120.77092398982684</v>
      </c>
      <c r="S486" s="346">
        <f t="shared" si="202"/>
        <v>59.229076010173159</v>
      </c>
      <c r="U486" s="319">
        <f t="shared" si="208"/>
        <v>59227</v>
      </c>
      <c r="V486" s="319">
        <f t="shared" si="209"/>
        <v>3507837529</v>
      </c>
      <c r="X486" s="345">
        <f t="shared" si="203"/>
        <v>17.44027941131035</v>
      </c>
      <c r="Y486" s="346">
        <f t="shared" si="204"/>
        <v>-12.399222648350953</v>
      </c>
      <c r="AA486" s="345">
        <f t="shared" si="205"/>
        <v>10.82057964996457</v>
      </c>
      <c r="AB486" s="346">
        <f t="shared" si="206"/>
        <v>-108.37170134147587</v>
      </c>
      <c r="AD486">
        <f t="shared" si="210"/>
        <v>0</v>
      </c>
      <c r="AE486">
        <f t="shared" si="213"/>
        <v>0</v>
      </c>
    </row>
    <row r="487" spans="1:31" x14ac:dyDescent="0.2">
      <c r="A487" s="347">
        <v>59570</v>
      </c>
      <c r="B487" s="364">
        <f t="shared" si="207"/>
        <v>59.57</v>
      </c>
      <c r="C487" s="337">
        <f t="shared" si="188"/>
        <v>65.923680843920579</v>
      </c>
      <c r="D487" s="338">
        <f t="shared" si="189"/>
        <v>1.5556266890985124</v>
      </c>
      <c r="E487" s="338">
        <f t="shared" si="190"/>
        <v>1.0111452925285511</v>
      </c>
      <c r="F487" s="339">
        <f t="shared" si="191"/>
        <v>0.1486119304763171</v>
      </c>
      <c r="G487" s="338">
        <f t="shared" si="192"/>
        <v>1</v>
      </c>
      <c r="H487" s="339">
        <f t="shared" si="193"/>
        <v>0</v>
      </c>
      <c r="I487" s="337">
        <f t="shared" si="194"/>
        <v>934318.7601940172</v>
      </c>
      <c r="J487" s="340">
        <f t="shared" si="195"/>
        <v>1.5707952564963619</v>
      </c>
      <c r="K487" s="348">
        <f t="shared" si="211"/>
        <v>92.552186781025711</v>
      </c>
      <c r="L487" s="349">
        <f t="shared" si="212"/>
        <v>1.5599914015653513</v>
      </c>
      <c r="M487" s="337">
        <f t="shared" si="196"/>
        <v>1.0217489632426264</v>
      </c>
      <c r="N487" s="340">
        <f t="shared" si="197"/>
        <v>0.20669766246474636</v>
      </c>
      <c r="O487" s="341">
        <f t="shared" si="198"/>
        <v>1.0865058953266589</v>
      </c>
      <c r="P487" s="342">
        <f t="shared" si="199"/>
        <v>0.48624871060730984</v>
      </c>
      <c r="Q487" s="343">
        <f t="shared" si="200"/>
        <v>-20.671946562430698</v>
      </c>
      <c r="R487" s="344">
        <f t="shared" si="201"/>
        <v>-120.93792541580686</v>
      </c>
      <c r="S487" s="346">
        <f t="shared" si="202"/>
        <v>59.062074584193141</v>
      </c>
      <c r="U487" s="319">
        <f t="shared" si="208"/>
        <v>59570</v>
      </c>
      <c r="V487" s="319">
        <f t="shared" si="209"/>
        <v>3548584900</v>
      </c>
      <c r="X487" s="345">
        <f t="shared" si="203"/>
        <v>17.438172594133995</v>
      </c>
      <c r="Y487" s="346">
        <f t="shared" si="204"/>
        <v>-12.461918998707942</v>
      </c>
      <c r="AA487" s="345">
        <f t="shared" si="205"/>
        <v>10.763830828089562</v>
      </c>
      <c r="AB487" s="346">
        <f t="shared" si="206"/>
        <v>-108.47600641709894</v>
      </c>
      <c r="AD487">
        <f t="shared" si="210"/>
        <v>0</v>
      </c>
      <c r="AE487">
        <f t="shared" si="213"/>
        <v>0</v>
      </c>
    </row>
    <row r="488" spans="1:31" x14ac:dyDescent="0.2">
      <c r="A488" s="347">
        <v>59913</v>
      </c>
      <c r="B488" s="364">
        <f t="shared" si="207"/>
        <v>59.912999999999997</v>
      </c>
      <c r="C488" s="337">
        <f t="shared" si="188"/>
        <v>66.303177812752992</v>
      </c>
      <c r="D488" s="338">
        <f t="shared" si="189"/>
        <v>1.5557135215785405</v>
      </c>
      <c r="E488" s="338">
        <f t="shared" si="190"/>
        <v>1.0112732922160406</v>
      </c>
      <c r="F488" s="339">
        <f t="shared" si="191"/>
        <v>0.14945497775087371</v>
      </c>
      <c r="G488" s="338">
        <f t="shared" si="192"/>
        <v>1</v>
      </c>
      <c r="H488" s="339">
        <f t="shared" si="193"/>
        <v>0</v>
      </c>
      <c r="I488" s="337">
        <f t="shared" si="194"/>
        <v>939698.50393660879</v>
      </c>
      <c r="J488" s="340">
        <f t="shared" si="195"/>
        <v>1.5707952626237867</v>
      </c>
      <c r="K488" s="348">
        <f t="shared" si="211"/>
        <v>93.085033929856237</v>
      </c>
      <c r="L488" s="349">
        <f t="shared" si="212"/>
        <v>1.5600532546420471</v>
      </c>
      <c r="M488" s="337">
        <f t="shared" si="196"/>
        <v>1.0219974388844923</v>
      </c>
      <c r="N488" s="340">
        <f t="shared" si="197"/>
        <v>0.20785392245390688</v>
      </c>
      <c r="O488" s="341">
        <f t="shared" si="198"/>
        <v>1.0874731090574214</v>
      </c>
      <c r="P488" s="342">
        <f t="shared" si="199"/>
        <v>0.48882115274227739</v>
      </c>
      <c r="Q488" s="343">
        <f t="shared" si="200"/>
        <v>-20.730551624407745</v>
      </c>
      <c r="R488" s="344">
        <f t="shared" si="201"/>
        <v>-121.10469282547064</v>
      </c>
      <c r="S488" s="346">
        <f t="shared" si="202"/>
        <v>58.895307174529364</v>
      </c>
      <c r="U488" s="319">
        <f t="shared" si="208"/>
        <v>59913</v>
      </c>
      <c r="V488" s="319">
        <f t="shared" si="209"/>
        <v>3589567569</v>
      </c>
      <c r="X488" s="345">
        <f t="shared" si="203"/>
        <v>17.436054770543667</v>
      </c>
      <c r="Y488" s="346">
        <f t="shared" si="204"/>
        <v>-12.524624247009346</v>
      </c>
      <c r="AA488" s="345">
        <f t="shared" si="205"/>
        <v>10.707343589702841</v>
      </c>
      <c r="AB488" s="346">
        <f t="shared" si="206"/>
        <v>-108.58006857846128</v>
      </c>
      <c r="AD488">
        <f t="shared" si="210"/>
        <v>0</v>
      </c>
      <c r="AE488">
        <f t="shared" si="213"/>
        <v>0</v>
      </c>
    </row>
    <row r="489" spans="1:31" x14ac:dyDescent="0.2">
      <c r="A489" s="347">
        <v>60256</v>
      </c>
      <c r="B489" s="364">
        <f t="shared" si="207"/>
        <v>60.256</v>
      </c>
      <c r="C489" s="337">
        <f t="shared" si="188"/>
        <v>66.682675275813239</v>
      </c>
      <c r="D489" s="338">
        <f t="shared" si="189"/>
        <v>1.5557993657153633</v>
      </c>
      <c r="E489" s="338">
        <f t="shared" si="190"/>
        <v>1.0114020104622687</v>
      </c>
      <c r="F489" s="339">
        <f t="shared" si="191"/>
        <v>0.15029781103989007</v>
      </c>
      <c r="G489" s="338">
        <f t="shared" si="192"/>
        <v>1</v>
      </c>
      <c r="H489" s="339">
        <f t="shared" si="193"/>
        <v>0</v>
      </c>
      <c r="I489" s="337">
        <f t="shared" si="194"/>
        <v>945078.24767920049</v>
      </c>
      <c r="J489" s="340">
        <f t="shared" si="195"/>
        <v>1.5707952686814521</v>
      </c>
      <c r="K489" s="348">
        <f t="shared" si="211"/>
        <v>93.617881430757805</v>
      </c>
      <c r="L489" s="349">
        <f t="shared" si="212"/>
        <v>1.560114403617219</v>
      </c>
      <c r="M489" s="337">
        <f t="shared" si="196"/>
        <v>1.0222472802074187</v>
      </c>
      <c r="N489" s="340">
        <f t="shared" si="197"/>
        <v>0.20900961879840321</v>
      </c>
      <c r="O489" s="341">
        <f t="shared" si="198"/>
        <v>1.0884452012004542</v>
      </c>
      <c r="P489" s="342">
        <f t="shared" si="199"/>
        <v>0.49139013943043747</v>
      </c>
      <c r="Q489" s="343">
        <f t="shared" si="200"/>
        <v>-20.788909213124036</v>
      </c>
      <c r="R489" s="344">
        <f t="shared" si="201"/>
        <v>-121.27122592877799</v>
      </c>
      <c r="S489" s="346">
        <f t="shared" si="202"/>
        <v>58.728774071222006</v>
      </c>
      <c r="U489" s="319">
        <f t="shared" si="208"/>
        <v>60256</v>
      </c>
      <c r="V489" s="319">
        <f t="shared" si="209"/>
        <v>3630785536</v>
      </c>
      <c r="X489" s="345">
        <f t="shared" si="203"/>
        <v>17.43392595494193</v>
      </c>
      <c r="Y489" s="346">
        <f t="shared" si="204"/>
        <v>-12.587337538899112</v>
      </c>
      <c r="AA489" s="345">
        <f t="shared" si="205"/>
        <v>10.651114816588287</v>
      </c>
      <c r="AB489" s="346">
        <f t="shared" si="206"/>
        <v>-108.6838883898789</v>
      </c>
      <c r="AD489">
        <f t="shared" si="210"/>
        <v>0</v>
      </c>
      <c r="AE489">
        <f t="shared" si="213"/>
        <v>0</v>
      </c>
    </row>
    <row r="490" spans="1:31" x14ac:dyDescent="0.2">
      <c r="A490" s="347">
        <v>60607</v>
      </c>
      <c r="B490" s="364">
        <f t="shared" si="207"/>
        <v>60.606999999999999</v>
      </c>
      <c r="C490" s="337">
        <f t="shared" si="188"/>
        <v>67.07102449455671</v>
      </c>
      <c r="D490" s="338">
        <f t="shared" si="189"/>
        <v>1.5558862063599428</v>
      </c>
      <c r="E490" s="338">
        <f t="shared" si="190"/>
        <v>1.0115344744904011</v>
      </c>
      <c r="F490" s="339">
        <f t="shared" si="191"/>
        <v>0.15116007955424332</v>
      </c>
      <c r="G490" s="338">
        <f t="shared" si="192"/>
        <v>1</v>
      </c>
      <c r="H490" s="339">
        <f t="shared" si="193"/>
        <v>0</v>
      </c>
      <c r="I490" s="337">
        <f t="shared" si="194"/>
        <v>950583.46649450553</v>
      </c>
      <c r="J490" s="340">
        <f t="shared" si="195"/>
        <v>1.5707952748094212</v>
      </c>
      <c r="K490" s="348">
        <f t="shared" si="211"/>
        <v>94.16315721995808</v>
      </c>
      <c r="L490" s="349">
        <f t="shared" si="212"/>
        <v>1.5601762623514379</v>
      </c>
      <c r="M490" s="337">
        <f t="shared" si="196"/>
        <v>1.022504361520193</v>
      </c>
      <c r="N490" s="340">
        <f t="shared" si="197"/>
        <v>0.21019168385379314</v>
      </c>
      <c r="O490" s="341">
        <f t="shared" si="198"/>
        <v>1.0894450062743706</v>
      </c>
      <c r="P490" s="342">
        <f t="shared" si="199"/>
        <v>0.49401545824462728</v>
      </c>
      <c r="Q490" s="343">
        <f t="shared" si="200"/>
        <v>-20.848374892745518</v>
      </c>
      <c r="R490" s="344">
        <f t="shared" si="201"/>
        <v>-121.44140031814071</v>
      </c>
      <c r="S490" s="346">
        <f t="shared" si="202"/>
        <v>58.558599681859292</v>
      </c>
      <c r="U490" s="319">
        <f t="shared" si="208"/>
        <v>60607</v>
      </c>
      <c r="V490" s="319">
        <f t="shared" si="209"/>
        <v>3673208449</v>
      </c>
      <c r="X490" s="345">
        <f t="shared" si="203"/>
        <v>17.431736123268855</v>
      </c>
      <c r="Y490" s="346">
        <f t="shared" si="204"/>
        <v>-12.65152098446619</v>
      </c>
      <c r="AA490" s="345">
        <f t="shared" si="205"/>
        <v>10.593838968639881</v>
      </c>
      <c r="AB490" s="346">
        <f t="shared" si="206"/>
        <v>-108.78987933367453</v>
      </c>
      <c r="AD490">
        <f t="shared" si="210"/>
        <v>0</v>
      </c>
      <c r="AE490">
        <f t="shared" si="213"/>
        <v>0</v>
      </c>
    </row>
    <row r="491" spans="1:31" x14ac:dyDescent="0.2">
      <c r="A491" s="347">
        <v>60958</v>
      </c>
      <c r="B491" s="364">
        <f t="shared" si="207"/>
        <v>60.957999999999998</v>
      </c>
      <c r="C491" s="337">
        <f t="shared" si="188"/>
        <v>67.459374213279105</v>
      </c>
      <c r="D491" s="338">
        <f t="shared" si="189"/>
        <v>1.5559720471577654</v>
      </c>
      <c r="E491" s="338">
        <f t="shared" si="190"/>
        <v>1.0116676904042106</v>
      </c>
      <c r="F491" s="339">
        <f t="shared" si="191"/>
        <v>0.15202212162318596</v>
      </c>
      <c r="G491" s="338">
        <f t="shared" si="192"/>
        <v>1</v>
      </c>
      <c r="H491" s="339">
        <f t="shared" si="193"/>
        <v>0</v>
      </c>
      <c r="I491" s="337">
        <f t="shared" si="194"/>
        <v>956088.6853098108</v>
      </c>
      <c r="J491" s="340">
        <f t="shared" si="195"/>
        <v>1.5707952808668197</v>
      </c>
      <c r="K491" s="348">
        <f t="shared" si="211"/>
        <v>94.708433365324964</v>
      </c>
      <c r="L491" s="349">
        <f t="shared" si="212"/>
        <v>1.5602374087925701</v>
      </c>
      <c r="M491" s="337">
        <f t="shared" si="196"/>
        <v>1.0227628708361962</v>
      </c>
      <c r="N491" s="340">
        <f t="shared" si="197"/>
        <v>0.2113731530115745</v>
      </c>
      <c r="O491" s="341">
        <f t="shared" si="198"/>
        <v>1.0904498992828264</v>
      </c>
      <c r="P491" s="342">
        <f t="shared" si="199"/>
        <v>0.49663714111909568</v>
      </c>
      <c r="Q491" s="343">
        <f t="shared" si="200"/>
        <v>-20.907587818805219</v>
      </c>
      <c r="R491" s="344">
        <f t="shared" si="201"/>
        <v>-121.61132873579579</v>
      </c>
      <c r="S491" s="346">
        <f t="shared" si="202"/>
        <v>58.388671264204206</v>
      </c>
      <c r="U491" s="319">
        <f t="shared" si="208"/>
        <v>60958</v>
      </c>
      <c r="V491" s="319">
        <f t="shared" si="209"/>
        <v>3715877764</v>
      </c>
      <c r="X491" s="345">
        <f t="shared" si="203"/>
        <v>17.429534811797922</v>
      </c>
      <c r="Y491" s="346">
        <f t="shared" si="204"/>
        <v>-12.715711094959541</v>
      </c>
      <c r="AA491" s="345">
        <f t="shared" si="205"/>
        <v>10.536827354051116</v>
      </c>
      <c r="AB491" s="346">
        <f t="shared" si="206"/>
        <v>-108.89561764083625</v>
      </c>
      <c r="AD491">
        <f t="shared" si="210"/>
        <v>0</v>
      </c>
      <c r="AE491">
        <f t="shared" si="213"/>
        <v>0</v>
      </c>
    </row>
    <row r="492" spans="1:31" x14ac:dyDescent="0.2">
      <c r="A492" s="347">
        <v>61309</v>
      </c>
      <c r="B492" s="364">
        <f t="shared" si="207"/>
        <v>61.308999999999997</v>
      </c>
      <c r="C492" s="337">
        <f t="shared" si="188"/>
        <v>67.847724423395093</v>
      </c>
      <c r="D492" s="338">
        <f t="shared" si="189"/>
        <v>1.5560569052764739</v>
      </c>
      <c r="E492" s="338">
        <f t="shared" si="190"/>
        <v>1.0118016579067131</v>
      </c>
      <c r="F492" s="339">
        <f t="shared" si="191"/>
        <v>0.15288393605521952</v>
      </c>
      <c r="G492" s="338">
        <f t="shared" si="192"/>
        <v>1</v>
      </c>
      <c r="H492" s="339">
        <f t="shared" si="193"/>
        <v>0</v>
      </c>
      <c r="I492" s="337">
        <f t="shared" si="194"/>
        <v>961593.90412511595</v>
      </c>
      <c r="J492" s="340">
        <f t="shared" si="195"/>
        <v>1.5707952868548598</v>
      </c>
      <c r="K492" s="348">
        <f t="shared" si="211"/>
        <v>95.253709860741907</v>
      </c>
      <c r="L492" s="349">
        <f t="shared" si="212"/>
        <v>1.5602978551726441</v>
      </c>
      <c r="M492" s="337">
        <f t="shared" si="196"/>
        <v>1.0230228070728955</v>
      </c>
      <c r="N492" s="340">
        <f t="shared" si="197"/>
        <v>0.21255402342638452</v>
      </c>
      <c r="O492" s="341">
        <f t="shared" si="198"/>
        <v>1.0914598697403346</v>
      </c>
      <c r="P492" s="342">
        <f t="shared" si="199"/>
        <v>0.4992551794650949</v>
      </c>
      <c r="Q492" s="343">
        <f t="shared" si="200"/>
        <v>-20.966551139522096</v>
      </c>
      <c r="R492" s="344">
        <f t="shared" si="201"/>
        <v>-121.78101087774408</v>
      </c>
      <c r="S492" s="346">
        <f t="shared" si="202"/>
        <v>58.21898912225592</v>
      </c>
      <c r="U492" s="319">
        <f t="shared" si="208"/>
        <v>61309</v>
      </c>
      <c r="V492" s="319">
        <f t="shared" si="209"/>
        <v>3758793481</v>
      </c>
      <c r="X492" s="345">
        <f t="shared" si="203"/>
        <v>17.42732203638726</v>
      </c>
      <c r="Y492" s="346">
        <f t="shared" si="204"/>
        <v>-12.779907006577712</v>
      </c>
      <c r="AA492" s="345">
        <f t="shared" si="205"/>
        <v>10.480076808744901</v>
      </c>
      <c r="AB492" s="346">
        <f t="shared" si="206"/>
        <v>-109.00110387116638</v>
      </c>
      <c r="AD492">
        <f t="shared" si="210"/>
        <v>0</v>
      </c>
      <c r="AE492">
        <f t="shared" si="213"/>
        <v>0</v>
      </c>
    </row>
    <row r="493" spans="1:31" x14ac:dyDescent="0.2">
      <c r="A493" s="347">
        <v>61660</v>
      </c>
      <c r="B493" s="364">
        <f t="shared" si="207"/>
        <v>61.66</v>
      </c>
      <c r="C493" s="337">
        <f t="shared" si="188"/>
        <v>68.236075116514655</v>
      </c>
      <c r="D493" s="338">
        <f t="shared" si="189"/>
        <v>1.5561407974929453</v>
      </c>
      <c r="E493" s="338">
        <f t="shared" si="190"/>
        <v>1.0119363766994056</v>
      </c>
      <c r="F493" s="339">
        <f t="shared" si="191"/>
        <v>0.15374552166082728</v>
      </c>
      <c r="G493" s="338">
        <f t="shared" si="192"/>
        <v>1</v>
      </c>
      <c r="H493" s="339">
        <f t="shared" si="193"/>
        <v>0</v>
      </c>
      <c r="I493" s="337">
        <f t="shared" si="194"/>
        <v>967099.12294042134</v>
      </c>
      <c r="J493" s="340">
        <f t="shared" si="195"/>
        <v>1.5707952927747262</v>
      </c>
      <c r="K493" s="348">
        <f t="shared" si="211"/>
        <v>95.798986700231552</v>
      </c>
      <c r="L493" s="349">
        <f t="shared" si="212"/>
        <v>1.5603576134452157</v>
      </c>
      <c r="M493" s="337">
        <f t="shared" si="196"/>
        <v>1.0232841691428844</v>
      </c>
      <c r="N493" s="340">
        <f t="shared" si="197"/>
        <v>0.21373429226242283</v>
      </c>
      <c r="O493" s="341">
        <f t="shared" si="198"/>
        <v>1.0924749071498745</v>
      </c>
      <c r="P493" s="342">
        <f t="shared" si="199"/>
        <v>0.50186956484434297</v>
      </c>
      <c r="Q493" s="343">
        <f t="shared" si="200"/>
        <v>-21.025267945861113</v>
      </c>
      <c r="R493" s="344">
        <f t="shared" si="201"/>
        <v>-121.95044644260639</v>
      </c>
      <c r="S493" s="346">
        <f t="shared" si="202"/>
        <v>58.049553557393608</v>
      </c>
      <c r="U493" s="319">
        <f t="shared" si="208"/>
        <v>61660</v>
      </c>
      <c r="V493" s="319">
        <f t="shared" si="209"/>
        <v>3801955600</v>
      </c>
      <c r="X493" s="345">
        <f t="shared" si="203"/>
        <v>17.425097813032508</v>
      </c>
      <c r="Y493" s="346">
        <f t="shared" si="204"/>
        <v>-12.844107872020894</v>
      </c>
      <c r="AA493" s="345">
        <f t="shared" si="205"/>
        <v>10.423584225760633</v>
      </c>
      <c r="AB493" s="346">
        <f t="shared" si="206"/>
        <v>-109.10633857058552</v>
      </c>
      <c r="AD493">
        <f t="shared" si="210"/>
        <v>0</v>
      </c>
      <c r="AE493">
        <f t="shared" si="213"/>
        <v>0</v>
      </c>
    </row>
    <row r="494" spans="1:31" x14ac:dyDescent="0.2">
      <c r="A494" s="347">
        <v>62019</v>
      </c>
      <c r="B494" s="364">
        <f t="shared" si="207"/>
        <v>62.018999999999998</v>
      </c>
      <c r="C494" s="337">
        <f t="shared" si="188"/>
        <v>68.633277598579198</v>
      </c>
      <c r="D494" s="338">
        <f t="shared" si="189"/>
        <v>1.5562256196959827</v>
      </c>
      <c r="E494" s="338">
        <f t="shared" si="190"/>
        <v>1.0120749428636369</v>
      </c>
      <c r="F494" s="339">
        <f t="shared" si="191"/>
        <v>0.15462650659845417</v>
      </c>
      <c r="G494" s="338">
        <f t="shared" si="192"/>
        <v>1</v>
      </c>
      <c r="H494" s="339">
        <f t="shared" si="193"/>
        <v>0</v>
      </c>
      <c r="I494" s="337">
        <f t="shared" si="194"/>
        <v>972729.81682844018</v>
      </c>
      <c r="J494" s="340">
        <f t="shared" si="195"/>
        <v>1.5707952987602023</v>
      </c>
      <c r="K494" s="348">
        <f t="shared" si="211"/>
        <v>96.356691851711687</v>
      </c>
      <c r="L494" s="349">
        <f t="shared" si="212"/>
        <v>1.5604180340940867</v>
      </c>
      <c r="M494" s="337">
        <f t="shared" si="196"/>
        <v>1.0235529619947046</v>
      </c>
      <c r="N494" s="340">
        <f t="shared" si="197"/>
        <v>0.21494083656513419</v>
      </c>
      <c r="O494" s="341">
        <f t="shared" si="198"/>
        <v>1.0935183098597896</v>
      </c>
      <c r="P494" s="342">
        <f t="shared" si="199"/>
        <v>0.50453974991328321</v>
      </c>
      <c r="Q494" s="343">
        <f t="shared" si="200"/>
        <v>-21.085071183836199</v>
      </c>
      <c r="R494" s="344">
        <f t="shared" si="201"/>
        <v>-122.12348840438337</v>
      </c>
      <c r="S494" s="346">
        <f t="shared" si="202"/>
        <v>57.876511595616634</v>
      </c>
      <c r="U494" s="319">
        <f t="shared" si="208"/>
        <v>62019</v>
      </c>
      <c r="V494" s="319">
        <f t="shared" si="209"/>
        <v>3846356361</v>
      </c>
      <c r="X494" s="345">
        <f t="shared" si="203"/>
        <v>17.422811069641824</v>
      </c>
      <c r="Y494" s="346">
        <f t="shared" si="204"/>
        <v>-12.909776263203616</v>
      </c>
      <c r="AA494" s="345">
        <f t="shared" si="205"/>
        <v>10.366067731176237</v>
      </c>
      <c r="AB494" s="346">
        <f t="shared" si="206"/>
        <v>-109.21371214117974</v>
      </c>
      <c r="AD494">
        <f t="shared" si="210"/>
        <v>0</v>
      </c>
      <c r="AE494">
        <f t="shared" si="213"/>
        <v>0</v>
      </c>
    </row>
    <row r="495" spans="1:31" x14ac:dyDescent="0.2">
      <c r="A495" s="347">
        <v>62378</v>
      </c>
      <c r="B495" s="364">
        <f t="shared" si="207"/>
        <v>62.378</v>
      </c>
      <c r="C495" s="337">
        <f t="shared" si="188"/>
        <v>69.030480568764162</v>
      </c>
      <c r="D495" s="338">
        <f t="shared" si="189"/>
        <v>1.55630946576181</v>
      </c>
      <c r="E495" s="338">
        <f t="shared" si="190"/>
        <v>1.0122142943186898</v>
      </c>
      <c r="F495" s="339">
        <f t="shared" si="191"/>
        <v>0.15550724964925811</v>
      </c>
      <c r="G495" s="338">
        <f t="shared" si="192"/>
        <v>1</v>
      </c>
      <c r="H495" s="339">
        <f t="shared" si="193"/>
        <v>0</v>
      </c>
      <c r="I495" s="337">
        <f t="shared" si="194"/>
        <v>978360.51071645902</v>
      </c>
      <c r="J495" s="340">
        <f t="shared" si="195"/>
        <v>1.5707953046767826</v>
      </c>
      <c r="K495" s="348">
        <f t="shared" si="211"/>
        <v>96.914397350908288</v>
      </c>
      <c r="L495" s="349">
        <f t="shared" si="212"/>
        <v>1.5604777593474624</v>
      </c>
      <c r="M495" s="337">
        <f t="shared" si="196"/>
        <v>1.0238232440992354</v>
      </c>
      <c r="N495" s="340">
        <f t="shared" si="197"/>
        <v>0.21614674558422953</v>
      </c>
      <c r="O495" s="341">
        <f t="shared" si="198"/>
        <v>1.094566990879233</v>
      </c>
      <c r="P495" s="342">
        <f t="shared" si="199"/>
        <v>0.50720609622442825</v>
      </c>
      <c r="Q495" s="343">
        <f t="shared" si="200"/>
        <v>-21.144622905141645</v>
      </c>
      <c r="R495" s="344">
        <f t="shared" si="201"/>
        <v>-122.29627179230104</v>
      </c>
      <c r="S495" s="346">
        <f t="shared" si="202"/>
        <v>57.703728207698958</v>
      </c>
      <c r="U495" s="319">
        <f t="shared" si="208"/>
        <v>62378</v>
      </c>
      <c r="V495" s="319">
        <f t="shared" si="209"/>
        <v>3891014884</v>
      </c>
      <c r="X495" s="345">
        <f t="shared" si="203"/>
        <v>17.420512384793149</v>
      </c>
      <c r="Y495" s="346">
        <f t="shared" si="204"/>
        <v>-12.975448094595885</v>
      </c>
      <c r="AA495" s="345">
        <f t="shared" si="205"/>
        <v>10.308814694719466</v>
      </c>
      <c r="AB495" s="346">
        <f t="shared" si="206"/>
        <v>-109.32082369770517</v>
      </c>
      <c r="AD495">
        <f t="shared" si="210"/>
        <v>0</v>
      </c>
      <c r="AE495">
        <f t="shared" si="213"/>
        <v>0</v>
      </c>
    </row>
    <row r="496" spans="1:31" x14ac:dyDescent="0.2">
      <c r="A496" s="347">
        <v>62737</v>
      </c>
      <c r="B496" s="364">
        <f t="shared" si="207"/>
        <v>62.737000000000002</v>
      </c>
      <c r="C496" s="337">
        <f t="shared" si="188"/>
        <v>69.427684018691807</v>
      </c>
      <c r="D496" s="338">
        <f t="shared" si="189"/>
        <v>1.5563923524430041</v>
      </c>
      <c r="E496" s="338">
        <f t="shared" si="190"/>
        <v>1.0123544307402765</v>
      </c>
      <c r="F496" s="339">
        <f t="shared" si="191"/>
        <v>0.15638774954701076</v>
      </c>
      <c r="G496" s="338">
        <f t="shared" si="192"/>
        <v>1</v>
      </c>
      <c r="H496" s="339">
        <f t="shared" si="193"/>
        <v>0</v>
      </c>
      <c r="I496" s="337">
        <f t="shared" si="194"/>
        <v>983991.20460447797</v>
      </c>
      <c r="J496" s="340">
        <f t="shared" si="195"/>
        <v>1.5707953105256502</v>
      </c>
      <c r="K496" s="348">
        <f t="shared" si="211"/>
        <v>97.472103191852767</v>
      </c>
      <c r="L496" s="349">
        <f t="shared" si="212"/>
        <v>1.5605368011414398</v>
      </c>
      <c r="M496" s="337">
        <f t="shared" si="196"/>
        <v>1.0240950142773333</v>
      </c>
      <c r="N496" s="340">
        <f t="shared" si="197"/>
        <v>0.21735201631679485</v>
      </c>
      <c r="O496" s="341">
        <f t="shared" si="198"/>
        <v>1.0956209389430356</v>
      </c>
      <c r="P496" s="342">
        <f t="shared" si="199"/>
        <v>0.50986859523404526</v>
      </c>
      <c r="Q496" s="343">
        <f t="shared" si="200"/>
        <v>-21.203926239496642</v>
      </c>
      <c r="R496" s="344">
        <f t="shared" si="201"/>
        <v>-122.46879629336664</v>
      </c>
      <c r="S496" s="346">
        <f t="shared" si="202"/>
        <v>57.531203706633363</v>
      </c>
      <c r="U496" s="319">
        <f t="shared" si="208"/>
        <v>62737</v>
      </c>
      <c r="V496" s="319">
        <f t="shared" si="209"/>
        <v>3935931169</v>
      </c>
      <c r="X496" s="345">
        <f t="shared" si="203"/>
        <v>17.418201776030461</v>
      </c>
      <c r="Y496" s="346">
        <f t="shared" si="204"/>
        <v>-13.041122510323209</v>
      </c>
      <c r="AA496" s="345">
        <f t="shared" si="205"/>
        <v>10.25182196912715</v>
      </c>
      <c r="AB496" s="346">
        <f t="shared" si="206"/>
        <v>-109.42767378304343</v>
      </c>
      <c r="AD496">
        <f t="shared" si="210"/>
        <v>0</v>
      </c>
      <c r="AE496">
        <f t="shared" si="213"/>
        <v>0</v>
      </c>
    </row>
    <row r="497" spans="1:31" x14ac:dyDescent="0.2">
      <c r="A497" s="347">
        <v>63096</v>
      </c>
      <c r="B497" s="364">
        <f t="shared" si="207"/>
        <v>63.095999999999997</v>
      </c>
      <c r="C497" s="337">
        <f t="shared" si="188"/>
        <v>69.824887940174932</v>
      </c>
      <c r="D497" s="338">
        <f t="shared" si="189"/>
        <v>1.556474296111003</v>
      </c>
      <c r="E497" s="338">
        <f t="shared" si="190"/>
        <v>1.0124953518024626</v>
      </c>
      <c r="F497" s="339">
        <f t="shared" si="191"/>
        <v>0.15726800502769112</v>
      </c>
      <c r="G497" s="338">
        <f t="shared" si="192"/>
        <v>1</v>
      </c>
      <c r="H497" s="339">
        <f t="shared" si="193"/>
        <v>0</v>
      </c>
      <c r="I497" s="337">
        <f t="shared" si="194"/>
        <v>989621.89849249693</v>
      </c>
      <c r="J497" s="340">
        <f t="shared" si="195"/>
        <v>1.5707953163079607</v>
      </c>
      <c r="K497" s="348">
        <f t="shared" si="211"/>
        <v>98.029809368712407</v>
      </c>
      <c r="L497" s="349">
        <f t="shared" si="212"/>
        <v>1.5605951711405106</v>
      </c>
      <c r="M497" s="337">
        <f t="shared" si="196"/>
        <v>1.0243682713446176</v>
      </c>
      <c r="N497" s="340">
        <f t="shared" si="197"/>
        <v>0.21855664577051204</v>
      </c>
      <c r="O497" s="341">
        <f t="shared" si="198"/>
        <v>1.096680142775774</v>
      </c>
      <c r="P497" s="342">
        <f t="shared" si="199"/>
        <v>0.51252723856052573</v>
      </c>
      <c r="Q497" s="343">
        <f t="shared" si="200"/>
        <v>-21.262984259522074</v>
      </c>
      <c r="R497" s="344">
        <f t="shared" si="201"/>
        <v>-122.64106159807952</v>
      </c>
      <c r="S497" s="346">
        <f t="shared" si="202"/>
        <v>57.358938401920483</v>
      </c>
      <c r="U497" s="319">
        <f t="shared" si="208"/>
        <v>63096</v>
      </c>
      <c r="V497" s="319">
        <f t="shared" si="209"/>
        <v>3981105216</v>
      </c>
      <c r="X497" s="345">
        <f t="shared" si="203"/>
        <v>17.415879261037119</v>
      </c>
      <c r="Y497" s="346">
        <f t="shared" si="204"/>
        <v>-13.106798670678451</v>
      </c>
      <c r="AA497" s="345">
        <f t="shared" si="205"/>
        <v>10.195086464095059</v>
      </c>
      <c r="AB497" s="346">
        <f t="shared" si="206"/>
        <v>-109.53426292740107</v>
      </c>
      <c r="AD497">
        <f t="shared" si="210"/>
        <v>0</v>
      </c>
      <c r="AE497">
        <f t="shared" si="213"/>
        <v>0</v>
      </c>
    </row>
    <row r="498" spans="1:31" x14ac:dyDescent="0.2">
      <c r="A498" s="347">
        <v>63463.25</v>
      </c>
      <c r="B498" s="364">
        <f t="shared" si="207"/>
        <v>63.463250000000002</v>
      </c>
      <c r="C498" s="337">
        <f t="shared" si="188"/>
        <v>70.231220286521634</v>
      </c>
      <c r="D498" s="338">
        <f t="shared" si="189"/>
        <v>1.5565571637985349</v>
      </c>
      <c r="E498" s="338">
        <f t="shared" si="190"/>
        <v>1.0126403228546887</v>
      </c>
      <c r="F498" s="339">
        <f t="shared" si="191"/>
        <v>0.1581682349981989</v>
      </c>
      <c r="G498" s="338">
        <f t="shared" si="192"/>
        <v>1</v>
      </c>
      <c r="H498" s="339">
        <f t="shared" si="193"/>
        <v>0</v>
      </c>
      <c r="I498" s="337">
        <f t="shared" si="194"/>
        <v>995381.98854925169</v>
      </c>
      <c r="J498" s="340">
        <f t="shared" si="195"/>
        <v>1.5707953221554602</v>
      </c>
      <c r="K498" s="348">
        <f t="shared" si="211"/>
        <v>98.600332254785968</v>
      </c>
      <c r="L498" s="349">
        <f t="shared" si="212"/>
        <v>1.5606541992672383</v>
      </c>
      <c r="M498" s="337">
        <f t="shared" si="196"/>
        <v>1.0246493452919332</v>
      </c>
      <c r="N498" s="340">
        <f t="shared" si="197"/>
        <v>0.21978829155069651</v>
      </c>
      <c r="O498" s="341">
        <f t="shared" si="198"/>
        <v>1.0977691142041299</v>
      </c>
      <c r="P498" s="342">
        <f t="shared" si="199"/>
        <v>0.51524298066426977</v>
      </c>
      <c r="Q498" s="343">
        <f t="shared" si="200"/>
        <v>-21.323148772387604</v>
      </c>
      <c r="R498" s="344">
        <f t="shared" si="201"/>
        <v>-122.81701712748605</v>
      </c>
      <c r="S498" s="346">
        <f t="shared" si="202"/>
        <v>57.182982872513946</v>
      </c>
      <c r="U498" s="319">
        <f t="shared" si="208"/>
        <v>63463.25</v>
      </c>
      <c r="V498" s="319">
        <f t="shared" si="209"/>
        <v>4027584100.5625</v>
      </c>
      <c r="X498" s="345">
        <f t="shared" si="203"/>
        <v>17.41349107227467</v>
      </c>
      <c r="Y498" s="346">
        <f t="shared" si="204"/>
        <v>-13.173985048317878</v>
      </c>
      <c r="AA498" s="345">
        <f t="shared" si="205"/>
        <v>10.137310139991978</v>
      </c>
      <c r="AB498" s="346">
        <f t="shared" si="206"/>
        <v>-109.64303207916819</v>
      </c>
      <c r="AD498">
        <f t="shared" si="210"/>
        <v>0</v>
      </c>
      <c r="AE498">
        <f t="shared" si="213"/>
        <v>0</v>
      </c>
    </row>
    <row r="499" spans="1:31" x14ac:dyDescent="0.2">
      <c r="A499" s="347">
        <v>63830.5</v>
      </c>
      <c r="B499" s="364">
        <f t="shared" si="207"/>
        <v>63.830500000000001</v>
      </c>
      <c r="C499" s="337">
        <f t="shared" si="188"/>
        <v>70.637553109601384</v>
      </c>
      <c r="D499" s="338">
        <f t="shared" si="189"/>
        <v>1.5566390781166406</v>
      </c>
      <c r="E499" s="338">
        <f t="shared" si="190"/>
        <v>1.0127861143294823</v>
      </c>
      <c r="F499" s="339">
        <f t="shared" si="191"/>
        <v>0.15906820652004894</v>
      </c>
      <c r="G499" s="338">
        <f t="shared" si="192"/>
        <v>1</v>
      </c>
      <c r="H499" s="339">
        <f t="shared" si="193"/>
        <v>0</v>
      </c>
      <c r="I499" s="337">
        <f t="shared" si="194"/>
        <v>1001142.0786060065</v>
      </c>
      <c r="J499" s="340">
        <f t="shared" si="195"/>
        <v>1.5707953279356723</v>
      </c>
      <c r="K499" s="348">
        <f t="shared" si="211"/>
        <v>99.170855480461739</v>
      </c>
      <c r="L499" s="349">
        <f t="shared" si="212"/>
        <v>1.5607125482245239</v>
      </c>
      <c r="M499" s="337">
        <f t="shared" si="196"/>
        <v>1.0249319727285431</v>
      </c>
      <c r="N499" s="340">
        <f t="shared" si="197"/>
        <v>0.22101925993881988</v>
      </c>
      <c r="O499" s="341">
        <f t="shared" si="198"/>
        <v>1.0988635618367295</v>
      </c>
      <c r="P499" s="342">
        <f t="shared" si="199"/>
        <v>0.51795467061006706</v>
      </c>
      <c r="Q499" s="343">
        <f t="shared" si="200"/>
        <v>-21.383062893949251</v>
      </c>
      <c r="R499" s="344">
        <f t="shared" si="201"/>
        <v>-122.99270076729802</v>
      </c>
      <c r="S499" s="346">
        <f t="shared" si="202"/>
        <v>57.007299232701982</v>
      </c>
      <c r="U499" s="319">
        <f t="shared" si="208"/>
        <v>63830.5</v>
      </c>
      <c r="V499" s="319">
        <f t="shared" si="209"/>
        <v>4074332730.25</v>
      </c>
      <c r="X499" s="345">
        <f t="shared" si="203"/>
        <v>17.41109046164318</v>
      </c>
      <c r="Y499" s="346">
        <f t="shared" si="204"/>
        <v>-13.241171523938437</v>
      </c>
      <c r="AA499" s="345">
        <f t="shared" si="205"/>
        <v>10.079796629061823</v>
      </c>
      <c r="AB499" s="346">
        <f t="shared" si="206"/>
        <v>-109.75152924335957</v>
      </c>
      <c r="AD499">
        <f t="shared" si="210"/>
        <v>0</v>
      </c>
      <c r="AE499">
        <f t="shared" si="213"/>
        <v>0</v>
      </c>
    </row>
    <row r="500" spans="1:31" x14ac:dyDescent="0.2">
      <c r="A500" s="347">
        <v>64197.75</v>
      </c>
      <c r="B500" s="364">
        <f t="shared" si="207"/>
        <v>64.197749999999999</v>
      </c>
      <c r="C500" s="337">
        <f t="shared" si="188"/>
        <v>71.043886401234218</v>
      </c>
      <c r="D500" s="338">
        <f t="shared" si="189"/>
        <v>1.5567200554225111</v>
      </c>
      <c r="E500" s="338">
        <f t="shared" si="190"/>
        <v>1.0129327258725924</v>
      </c>
      <c r="F500" s="339">
        <f t="shared" si="191"/>
        <v>0.15996791824729137</v>
      </c>
      <c r="G500" s="338">
        <f t="shared" si="192"/>
        <v>1</v>
      </c>
      <c r="H500" s="339">
        <f t="shared" si="193"/>
        <v>0</v>
      </c>
      <c r="I500" s="337">
        <f t="shared" si="194"/>
        <v>1006902.1686627612</v>
      </c>
      <c r="J500" s="340">
        <f t="shared" si="195"/>
        <v>1.570795333649752</v>
      </c>
      <c r="K500" s="348">
        <f t="shared" si="211"/>
        <v>99.741379039912076</v>
      </c>
      <c r="L500" s="349">
        <f t="shared" si="212"/>
        <v>1.5607702296665731</v>
      </c>
      <c r="M500" s="337">
        <f t="shared" si="196"/>
        <v>1.0252161523696681</v>
      </c>
      <c r="N500" s="340">
        <f t="shared" si="197"/>
        <v>0.2222495477661216</v>
      </c>
      <c r="O500" s="341">
        <f t="shared" si="198"/>
        <v>1.0999634735733472</v>
      </c>
      <c r="P500" s="342">
        <f t="shared" si="199"/>
        <v>0.52066229994731927</v>
      </c>
      <c r="Q500" s="343">
        <f t="shared" si="200"/>
        <v>-21.442729736494485</v>
      </c>
      <c r="R500" s="344">
        <f t="shared" si="201"/>
        <v>-123.16811219841981</v>
      </c>
      <c r="S500" s="346">
        <f t="shared" si="202"/>
        <v>56.831887801580194</v>
      </c>
      <c r="U500" s="319">
        <f t="shared" si="208"/>
        <v>64197.75</v>
      </c>
      <c r="V500" s="319">
        <f t="shared" si="209"/>
        <v>4121351105.0625</v>
      </c>
      <c r="X500" s="345">
        <f t="shared" si="203"/>
        <v>17.40867744850949</v>
      </c>
      <c r="Y500" s="346">
        <f t="shared" si="204"/>
        <v>-13.308357248312923</v>
      </c>
      <c r="AA500" s="345">
        <f t="shared" si="205"/>
        <v>10.022542799650278</v>
      </c>
      <c r="AB500" s="346">
        <f t="shared" si="206"/>
        <v>-109.85975495010692</v>
      </c>
      <c r="AD500">
        <f t="shared" si="210"/>
        <v>0</v>
      </c>
      <c r="AE500">
        <f t="shared" si="213"/>
        <v>0</v>
      </c>
    </row>
    <row r="501" spans="1:31" x14ac:dyDescent="0.2">
      <c r="A501" s="347">
        <v>64565</v>
      </c>
      <c r="B501" s="364">
        <f t="shared" si="207"/>
        <v>64.564999999999998</v>
      </c>
      <c r="C501" s="337">
        <f t="shared" si="188"/>
        <v>71.450220153426201</v>
      </c>
      <c r="D501" s="338">
        <f t="shared" si="189"/>
        <v>1.5568001117012977</v>
      </c>
      <c r="E501" s="338">
        <f t="shared" si="190"/>
        <v>1.0130801571279819</v>
      </c>
      <c r="F501" s="339">
        <f t="shared" si="191"/>
        <v>0.16086736883643574</v>
      </c>
      <c r="G501" s="338">
        <f t="shared" si="192"/>
        <v>1</v>
      </c>
      <c r="H501" s="339">
        <f t="shared" si="193"/>
        <v>0</v>
      </c>
      <c r="I501" s="337">
        <f t="shared" si="194"/>
        <v>1012662.2587195161</v>
      </c>
      <c r="J501" s="340">
        <f t="shared" si="195"/>
        <v>1.5707953392988274</v>
      </c>
      <c r="K501" s="348">
        <f t="shared" si="211"/>
        <v>100.31190292744199</v>
      </c>
      <c r="L501" s="349">
        <f t="shared" si="212"/>
        <v>1.5608272549824764</v>
      </c>
      <c r="M501" s="337">
        <f t="shared" si="196"/>
        <v>1.0255018829249014</v>
      </c>
      <c r="N501" s="340">
        <f t="shared" si="197"/>
        <v>0.22347915187558492</v>
      </c>
      <c r="O501" s="341">
        <f t="shared" si="198"/>
        <v>1.1010688373051152</v>
      </c>
      <c r="P501" s="342">
        <f t="shared" si="199"/>
        <v>0.52336586039994504</v>
      </c>
      <c r="Q501" s="343">
        <f t="shared" si="200"/>
        <v>-21.502152355332164</v>
      </c>
      <c r="R501" s="344">
        <f t="shared" si="201"/>
        <v>-123.34325110615904</v>
      </c>
      <c r="S501" s="346">
        <f t="shared" si="202"/>
        <v>56.656748893840955</v>
      </c>
      <c r="U501" s="319">
        <f t="shared" si="208"/>
        <v>64565</v>
      </c>
      <c r="V501" s="319">
        <f t="shared" si="209"/>
        <v>4168639225</v>
      </c>
      <c r="X501" s="345">
        <f t="shared" si="203"/>
        <v>17.406252052382133</v>
      </c>
      <c r="Y501" s="346">
        <f t="shared" si="204"/>
        <v>-13.375541388075398</v>
      </c>
      <c r="AA501" s="345">
        <f t="shared" si="205"/>
        <v>9.9655455769399595</v>
      </c>
      <c r="AB501" s="346">
        <f t="shared" si="206"/>
        <v>-109.96770971808367</v>
      </c>
      <c r="AD501">
        <f t="shared" si="210"/>
        <v>0</v>
      </c>
      <c r="AE501">
        <f t="shared" si="213"/>
        <v>0</v>
      </c>
    </row>
    <row r="502" spans="1:31" x14ac:dyDescent="0.2">
      <c r="A502" s="347">
        <v>64941</v>
      </c>
      <c r="B502" s="364">
        <f t="shared" si="207"/>
        <v>64.941000000000003</v>
      </c>
      <c r="C502" s="337">
        <f t="shared" si="188"/>
        <v>71.866235573607199</v>
      </c>
      <c r="D502" s="338">
        <f t="shared" si="189"/>
        <v>1.5568811374875753</v>
      </c>
      <c r="E502" s="338">
        <f t="shared" si="190"/>
        <v>1.0132319499075628</v>
      </c>
      <c r="F502" s="339">
        <f t="shared" si="191"/>
        <v>0.16178797754880261</v>
      </c>
      <c r="G502" s="338">
        <f t="shared" si="192"/>
        <v>1</v>
      </c>
      <c r="H502" s="339">
        <f t="shared" si="193"/>
        <v>0</v>
      </c>
      <c r="I502" s="337">
        <f t="shared" si="194"/>
        <v>1018559.5871370515</v>
      </c>
      <c r="J502" s="340">
        <f t="shared" si="195"/>
        <v>1.5707953450163019</v>
      </c>
      <c r="K502" s="348">
        <f t="shared" si="211"/>
        <v>100.89602029818221</v>
      </c>
      <c r="L502" s="349">
        <f t="shared" si="212"/>
        <v>1.5608849708293349</v>
      </c>
      <c r="M502" s="337">
        <f t="shared" si="196"/>
        <v>1.0257960266481203</v>
      </c>
      <c r="N502" s="340">
        <f t="shared" si="197"/>
        <v>0.2247373405714081</v>
      </c>
      <c r="O502" s="341">
        <f t="shared" si="198"/>
        <v>1.1022061728728618</v>
      </c>
      <c r="P502" s="342">
        <f t="shared" si="199"/>
        <v>0.52612961124323709</v>
      </c>
      <c r="Q502" s="343">
        <f t="shared" si="200"/>
        <v>-21.562740872341735</v>
      </c>
      <c r="R502" s="344">
        <f t="shared" si="201"/>
        <v>-123.52228016234669</v>
      </c>
      <c r="S502" s="346">
        <f t="shared" si="202"/>
        <v>56.477719837653311</v>
      </c>
      <c r="U502" s="319">
        <f t="shared" si="208"/>
        <v>64941</v>
      </c>
      <c r="V502" s="319">
        <f t="shared" si="209"/>
        <v>4217333481</v>
      </c>
      <c r="X502" s="345">
        <f t="shared" si="203"/>
        <v>17.403756060875903</v>
      </c>
      <c r="Y502" s="346">
        <f t="shared" si="204"/>
        <v>-13.444323743406878</v>
      </c>
      <c r="AA502" s="345">
        <f t="shared" si="205"/>
        <v>9.9074530514366153</v>
      </c>
      <c r="AB502" s="346">
        <f t="shared" si="206"/>
        <v>-110.07795641893982</v>
      </c>
      <c r="AD502">
        <f t="shared" si="210"/>
        <v>0</v>
      </c>
      <c r="AE502">
        <f t="shared" si="213"/>
        <v>0</v>
      </c>
    </row>
    <row r="503" spans="1:31" x14ac:dyDescent="0.2">
      <c r="A503" s="347">
        <v>65317</v>
      </c>
      <c r="B503" s="364">
        <f t="shared" si="207"/>
        <v>65.316999999999993</v>
      </c>
      <c r="C503" s="337">
        <f t="shared" si="188"/>
        <v>72.282251460171807</v>
      </c>
      <c r="D503" s="338">
        <f t="shared" si="189"/>
        <v>1.5569612305968867</v>
      </c>
      <c r="E503" s="338">
        <f t="shared" si="190"/>
        <v>1.013384601164212</v>
      </c>
      <c r="F503" s="339">
        <f t="shared" si="191"/>
        <v>0.16270830968906547</v>
      </c>
      <c r="G503" s="338">
        <f t="shared" si="192"/>
        <v>1</v>
      </c>
      <c r="H503" s="339">
        <f t="shared" si="193"/>
        <v>0</v>
      </c>
      <c r="I503" s="337">
        <f t="shared" si="194"/>
        <v>1024456.9155545869</v>
      </c>
      <c r="J503" s="340">
        <f t="shared" si="195"/>
        <v>1.5707953506679508</v>
      </c>
      <c r="K503" s="348">
        <f t="shared" si="211"/>
        <v>101.48013800114997</v>
      </c>
      <c r="L503" s="349">
        <f t="shared" si="212"/>
        <v>1.5609420222537949</v>
      </c>
      <c r="M503" s="337">
        <f t="shared" si="196"/>
        <v>1.0260917933137321</v>
      </c>
      <c r="N503" s="340">
        <f t="shared" si="197"/>
        <v>0.22599480592164078</v>
      </c>
      <c r="O503" s="341">
        <f t="shared" si="198"/>
        <v>1.1033491976133203</v>
      </c>
      <c r="P503" s="342">
        <f t="shared" si="199"/>
        <v>0.52888908000387691</v>
      </c>
      <c r="Q503" s="343">
        <f t="shared" si="200"/>
        <v>-21.623079693565327</v>
      </c>
      <c r="R503" s="344">
        <f t="shared" si="201"/>
        <v>-123.70102290140926</v>
      </c>
      <c r="S503" s="346">
        <f t="shared" si="202"/>
        <v>56.29897709859074</v>
      </c>
      <c r="U503" s="319">
        <f t="shared" si="208"/>
        <v>65317</v>
      </c>
      <c r="V503" s="319">
        <f t="shared" si="209"/>
        <v>4266310489</v>
      </c>
      <c r="X503" s="345">
        <f t="shared" si="203"/>
        <v>17.401247131108594</v>
      </c>
      <c r="Y503" s="346">
        <f t="shared" si="204"/>
        <v>-13.513102718916603</v>
      </c>
      <c r="AA503" s="345">
        <f t="shared" si="205"/>
        <v>9.8496231599803394</v>
      </c>
      <c r="AB503" s="346">
        <f t="shared" si="206"/>
        <v>-110.18792018249268</v>
      </c>
      <c r="AD503">
        <f t="shared" si="210"/>
        <v>0</v>
      </c>
      <c r="AE503">
        <f t="shared" si="213"/>
        <v>0</v>
      </c>
    </row>
    <row r="504" spans="1:31" x14ac:dyDescent="0.2">
      <c r="A504" s="347">
        <v>65693</v>
      </c>
      <c r="B504" s="364">
        <f t="shared" si="207"/>
        <v>65.692999999999998</v>
      </c>
      <c r="C504" s="337">
        <f t="shared" si="188"/>
        <v>72.698267805113431</v>
      </c>
      <c r="D504" s="338">
        <f t="shared" si="189"/>
        <v>1.5570404070399473</v>
      </c>
      <c r="E504" s="338">
        <f t="shared" si="190"/>
        <v>1.0135381105100376</v>
      </c>
      <c r="F504" s="339">
        <f t="shared" si="191"/>
        <v>0.16362836382348017</v>
      </c>
      <c r="G504" s="338">
        <f t="shared" si="192"/>
        <v>1</v>
      </c>
      <c r="H504" s="339">
        <f t="shared" si="193"/>
        <v>0</v>
      </c>
      <c r="I504" s="337">
        <f t="shared" si="194"/>
        <v>1030354.2439721223</v>
      </c>
      <c r="J504" s="340">
        <f t="shared" si="195"/>
        <v>1.5707953562549044</v>
      </c>
      <c r="K504" s="348">
        <f t="shared" si="211"/>
        <v>102.06425603064119</v>
      </c>
      <c r="L504" s="349">
        <f t="shared" si="212"/>
        <v>1.5609984206630338</v>
      </c>
      <c r="M504" s="337">
        <f t="shared" si="196"/>
        <v>1.0263891815187243</v>
      </c>
      <c r="N504" s="340">
        <f t="shared" si="197"/>
        <v>0.22725154457667512</v>
      </c>
      <c r="O504" s="341">
        <f t="shared" si="198"/>
        <v>1.1044978985073819</v>
      </c>
      <c r="P504" s="342">
        <f t="shared" si="199"/>
        <v>0.53164425836330531</v>
      </c>
      <c r="Q504" s="343">
        <f t="shared" si="200"/>
        <v>-21.683171920744812</v>
      </c>
      <c r="R504" s="344">
        <f t="shared" si="201"/>
        <v>-123.87947900078554</v>
      </c>
      <c r="S504" s="346">
        <f t="shared" si="202"/>
        <v>56.120520999214463</v>
      </c>
      <c r="U504" s="319">
        <f t="shared" si="208"/>
        <v>65693</v>
      </c>
      <c r="V504" s="319">
        <f t="shared" si="209"/>
        <v>4315570249</v>
      </c>
      <c r="X504" s="345">
        <f t="shared" si="203"/>
        <v>17.398725284461754</v>
      </c>
      <c r="Y504" s="346">
        <f t="shared" si="204"/>
        <v>-13.581877469167821</v>
      </c>
      <c r="AA504" s="345">
        <f t="shared" si="205"/>
        <v>9.7920527794476833</v>
      </c>
      <c r="AB504" s="346">
        <f t="shared" si="206"/>
        <v>-110.29760153161773</v>
      </c>
      <c r="AD504">
        <f t="shared" si="210"/>
        <v>0</v>
      </c>
      <c r="AE504">
        <f t="shared" si="213"/>
        <v>0</v>
      </c>
    </row>
    <row r="505" spans="1:31" x14ac:dyDescent="0.2">
      <c r="A505" s="347">
        <v>66069</v>
      </c>
      <c r="B505" s="364">
        <f t="shared" si="207"/>
        <v>66.069000000000003</v>
      </c>
      <c r="C505" s="337">
        <f t="shared" si="188"/>
        <v>73.114284600607618</v>
      </c>
      <c r="D505" s="338">
        <f t="shared" si="189"/>
        <v>1.5571186824631171</v>
      </c>
      <c r="E505" s="338">
        <f t="shared" si="190"/>
        <v>1.0136924775552034</v>
      </c>
      <c r="F505" s="339">
        <f t="shared" si="191"/>
        <v>0.16454813852105127</v>
      </c>
      <c r="G505" s="338">
        <f t="shared" si="192"/>
        <v>1</v>
      </c>
      <c r="H505" s="339">
        <f t="shared" si="193"/>
        <v>0</v>
      </c>
      <c r="I505" s="337">
        <f t="shared" si="194"/>
        <v>1036251.5723896577</v>
      </c>
      <c r="J505" s="340">
        <f t="shared" si="195"/>
        <v>1.5707953617782668</v>
      </c>
      <c r="K505" s="348">
        <f t="shared" si="211"/>
        <v>102.64837438108165</v>
      </c>
      <c r="L505" s="349">
        <f t="shared" si="212"/>
        <v>1.5610541772045969</v>
      </c>
      <c r="M505" s="337">
        <f t="shared" si="196"/>
        <v>1.0266881898540221</v>
      </c>
      <c r="N505" s="340">
        <f t="shared" si="197"/>
        <v>0.22850755319995533</v>
      </c>
      <c r="O505" s="341">
        <f t="shared" si="198"/>
        <v>1.1056522625292697</v>
      </c>
      <c r="P505" s="342">
        <f t="shared" si="199"/>
        <v>0.53439513819110263</v>
      </c>
      <c r="Q505" s="343">
        <f t="shared" si="200"/>
        <v>-21.743020598584792</v>
      </c>
      <c r="R505" s="344">
        <f t="shared" si="201"/>
        <v>-124.05764814328261</v>
      </c>
      <c r="S505" s="346">
        <f t="shared" si="202"/>
        <v>55.942351856717394</v>
      </c>
      <c r="U505" s="319">
        <f t="shared" si="208"/>
        <v>66069</v>
      </c>
      <c r="V505" s="319">
        <f t="shared" si="209"/>
        <v>4365112761</v>
      </c>
      <c r="X505" s="345">
        <f t="shared" si="203"/>
        <v>17.396190542461753</v>
      </c>
      <c r="Y505" s="346">
        <f t="shared" si="204"/>
        <v>-13.650647164345942</v>
      </c>
      <c r="AA505" s="345">
        <f t="shared" si="205"/>
        <v>9.7347388436077118</v>
      </c>
      <c r="AB505" s="346">
        <f t="shared" si="206"/>
        <v>-110.40700097893668</v>
      </c>
      <c r="AD505">
        <f t="shared" si="210"/>
        <v>0</v>
      </c>
      <c r="AE505">
        <f t="shared" si="213"/>
        <v>0</v>
      </c>
    </row>
    <row r="506" spans="1:31" x14ac:dyDescent="0.2">
      <c r="A506" s="347">
        <v>66453.75</v>
      </c>
      <c r="B506" s="364">
        <f t="shared" si="207"/>
        <v>66.453749999999999</v>
      </c>
      <c r="C506" s="337">
        <f t="shared" si="188"/>
        <v>73.539983096443478</v>
      </c>
      <c r="D506" s="338">
        <f t="shared" si="189"/>
        <v>1.5571978626905771</v>
      </c>
      <c r="E506" s="338">
        <f t="shared" si="190"/>
        <v>1.0138513243810816</v>
      </c>
      <c r="F506" s="339">
        <f t="shared" si="191"/>
        <v>0.16548902679329971</v>
      </c>
      <c r="G506" s="338">
        <f t="shared" si="192"/>
        <v>1</v>
      </c>
      <c r="H506" s="339">
        <f t="shared" si="193"/>
        <v>0</v>
      </c>
      <c r="I506" s="337">
        <f t="shared" si="194"/>
        <v>1042286.1391679734</v>
      </c>
      <c r="J506" s="340">
        <f t="shared" si="195"/>
        <v>1.5707953673654631</v>
      </c>
      <c r="K506" s="348">
        <f t="shared" si="211"/>
        <v>103.24608623777667</v>
      </c>
      <c r="L506" s="349">
        <f t="shared" si="212"/>
        <v>1.5611105781894812</v>
      </c>
      <c r="M506" s="337">
        <f t="shared" si="196"/>
        <v>1.0269958321414594</v>
      </c>
      <c r="N506" s="340">
        <f t="shared" si="197"/>
        <v>0.22979203156774214</v>
      </c>
      <c r="O506" s="341">
        <f t="shared" si="198"/>
        <v>1.1068393388243418</v>
      </c>
      <c r="P506" s="342">
        <f t="shared" si="199"/>
        <v>0.53720557647490585</v>
      </c>
      <c r="Q506" s="343">
        <f t="shared" si="200"/>
        <v>-21.804013032511008</v>
      </c>
      <c r="R506" s="344">
        <f t="shared" si="201"/>
        <v>-124.23966613267419</v>
      </c>
      <c r="S506" s="346">
        <f t="shared" si="202"/>
        <v>55.760333867325812</v>
      </c>
      <c r="U506" s="319">
        <f t="shared" si="208"/>
        <v>66453.75</v>
      </c>
      <c r="V506" s="319">
        <f t="shared" si="209"/>
        <v>4416100889.0625</v>
      </c>
      <c r="X506" s="345">
        <f t="shared" si="203"/>
        <v>17.393583487403358</v>
      </c>
      <c r="Y506" s="346">
        <f t="shared" si="204"/>
        <v>-13.721011135504897</v>
      </c>
      <c r="AA506" s="345">
        <f t="shared" si="205"/>
        <v>9.6763534647398863</v>
      </c>
      <c r="AB506" s="346">
        <f t="shared" si="206"/>
        <v>-110.51865499716932</v>
      </c>
      <c r="AD506">
        <f t="shared" si="210"/>
        <v>0</v>
      </c>
      <c r="AE506">
        <f t="shared" si="213"/>
        <v>0</v>
      </c>
    </row>
    <row r="507" spans="1:31" x14ac:dyDescent="0.2">
      <c r="A507" s="347">
        <v>66838.5</v>
      </c>
      <c r="B507" s="364">
        <f t="shared" si="207"/>
        <v>66.838499999999996</v>
      </c>
      <c r="C507" s="337">
        <f t="shared" si="188"/>
        <v>73.965682048031752</v>
      </c>
      <c r="D507" s="338">
        <f t="shared" si="189"/>
        <v>1.5572761314974728</v>
      </c>
      <c r="E507" s="338">
        <f t="shared" si="190"/>
        <v>1.0140110684582089</v>
      </c>
      <c r="F507" s="339">
        <f t="shared" si="191"/>
        <v>0.16642961944892029</v>
      </c>
      <c r="G507" s="338">
        <f t="shared" si="192"/>
        <v>1</v>
      </c>
      <c r="H507" s="339">
        <f t="shared" si="193"/>
        <v>0</v>
      </c>
      <c r="I507" s="337">
        <f t="shared" si="194"/>
        <v>1048320.7059462894</v>
      </c>
      <c r="J507" s="340">
        <f t="shared" si="195"/>
        <v>1.570795372888335</v>
      </c>
      <c r="K507" s="348">
        <f t="shared" si="211"/>
        <v>103.84379841912396</v>
      </c>
      <c r="L507" s="349">
        <f t="shared" si="212"/>
        <v>1.5611663299002232</v>
      </c>
      <c r="M507" s="337">
        <f t="shared" si="196"/>
        <v>1.0273051678371106</v>
      </c>
      <c r="N507" s="340">
        <f t="shared" si="197"/>
        <v>0.23107573850428054</v>
      </c>
      <c r="O507" s="341">
        <f t="shared" si="198"/>
        <v>1.108032317276614</v>
      </c>
      <c r="P507" s="342">
        <f t="shared" si="199"/>
        <v>0.54001149720918562</v>
      </c>
      <c r="Q507" s="343">
        <f t="shared" si="200"/>
        <v>-21.864756722821866</v>
      </c>
      <c r="R507" s="344">
        <f t="shared" si="201"/>
        <v>-124.42138299980537</v>
      </c>
      <c r="S507" s="346">
        <f t="shared" si="202"/>
        <v>55.578617000194626</v>
      </c>
      <c r="U507" s="319">
        <f t="shared" si="208"/>
        <v>66838.5</v>
      </c>
      <c r="V507" s="319">
        <f t="shared" si="209"/>
        <v>4467385082.25</v>
      </c>
      <c r="X507" s="345">
        <f t="shared" si="203"/>
        <v>17.390962975883365</v>
      </c>
      <c r="Y507" s="346">
        <f t="shared" si="204"/>
        <v>-13.791368103891708</v>
      </c>
      <c r="AA507" s="345">
        <f t="shared" si="205"/>
        <v>9.6182302859490303</v>
      </c>
      <c r="AB507" s="346">
        <f t="shared" si="206"/>
        <v>-110.63001489591365</v>
      </c>
      <c r="AD507">
        <f t="shared" si="210"/>
        <v>0</v>
      </c>
      <c r="AE507">
        <f t="shared" si="213"/>
        <v>0</v>
      </c>
    </row>
    <row r="508" spans="1:31" x14ac:dyDescent="0.2">
      <c r="A508" s="347">
        <v>67223.25</v>
      </c>
      <c r="B508" s="364">
        <f t="shared" si="207"/>
        <v>67.223249999999993</v>
      </c>
      <c r="C508" s="337">
        <f t="shared" si="188"/>
        <v>74.391381447548426</v>
      </c>
      <c r="D508" s="338">
        <f t="shared" si="189"/>
        <v>1.5573535045294551</v>
      </c>
      <c r="E508" s="338">
        <f t="shared" si="190"/>
        <v>1.0141717093626019</v>
      </c>
      <c r="F508" s="339">
        <f t="shared" si="191"/>
        <v>0.16736991496368528</v>
      </c>
      <c r="G508" s="338">
        <f t="shared" si="192"/>
        <v>1</v>
      </c>
      <c r="H508" s="339">
        <f t="shared" si="193"/>
        <v>0</v>
      </c>
      <c r="I508" s="337">
        <f t="shared" si="194"/>
        <v>1054355.2727246054</v>
      </c>
      <c r="J508" s="340">
        <f t="shared" si="195"/>
        <v>1.5707953783479871</v>
      </c>
      <c r="K508" s="348">
        <f t="shared" si="211"/>
        <v>104.44151091954967</v>
      </c>
      <c r="L508" s="349">
        <f t="shared" si="212"/>
        <v>1.5612214434837439</v>
      </c>
      <c r="M508" s="337">
        <f t="shared" si="196"/>
        <v>1.0276161954117136</v>
      </c>
      <c r="N508" s="340">
        <f t="shared" si="197"/>
        <v>0.23235867047729283</v>
      </c>
      <c r="O508" s="341">
        <f t="shared" si="198"/>
        <v>1.1092311839125022</v>
      </c>
      <c r="P508" s="342">
        <f t="shared" si="199"/>
        <v>0.54281289228813101</v>
      </c>
      <c r="Q508" s="343">
        <f t="shared" si="200"/>
        <v>-21.925254754745318</v>
      </c>
      <c r="R508" s="344">
        <f t="shared" si="201"/>
        <v>-124.60279842301597</v>
      </c>
      <c r="S508" s="346">
        <f t="shared" si="202"/>
        <v>55.397201576984031</v>
      </c>
      <c r="U508" s="319">
        <f t="shared" si="208"/>
        <v>67223.25</v>
      </c>
      <c r="V508" s="319">
        <f t="shared" si="209"/>
        <v>4518965340.5625</v>
      </c>
      <c r="X508" s="345">
        <f t="shared" si="203"/>
        <v>17.388329031420618</v>
      </c>
      <c r="Y508" s="346">
        <f t="shared" si="204"/>
        <v>-13.861717228513532</v>
      </c>
      <c r="AA508" s="345">
        <f t="shared" si="205"/>
        <v>9.560366198488321</v>
      </c>
      <c r="AB508" s="346">
        <f t="shared" si="206"/>
        <v>-110.74108119450244</v>
      </c>
      <c r="AD508">
        <f t="shared" si="210"/>
        <v>0</v>
      </c>
      <c r="AE508">
        <f t="shared" si="213"/>
        <v>0</v>
      </c>
    </row>
    <row r="509" spans="1:31" x14ac:dyDescent="0.2">
      <c r="A509" s="347">
        <v>67608</v>
      </c>
      <c r="B509" s="364">
        <f t="shared" si="207"/>
        <v>67.608000000000004</v>
      </c>
      <c r="C509" s="337">
        <f t="shared" si="188"/>
        <v>74.817081287347548</v>
      </c>
      <c r="D509" s="338">
        <f t="shared" si="189"/>
        <v>1.5574299970761314</v>
      </c>
      <c r="E509" s="338">
        <f t="shared" si="190"/>
        <v>1.0143332466681667</v>
      </c>
      <c r="F509" s="339">
        <f t="shared" si="191"/>
        <v>0.16830991181643165</v>
      </c>
      <c r="G509" s="338">
        <f t="shared" si="192"/>
        <v>1</v>
      </c>
      <c r="H509" s="339">
        <f t="shared" si="193"/>
        <v>0</v>
      </c>
      <c r="I509" s="337">
        <f t="shared" si="194"/>
        <v>1060389.8395029213</v>
      </c>
      <c r="J509" s="340">
        <f t="shared" si="195"/>
        <v>1.5707953837454984</v>
      </c>
      <c r="K509" s="348">
        <f t="shared" si="211"/>
        <v>105.03922373360676</v>
      </c>
      <c r="L509" s="349">
        <f t="shared" si="212"/>
        <v>1.5612759298332597</v>
      </c>
      <c r="M509" s="337">
        <f t="shared" si="196"/>
        <v>1.0279289133294973</v>
      </c>
      <c r="N509" s="340">
        <f t="shared" si="197"/>
        <v>0.23364082396896904</v>
      </c>
      <c r="O509" s="341">
        <f t="shared" si="198"/>
        <v>1.1104359247541884</v>
      </c>
      <c r="P509" s="342">
        <f t="shared" si="199"/>
        <v>0.54560975380793886</v>
      </c>
      <c r="Q509" s="343">
        <f t="shared" si="200"/>
        <v>-21.985510156548678</v>
      </c>
      <c r="R509" s="344">
        <f t="shared" si="201"/>
        <v>-124.78391208700857</v>
      </c>
      <c r="S509" s="346">
        <f t="shared" si="202"/>
        <v>55.216087912991426</v>
      </c>
      <c r="U509" s="319">
        <f t="shared" si="208"/>
        <v>67608</v>
      </c>
      <c r="V509" s="319">
        <f t="shared" si="209"/>
        <v>4570841664</v>
      </c>
      <c r="X509" s="345">
        <f t="shared" si="203"/>
        <v>17.38568167768188</v>
      </c>
      <c r="Y509" s="346">
        <f t="shared" si="204"/>
        <v>-13.93205768374121</v>
      </c>
      <c r="AA509" s="345">
        <f t="shared" si="205"/>
        <v>9.5027581504236931</v>
      </c>
      <c r="AB509" s="346">
        <f t="shared" si="206"/>
        <v>-110.85185440326737</v>
      </c>
      <c r="AD509">
        <f t="shared" si="210"/>
        <v>0</v>
      </c>
      <c r="AE509">
        <f t="shared" si="213"/>
        <v>0</v>
      </c>
    </row>
    <row r="510" spans="1:31" x14ac:dyDescent="0.2">
      <c r="A510" s="347">
        <v>68001.75</v>
      </c>
      <c r="B510" s="364">
        <f t="shared" si="207"/>
        <v>68.001750000000001</v>
      </c>
      <c r="C510" s="337">
        <f t="shared" si="188"/>
        <v>75.252739466191017</v>
      </c>
      <c r="D510" s="338">
        <f t="shared" si="189"/>
        <v>1.5575073828923645</v>
      </c>
      <c r="E510" s="338">
        <f t="shared" si="190"/>
        <v>1.0144994902764328</v>
      </c>
      <c r="F510" s="339">
        <f t="shared" si="191"/>
        <v>0.16927158609254955</v>
      </c>
      <c r="G510" s="338">
        <f t="shared" si="192"/>
        <v>1</v>
      </c>
      <c r="H510" s="339">
        <f t="shared" si="193"/>
        <v>0</v>
      </c>
      <c r="I510" s="337">
        <f t="shared" si="194"/>
        <v>1066565.56573804</v>
      </c>
      <c r="J510" s="340">
        <f t="shared" si="195"/>
        <v>1.57079538920603</v>
      </c>
      <c r="K510" s="348">
        <f t="shared" si="211"/>
        <v>105.65091845312513</v>
      </c>
      <c r="L510" s="349">
        <f t="shared" si="212"/>
        <v>1.561331052411097</v>
      </c>
      <c r="M510" s="337">
        <f t="shared" si="196"/>
        <v>1.0282506947929504</v>
      </c>
      <c r="N510" s="340">
        <f t="shared" si="197"/>
        <v>0.2349521596903543</v>
      </c>
      <c r="O510" s="341">
        <f t="shared" si="198"/>
        <v>1.1116749140050153</v>
      </c>
      <c r="P510" s="342">
        <f t="shared" si="199"/>
        <v>0.54846733708105777</v>
      </c>
      <c r="Q510" s="343">
        <f t="shared" si="200"/>
        <v>-22.046926932995795</v>
      </c>
      <c r="R510" s="344">
        <f t="shared" si="201"/>
        <v>-124.96894957591296</v>
      </c>
      <c r="S510" s="346">
        <f t="shared" si="202"/>
        <v>55.031050424087042</v>
      </c>
      <c r="U510" s="319">
        <f t="shared" si="208"/>
        <v>68001.75</v>
      </c>
      <c r="V510" s="319">
        <f t="shared" si="209"/>
        <v>4624238003.0625</v>
      </c>
      <c r="X510" s="345">
        <f t="shared" si="203"/>
        <v>17.382958538941605</v>
      </c>
      <c r="Y510" s="346">
        <f t="shared" si="204"/>
        <v>-14.004033707983021</v>
      </c>
      <c r="AA510" s="345">
        <f t="shared" si="205"/>
        <v>9.4440645127168548</v>
      </c>
      <c r="AB510" s="346">
        <f t="shared" si="206"/>
        <v>-110.96491586792992</v>
      </c>
      <c r="AD510">
        <f t="shared" si="210"/>
        <v>0</v>
      </c>
      <c r="AE510">
        <f t="shared" si="213"/>
        <v>0</v>
      </c>
    </row>
    <row r="511" spans="1:31" x14ac:dyDescent="0.2">
      <c r="A511" s="347">
        <v>68395.5</v>
      </c>
      <c r="B511" s="364">
        <f t="shared" si="207"/>
        <v>68.395499999999998</v>
      </c>
      <c r="C511" s="337">
        <f t="shared" si="188"/>
        <v>75.688398090502488</v>
      </c>
      <c r="D511" s="338">
        <f t="shared" si="189"/>
        <v>1.5575838778512952</v>
      </c>
      <c r="E511" s="338">
        <f t="shared" si="190"/>
        <v>1.0146666718035477</v>
      </c>
      <c r="F511" s="339">
        <f t="shared" si="191"/>
        <v>0.17023294435703185</v>
      </c>
      <c r="G511" s="338">
        <f t="shared" si="192"/>
        <v>1</v>
      </c>
      <c r="H511" s="339">
        <f t="shared" si="193"/>
        <v>0</v>
      </c>
      <c r="I511" s="337">
        <f t="shared" si="194"/>
        <v>1072741.2919731587</v>
      </c>
      <c r="J511" s="340">
        <f t="shared" si="195"/>
        <v>1.5707953946036894</v>
      </c>
      <c r="K511" s="348">
        <f t="shared" si="211"/>
        <v>106.26261348996779</v>
      </c>
      <c r="L511" s="349">
        <f t="shared" si="212"/>
        <v>1.5613855403687709</v>
      </c>
      <c r="M511" s="337">
        <f t="shared" si="196"/>
        <v>1.028574243329615</v>
      </c>
      <c r="N511" s="340">
        <f t="shared" si="197"/>
        <v>0.23626267267602422</v>
      </c>
      <c r="O511" s="341">
        <f t="shared" si="198"/>
        <v>1.1129200258609673</v>
      </c>
      <c r="P511" s="342">
        <f t="shared" si="199"/>
        <v>0.5513201561117983</v>
      </c>
      <c r="Q511" s="343">
        <f t="shared" si="200"/>
        <v>-22.108095835731639</v>
      </c>
      <c r="R511" s="344">
        <f t="shared" si="201"/>
        <v>-125.15367037577603</v>
      </c>
      <c r="S511" s="346">
        <f t="shared" si="202"/>
        <v>54.846329624223969</v>
      </c>
      <c r="U511" s="319">
        <f t="shared" si="208"/>
        <v>68395.5</v>
      </c>
      <c r="V511" s="319">
        <f t="shared" si="209"/>
        <v>4677944420.25</v>
      </c>
      <c r="X511" s="345">
        <f t="shared" si="203"/>
        <v>17.380221406870664</v>
      </c>
      <c r="Y511" s="346">
        <f t="shared" si="204"/>
        <v>-14.075998950395332</v>
      </c>
      <c r="AA511" s="345">
        <f t="shared" si="205"/>
        <v>9.3856327420519534</v>
      </c>
      <c r="AB511" s="346">
        <f t="shared" si="206"/>
        <v>-111.07767142538071</v>
      </c>
      <c r="AD511">
        <f t="shared" si="210"/>
        <v>0</v>
      </c>
      <c r="AE511">
        <f t="shared" si="213"/>
        <v>0</v>
      </c>
    </row>
    <row r="512" spans="1:31" x14ac:dyDescent="0.2">
      <c r="A512" s="347">
        <v>68789.25</v>
      </c>
      <c r="B512" s="364">
        <f t="shared" si="207"/>
        <v>68.789249999999996</v>
      </c>
      <c r="C512" s="337">
        <f t="shared" si="188"/>
        <v>76.124057152633682</v>
      </c>
      <c r="D512" s="338">
        <f t="shared" si="189"/>
        <v>1.5576594972471876</v>
      </c>
      <c r="E512" s="338">
        <f t="shared" si="190"/>
        <v>1.01483479078598</v>
      </c>
      <c r="F512" s="339">
        <f t="shared" si="191"/>
        <v>0.17119398498950342</v>
      </c>
      <c r="G512" s="338">
        <f t="shared" si="192"/>
        <v>1</v>
      </c>
      <c r="H512" s="339">
        <f t="shared" si="193"/>
        <v>0</v>
      </c>
      <c r="I512" s="337">
        <f t="shared" si="194"/>
        <v>1078917.0182082776</v>
      </c>
      <c r="J512" s="340">
        <f t="shared" si="195"/>
        <v>1.5707953999395563</v>
      </c>
      <c r="K512" s="348">
        <f t="shared" si="211"/>
        <v>106.87430883868615</v>
      </c>
      <c r="L512" s="349">
        <f t="shared" si="212"/>
        <v>1.5614394046027047</v>
      </c>
      <c r="M512" s="337">
        <f t="shared" si="196"/>
        <v>1.0288995572724651</v>
      </c>
      <c r="N512" s="340">
        <f t="shared" si="197"/>
        <v>0.23757235920279868</v>
      </c>
      <c r="O512" s="341">
        <f t="shared" si="198"/>
        <v>1.1141712453314063</v>
      </c>
      <c r="P512" s="342">
        <f t="shared" si="199"/>
        <v>0.55416820307843839</v>
      </c>
      <c r="Q512" s="343">
        <f t="shared" si="200"/>
        <v>-22.169019933701669</v>
      </c>
      <c r="R512" s="344">
        <f t="shared" si="201"/>
        <v>-125.33807417000389</v>
      </c>
      <c r="S512" s="346">
        <f t="shared" si="202"/>
        <v>54.661925829996107</v>
      </c>
      <c r="U512" s="319">
        <f t="shared" si="208"/>
        <v>68789.25</v>
      </c>
      <c r="V512" s="319">
        <f t="shared" si="209"/>
        <v>4731960915.5625</v>
      </c>
      <c r="X512" s="345">
        <f t="shared" si="203"/>
        <v>17.377470307300445</v>
      </c>
      <c r="Y512" s="346">
        <f t="shared" si="204"/>
        <v>-14.147952573398419</v>
      </c>
      <c r="AA512" s="345">
        <f t="shared" si="205"/>
        <v>9.3274597436521418</v>
      </c>
      <c r="AB512" s="346">
        <f t="shared" si="206"/>
        <v>-111.19012159660547</v>
      </c>
      <c r="AD512">
        <f t="shared" si="210"/>
        <v>0</v>
      </c>
      <c r="AE512">
        <f t="shared" si="213"/>
        <v>0</v>
      </c>
    </row>
    <row r="513" spans="1:31" x14ac:dyDescent="0.2">
      <c r="A513" s="347">
        <v>69183</v>
      </c>
      <c r="B513" s="364">
        <f t="shared" si="207"/>
        <v>69.183000000000007</v>
      </c>
      <c r="C513" s="337">
        <f t="shared" si="188"/>
        <v>76.559716645110441</v>
      </c>
      <c r="D513" s="338">
        <f t="shared" si="189"/>
        <v>1.5577342560262211</v>
      </c>
      <c r="E513" s="338">
        <f t="shared" si="190"/>
        <v>1.015003846757907</v>
      </c>
      <c r="F513" s="339">
        <f t="shared" si="191"/>
        <v>0.17215470637300645</v>
      </c>
      <c r="G513" s="338">
        <f t="shared" si="192"/>
        <v>1</v>
      </c>
      <c r="H513" s="339">
        <f t="shared" si="193"/>
        <v>0</v>
      </c>
      <c r="I513" s="337">
        <f t="shared" si="194"/>
        <v>1085092.7444433963</v>
      </c>
      <c r="J513" s="340">
        <f t="shared" si="195"/>
        <v>1.570795405214686</v>
      </c>
      <c r="K513" s="348">
        <f t="shared" si="211"/>
        <v>107.48600449395558</v>
      </c>
      <c r="L513" s="349">
        <f t="shared" si="212"/>
        <v>1.5614926557612936</v>
      </c>
      <c r="M513" s="337">
        <f t="shared" si="196"/>
        <v>1.0292266349474926</v>
      </c>
      <c r="N513" s="340">
        <f t="shared" si="197"/>
        <v>0.23888121556353276</v>
      </c>
      <c r="O513" s="341">
        <f t="shared" si="198"/>
        <v>1.1154285574243892</v>
      </c>
      <c r="P513" s="342">
        <f t="shared" si="199"/>
        <v>0.55701147037583332</v>
      </c>
      <c r="Q513" s="343">
        <f t="shared" si="200"/>
        <v>-22.229702238952129</v>
      </c>
      <c r="R513" s="344">
        <f t="shared" si="201"/>
        <v>-125.52216064940026</v>
      </c>
      <c r="S513" s="346">
        <f t="shared" si="202"/>
        <v>54.477839350599737</v>
      </c>
      <c r="U513" s="319">
        <f t="shared" si="208"/>
        <v>69183</v>
      </c>
      <c r="V513" s="319">
        <f t="shared" si="209"/>
        <v>4786287489</v>
      </c>
      <c r="X513" s="345">
        <f t="shared" si="203"/>
        <v>17.374705266213681</v>
      </c>
      <c r="Y513" s="346">
        <f t="shared" si="204"/>
        <v>-14.219893754540871</v>
      </c>
      <c r="AA513" s="345">
        <f t="shared" si="205"/>
        <v>9.2695424794884484</v>
      </c>
      <c r="AB513" s="346">
        <f t="shared" si="206"/>
        <v>-111.30226689485937</v>
      </c>
      <c r="AD513">
        <f t="shared" si="210"/>
        <v>0</v>
      </c>
      <c r="AE513">
        <f t="shared" si="213"/>
        <v>0</v>
      </c>
    </row>
    <row r="514" spans="1:31" x14ac:dyDescent="0.2">
      <c r="A514" s="347">
        <v>69586</v>
      </c>
      <c r="B514" s="364">
        <f t="shared" si="207"/>
        <v>69.585999999999999</v>
      </c>
      <c r="C514" s="337">
        <f t="shared" si="188"/>
        <v>77.005611116051611</v>
      </c>
      <c r="D514" s="338">
        <f t="shared" si="189"/>
        <v>1.5578098951055579</v>
      </c>
      <c r="E514" s="338">
        <f t="shared" si="190"/>
        <v>1.0151778439806887</v>
      </c>
      <c r="F514" s="339">
        <f t="shared" si="191"/>
        <v>0.17313766481356999</v>
      </c>
      <c r="G514" s="338">
        <f t="shared" si="192"/>
        <v>1</v>
      </c>
      <c r="H514" s="339">
        <f t="shared" si="193"/>
        <v>0</v>
      </c>
      <c r="I514" s="337">
        <f t="shared" si="194"/>
        <v>1091413.5512313403</v>
      </c>
      <c r="J514" s="340">
        <f t="shared" si="195"/>
        <v>1.5707954105519208</v>
      </c>
      <c r="K514" s="348">
        <f t="shared" si="211"/>
        <v>108.11207045440402</v>
      </c>
      <c r="L514" s="349">
        <f t="shared" si="212"/>
        <v>1.5615465339112966</v>
      </c>
      <c r="M514" s="337">
        <f t="shared" si="196"/>
        <v>1.0295632209671293</v>
      </c>
      <c r="N514" s="340">
        <f t="shared" si="197"/>
        <v>0.24021995616042441</v>
      </c>
      <c r="O514" s="341">
        <f t="shared" si="198"/>
        <v>1.1167216997226039</v>
      </c>
      <c r="P514" s="342">
        <f t="shared" si="199"/>
        <v>0.55991657476360335</v>
      </c>
      <c r="Q514" s="343">
        <f t="shared" si="200"/>
        <v>-22.29156280211161</v>
      </c>
      <c r="R514" s="344">
        <f t="shared" si="201"/>
        <v>-125.71024280127313</v>
      </c>
      <c r="S514" s="346">
        <f t="shared" si="202"/>
        <v>54.289757198726875</v>
      </c>
      <c r="U514" s="319">
        <f t="shared" si="208"/>
        <v>69586</v>
      </c>
      <c r="V514" s="319">
        <f t="shared" si="209"/>
        <v>4842211396</v>
      </c>
      <c r="X514" s="345">
        <f t="shared" si="203"/>
        <v>17.371860859242439</v>
      </c>
      <c r="Y514" s="346">
        <f t="shared" si="204"/>
        <v>-14.293511255887596</v>
      </c>
      <c r="AA514" s="345">
        <f t="shared" si="205"/>
        <v>9.2105263233002059</v>
      </c>
      <c r="AB514" s="346">
        <f t="shared" si="206"/>
        <v>-111.41673154538555</v>
      </c>
      <c r="AD514">
        <f t="shared" si="210"/>
        <v>0</v>
      </c>
      <c r="AE514">
        <f t="shared" si="213"/>
        <v>0</v>
      </c>
    </row>
    <row r="515" spans="1:31" x14ac:dyDescent="0.2">
      <c r="A515" s="347">
        <v>69989</v>
      </c>
      <c r="B515" s="364">
        <f t="shared" si="207"/>
        <v>69.989000000000004</v>
      </c>
      <c r="C515" s="337">
        <f t="shared" si="188"/>
        <v>77.45150602248988</v>
      </c>
      <c r="D515" s="338">
        <f t="shared" si="189"/>
        <v>1.5578846632640946</v>
      </c>
      <c r="E515" s="338">
        <f t="shared" si="190"/>
        <v>1.0153528217389802</v>
      </c>
      <c r="F515" s="339">
        <f t="shared" si="191"/>
        <v>0.17412028541293559</v>
      </c>
      <c r="G515" s="338">
        <f t="shared" si="192"/>
        <v>1</v>
      </c>
      <c r="H515" s="339">
        <f t="shared" si="193"/>
        <v>0</v>
      </c>
      <c r="I515" s="337">
        <f t="shared" si="194"/>
        <v>1097734.358019284</v>
      </c>
      <c r="J515" s="340">
        <f t="shared" si="195"/>
        <v>1.5707954158276916</v>
      </c>
      <c r="K515" s="348">
        <f t="shared" si="211"/>
        <v>108.73813672507231</v>
      </c>
      <c r="L515" s="349">
        <f t="shared" si="212"/>
        <v>1.5615997916481652</v>
      </c>
      <c r="M515" s="337">
        <f t="shared" si="196"/>
        <v>1.0299016509891277</v>
      </c>
      <c r="N515" s="340">
        <f t="shared" si="197"/>
        <v>0.24155781932215811</v>
      </c>
      <c r="O515" s="341">
        <f t="shared" si="198"/>
        <v>1.1180211924835253</v>
      </c>
      <c r="P515" s="342">
        <f t="shared" si="199"/>
        <v>0.5628166568445655</v>
      </c>
      <c r="Q515" s="343">
        <f t="shared" si="200"/>
        <v>-22.353176286325102</v>
      </c>
      <c r="R515" s="344">
        <f t="shared" si="201"/>
        <v>-125.89799192315196</v>
      </c>
      <c r="S515" s="346">
        <f t="shared" si="202"/>
        <v>54.102008076848037</v>
      </c>
      <c r="U515" s="319">
        <f t="shared" si="208"/>
        <v>69989</v>
      </c>
      <c r="V515" s="319">
        <f t="shared" si="209"/>
        <v>4898460121</v>
      </c>
      <c r="X515" s="345">
        <f t="shared" si="203"/>
        <v>17.36900190358034</v>
      </c>
      <c r="Y515" s="346">
        <f t="shared" si="204"/>
        <v>-14.36711402743548</v>
      </c>
      <c r="AA515" s="345">
        <f t="shared" si="205"/>
        <v>9.1517717947488144</v>
      </c>
      <c r="AB515" s="346">
        <f t="shared" si="206"/>
        <v>-111.53087789571647</v>
      </c>
      <c r="AD515">
        <f t="shared" si="210"/>
        <v>0</v>
      </c>
      <c r="AE515">
        <f t="shared" si="213"/>
        <v>0</v>
      </c>
    </row>
    <row r="516" spans="1:31" x14ac:dyDescent="0.2">
      <c r="A516" s="347">
        <v>70392</v>
      </c>
      <c r="B516" s="364">
        <f t="shared" si="207"/>
        <v>70.391999999999996</v>
      </c>
      <c r="C516" s="337">
        <f t="shared" si="188"/>
        <v>77.897401356946759</v>
      </c>
      <c r="D516" s="338">
        <f t="shared" si="189"/>
        <v>1.5579585754567957</v>
      </c>
      <c r="E516" s="338">
        <f t="shared" si="190"/>
        <v>1.0155287795259367</v>
      </c>
      <c r="F516" s="339">
        <f t="shared" si="191"/>
        <v>0.17510256644870273</v>
      </c>
      <c r="G516" s="338">
        <f t="shared" si="192"/>
        <v>1</v>
      </c>
      <c r="H516" s="339">
        <f t="shared" si="193"/>
        <v>0</v>
      </c>
      <c r="I516" s="337">
        <f t="shared" si="194"/>
        <v>1104055.1648072279</v>
      </c>
      <c r="J516" s="340">
        <f t="shared" si="195"/>
        <v>1.5707954210430539</v>
      </c>
      <c r="K516" s="348">
        <f t="shared" si="211"/>
        <v>109.36420330063277</v>
      </c>
      <c r="L516" s="349">
        <f t="shared" si="212"/>
        <v>1.5616524396264502</v>
      </c>
      <c r="M516" s="337">
        <f t="shared" si="196"/>
        <v>1.0302419231962474</v>
      </c>
      <c r="N516" s="340">
        <f t="shared" si="197"/>
        <v>0.24289480112658055</v>
      </c>
      <c r="O516" s="341">
        <f t="shared" si="198"/>
        <v>1.1193270196347698</v>
      </c>
      <c r="P516" s="342">
        <f t="shared" si="199"/>
        <v>0.56571170916110547</v>
      </c>
      <c r="Q516" s="343">
        <f t="shared" si="200"/>
        <v>-22.414545744251157</v>
      </c>
      <c r="R516" s="344">
        <f t="shared" si="201"/>
        <v>-126.08540770816634</v>
      </c>
      <c r="S516" s="346">
        <f t="shared" si="202"/>
        <v>53.914592291833657</v>
      </c>
      <c r="U516" s="319">
        <f t="shared" si="208"/>
        <v>70392</v>
      </c>
      <c r="V516" s="319">
        <f t="shared" si="209"/>
        <v>4955033664</v>
      </c>
      <c r="X516" s="345">
        <f t="shared" si="203"/>
        <v>17.366128427560508</v>
      </c>
      <c r="Y516" s="346">
        <f t="shared" si="204"/>
        <v>-14.440701234061384</v>
      </c>
      <c r="AA516" s="345">
        <f t="shared" si="205"/>
        <v>9.093275812842597</v>
      </c>
      <c r="AB516" s="346">
        <f t="shared" si="206"/>
        <v>-111.64470647410501</v>
      </c>
      <c r="AD516">
        <f t="shared" si="210"/>
        <v>0</v>
      </c>
      <c r="AE516">
        <f t="shared" si="213"/>
        <v>0</v>
      </c>
    </row>
    <row r="517" spans="1:31" x14ac:dyDescent="0.2">
      <c r="A517" s="347">
        <v>70795</v>
      </c>
      <c r="B517" s="364">
        <f t="shared" si="207"/>
        <v>70.795000000000002</v>
      </c>
      <c r="C517" s="337">
        <f t="shared" si="188"/>
        <v>78.343297112113945</v>
      </c>
      <c r="D517" s="338">
        <f t="shared" si="189"/>
        <v>1.5580316462981956</v>
      </c>
      <c r="E517" s="338">
        <f t="shared" si="190"/>
        <v>1.0157057168322265</v>
      </c>
      <c r="F517" s="339">
        <f t="shared" si="191"/>
        <v>0.17608450620228211</v>
      </c>
      <c r="G517" s="338">
        <f t="shared" si="192"/>
        <v>1</v>
      </c>
      <c r="H517" s="339">
        <f t="shared" si="193"/>
        <v>0</v>
      </c>
      <c r="I517" s="337">
        <f t="shared" si="194"/>
        <v>1110375.9715951718</v>
      </c>
      <c r="J517" s="340">
        <f t="shared" si="195"/>
        <v>1.5707954261990393</v>
      </c>
      <c r="K517" s="348">
        <f t="shared" si="211"/>
        <v>109.99027017587908</v>
      </c>
      <c r="L517" s="349">
        <f t="shared" si="212"/>
        <v>1.5617044882581321</v>
      </c>
      <c r="M517" s="337">
        <f t="shared" si="196"/>
        <v>1.030584035763763</v>
      </c>
      <c r="N517" s="340">
        <f t="shared" si="197"/>
        <v>0.244230897669308</v>
      </c>
      <c r="O517" s="341">
        <f t="shared" si="198"/>
        <v>1.1206391651061411</v>
      </c>
      <c r="P517" s="342">
        <f t="shared" si="199"/>
        <v>0.56860172448742041</v>
      </c>
      <c r="Q517" s="343">
        <f t="shared" si="200"/>
        <v>-22.475674171701648</v>
      </c>
      <c r="R517" s="344">
        <f t="shared" si="201"/>
        <v>-126.27248985791933</v>
      </c>
      <c r="S517" s="346">
        <f t="shared" si="202"/>
        <v>53.727510142080675</v>
      </c>
      <c r="U517" s="319">
        <f t="shared" si="208"/>
        <v>70795</v>
      </c>
      <c r="V517" s="319">
        <f t="shared" si="209"/>
        <v>5011932025</v>
      </c>
      <c r="X517" s="345">
        <f t="shared" si="203"/>
        <v>17.363240459671157</v>
      </c>
      <c r="Y517" s="346">
        <f t="shared" si="204"/>
        <v>-14.514272055557147</v>
      </c>
      <c r="AA517" s="345">
        <f t="shared" si="205"/>
        <v>9.0350353532814509</v>
      </c>
      <c r="AB517" s="346">
        <f t="shared" si="206"/>
        <v>-111.75821780236214</v>
      </c>
      <c r="AD517">
        <f t="shared" si="210"/>
        <v>0</v>
      </c>
      <c r="AE517">
        <f t="shared" si="213"/>
        <v>0</v>
      </c>
    </row>
    <row r="518" spans="1:31" x14ac:dyDescent="0.2">
      <c r="A518" s="347">
        <v>71207.25</v>
      </c>
      <c r="B518" s="364">
        <f t="shared" si="207"/>
        <v>71.207250000000002</v>
      </c>
      <c r="C518" s="337">
        <f t="shared" si="188"/>
        <v>78.79942787512914</v>
      </c>
      <c r="D518" s="338">
        <f t="shared" si="189"/>
        <v>1.5581055386742906</v>
      </c>
      <c r="E518" s="338">
        <f t="shared" si="190"/>
        <v>1.0158877283224708</v>
      </c>
      <c r="F518" s="339">
        <f t="shared" si="191"/>
        <v>0.17708862936527589</v>
      </c>
      <c r="G518" s="338">
        <f t="shared" si="192"/>
        <v>1</v>
      </c>
      <c r="H518" s="339">
        <f t="shared" si="193"/>
        <v>0</v>
      </c>
      <c r="I518" s="337">
        <f t="shared" si="194"/>
        <v>1116841.8589359408</v>
      </c>
      <c r="J518" s="340">
        <f t="shared" si="195"/>
        <v>1.5707954314129837</v>
      </c>
      <c r="K518" s="348">
        <f t="shared" si="211"/>
        <v>110.63070737723359</v>
      </c>
      <c r="L518" s="349">
        <f t="shared" si="212"/>
        <v>1.5617571220233823</v>
      </c>
      <c r="M518" s="337">
        <f t="shared" si="196"/>
        <v>1.0309359030881389</v>
      </c>
      <c r="N518" s="340">
        <f t="shared" si="197"/>
        <v>0.2455967414144935</v>
      </c>
      <c r="O518" s="341">
        <f t="shared" si="198"/>
        <v>1.1219879488284106</v>
      </c>
      <c r="P518" s="342">
        <f t="shared" si="199"/>
        <v>0.57155285488320962</v>
      </c>
      <c r="Q518" s="343">
        <f t="shared" si="200"/>
        <v>-22.537959343763212</v>
      </c>
      <c r="R518" s="344">
        <f t="shared" si="201"/>
        <v>-126.46352056474839</v>
      </c>
      <c r="S518" s="346">
        <f t="shared" si="202"/>
        <v>53.536479435251607</v>
      </c>
      <c r="U518" s="319">
        <f t="shared" si="208"/>
        <v>71207.25</v>
      </c>
      <c r="V518" s="319">
        <f t="shared" si="209"/>
        <v>5070472452.5625</v>
      </c>
      <c r="X518" s="345">
        <f t="shared" si="203"/>
        <v>17.360271239908037</v>
      </c>
      <c r="Y518" s="346">
        <f t="shared" si="204"/>
        <v>-14.589513743844885</v>
      </c>
      <c r="AA518" s="345">
        <f t="shared" si="205"/>
        <v>8.9757194009829995</v>
      </c>
      <c r="AB518" s="346">
        <f t="shared" si="206"/>
        <v>-111.87400682090353</v>
      </c>
      <c r="AD518">
        <f t="shared" si="210"/>
        <v>0</v>
      </c>
      <c r="AE518">
        <f t="shared" si="213"/>
        <v>0</v>
      </c>
    </row>
    <row r="519" spans="1:31" x14ac:dyDescent="0.2">
      <c r="A519" s="347">
        <v>71619.5</v>
      </c>
      <c r="B519" s="364">
        <f t="shared" si="207"/>
        <v>71.619500000000002</v>
      </c>
      <c r="C519" s="337">
        <f t="shared" si="188"/>
        <v>79.255559063443414</v>
      </c>
      <c r="D519" s="338">
        <f t="shared" si="189"/>
        <v>1.5581785805207307</v>
      </c>
      <c r="E519" s="338">
        <f t="shared" si="190"/>
        <v>1.0160707637274879</v>
      </c>
      <c r="F519" s="339">
        <f t="shared" si="191"/>
        <v>0.17809239177370484</v>
      </c>
      <c r="G519" s="338">
        <f t="shared" si="192"/>
        <v>1</v>
      </c>
      <c r="H519" s="339">
        <f t="shared" si="193"/>
        <v>0</v>
      </c>
      <c r="I519" s="337">
        <f t="shared" si="194"/>
        <v>1123307.7462767097</v>
      </c>
      <c r="J519" s="340">
        <f t="shared" si="195"/>
        <v>1.5707954365669041</v>
      </c>
      <c r="K519" s="348">
        <f t="shared" si="211"/>
        <v>111.27114488154182</v>
      </c>
      <c r="L519" s="349">
        <f t="shared" si="212"/>
        <v>1.5618091499059599</v>
      </c>
      <c r="M519" s="337">
        <f t="shared" si="196"/>
        <v>1.0312896923390005</v>
      </c>
      <c r="N519" s="340">
        <f t="shared" si="197"/>
        <v>0.24696165058501451</v>
      </c>
      <c r="O519" s="341">
        <f t="shared" si="198"/>
        <v>1.1233433102385653</v>
      </c>
      <c r="P519" s="342">
        <f t="shared" si="199"/>
        <v>0.57449869984846536</v>
      </c>
      <c r="Q519" s="343">
        <f t="shared" si="200"/>
        <v>-22.599998458981432</v>
      </c>
      <c r="R519" s="344">
        <f t="shared" si="201"/>
        <v>-126.65420154056605</v>
      </c>
      <c r="S519" s="346">
        <f t="shared" si="202"/>
        <v>53.345798459433951</v>
      </c>
      <c r="U519" s="319">
        <f t="shared" si="208"/>
        <v>71619.5</v>
      </c>
      <c r="V519" s="319">
        <f t="shared" si="209"/>
        <v>5129352780.25</v>
      </c>
      <c r="X519" s="345">
        <f t="shared" si="203"/>
        <v>17.35728691617301</v>
      </c>
      <c r="Y519" s="346">
        <f t="shared" si="204"/>
        <v>-14.664736596029588</v>
      </c>
      <c r="AA519" s="345">
        <f t="shared" si="205"/>
        <v>8.916664609499815</v>
      </c>
      <c r="AB519" s="346">
        <f t="shared" si="206"/>
        <v>-111.98946494453644</v>
      </c>
      <c r="AD519">
        <f t="shared" si="210"/>
        <v>0</v>
      </c>
      <c r="AE519">
        <f t="shared" si="213"/>
        <v>0</v>
      </c>
    </row>
    <row r="520" spans="1:31" x14ac:dyDescent="0.2">
      <c r="A520" s="347">
        <v>72031.75</v>
      </c>
      <c r="B520" s="364">
        <f t="shared" si="207"/>
        <v>72.031750000000002</v>
      </c>
      <c r="C520" s="337">
        <f t="shared" si="188"/>
        <v>79.71169066975574</v>
      </c>
      <c r="D520" s="338">
        <f t="shared" si="189"/>
        <v>1.5582507864376034</v>
      </c>
      <c r="E520" s="338">
        <f t="shared" si="190"/>
        <v>1.0162548224940331</v>
      </c>
      <c r="F520" s="339">
        <f t="shared" si="191"/>
        <v>0.17909579160038233</v>
      </c>
      <c r="G520" s="338">
        <f t="shared" si="192"/>
        <v>1</v>
      </c>
      <c r="H520" s="339">
        <f t="shared" si="193"/>
        <v>0</v>
      </c>
      <c r="I520" s="337">
        <f t="shared" si="194"/>
        <v>1129773.6336174789</v>
      </c>
      <c r="J520" s="340">
        <f t="shared" si="195"/>
        <v>1.5707954416618308</v>
      </c>
      <c r="K520" s="348">
        <f t="shared" si="211"/>
        <v>111.91158268360262</v>
      </c>
      <c r="L520" s="349">
        <f t="shared" si="212"/>
        <v>1.5618605823074578</v>
      </c>
      <c r="M520" s="337">
        <f t="shared" si="196"/>
        <v>1.0316454015390493</v>
      </c>
      <c r="N520" s="340">
        <f t="shared" si="197"/>
        <v>0.2483256210594085</v>
      </c>
      <c r="O520" s="341">
        <f t="shared" si="198"/>
        <v>1.1247052321471671</v>
      </c>
      <c r="P520" s="342">
        <f t="shared" si="199"/>
        <v>0.57743925239132476</v>
      </c>
      <c r="Q520" s="343">
        <f t="shared" si="200"/>
        <v>-22.6617945480453</v>
      </c>
      <c r="R520" s="344">
        <f t="shared" si="201"/>
        <v>-126.8445324939307</v>
      </c>
      <c r="S520" s="346">
        <f t="shared" si="202"/>
        <v>53.1554675060693</v>
      </c>
      <c r="U520" s="319">
        <f t="shared" si="208"/>
        <v>72031.75</v>
      </c>
      <c r="V520" s="319">
        <f t="shared" si="209"/>
        <v>5188573008.0625</v>
      </c>
      <c r="X520" s="345">
        <f t="shared" si="203"/>
        <v>17.354287519448231</v>
      </c>
      <c r="Y520" s="346">
        <f t="shared" si="204"/>
        <v>-14.739939780060492</v>
      </c>
      <c r="AA520" s="345">
        <f t="shared" si="205"/>
        <v>8.8578679171607231</v>
      </c>
      <c r="AB520" s="346">
        <f t="shared" si="206"/>
        <v>-112.10459271387019</v>
      </c>
      <c r="AD520">
        <f t="shared" si="210"/>
        <v>0</v>
      </c>
      <c r="AE520">
        <f t="shared" si="213"/>
        <v>0</v>
      </c>
    </row>
    <row r="521" spans="1:31" x14ac:dyDescent="0.2">
      <c r="A521" s="347">
        <v>72444</v>
      </c>
      <c r="B521" s="364">
        <f t="shared" si="207"/>
        <v>72.444000000000003</v>
      </c>
      <c r="C521" s="337">
        <f t="shared" si="188"/>
        <v>80.167822686931274</v>
      </c>
      <c r="D521" s="338">
        <f t="shared" si="189"/>
        <v>1.5583221706927513</v>
      </c>
      <c r="E521" s="338">
        <f t="shared" si="190"/>
        <v>1.01643990406617</v>
      </c>
      <c r="F521" s="339">
        <f t="shared" si="191"/>
        <v>0.18009882702236199</v>
      </c>
      <c r="G521" s="338">
        <f t="shared" si="192"/>
        <v>1</v>
      </c>
      <c r="H521" s="339">
        <f t="shared" si="193"/>
        <v>0</v>
      </c>
      <c r="I521" s="337">
        <f t="shared" si="194"/>
        <v>1136239.5209582478</v>
      </c>
      <c r="J521" s="340">
        <f t="shared" si="195"/>
        <v>1.5707954466987712</v>
      </c>
      <c r="K521" s="348">
        <f t="shared" si="211"/>
        <v>112.5520207783332</v>
      </c>
      <c r="L521" s="349">
        <f t="shared" si="212"/>
        <v>1.5619114293927348</v>
      </c>
      <c r="M521" s="337">
        <f t="shared" si="196"/>
        <v>1.03200302870299</v>
      </c>
      <c r="N521" s="340">
        <f t="shared" si="197"/>
        <v>0.24968864873585084</v>
      </c>
      <c r="O521" s="341">
        <f t="shared" si="198"/>
        <v>1.1260736973710708</v>
      </c>
      <c r="P521" s="342">
        <f t="shared" si="199"/>
        <v>0.58037450576698824</v>
      </c>
      <c r="Q521" s="343">
        <f t="shared" si="200"/>
        <v>-22.723350584982786</v>
      </c>
      <c r="R521" s="344">
        <f t="shared" si="201"/>
        <v>-127.03451314296512</v>
      </c>
      <c r="S521" s="346">
        <f t="shared" si="202"/>
        <v>52.965486857034875</v>
      </c>
      <c r="U521" s="319">
        <f t="shared" si="208"/>
        <v>72444</v>
      </c>
      <c r="V521" s="319">
        <f t="shared" si="209"/>
        <v>5248133136</v>
      </c>
      <c r="X521" s="345">
        <f t="shared" si="203"/>
        <v>17.351273080874549</v>
      </c>
      <c r="Y521" s="346">
        <f t="shared" si="204"/>
        <v>-14.815122478574583</v>
      </c>
      <c r="AA521" s="345">
        <f t="shared" si="205"/>
        <v>8.7993263187969184</v>
      </c>
      <c r="AB521" s="346">
        <f t="shared" si="206"/>
        <v>-112.21939066439052</v>
      </c>
      <c r="AD521">
        <f t="shared" si="210"/>
        <v>0</v>
      </c>
      <c r="AE521">
        <f t="shared" si="213"/>
        <v>0</v>
      </c>
    </row>
    <row r="522" spans="1:31" x14ac:dyDescent="0.2">
      <c r="A522" s="347">
        <v>72865.75</v>
      </c>
      <c r="B522" s="364">
        <f t="shared" si="207"/>
        <v>72.865750000000006</v>
      </c>
      <c r="C522" s="337">
        <f t="shared" si="188"/>
        <v>80.634466351029559</v>
      </c>
      <c r="D522" s="338">
        <f t="shared" si="189"/>
        <v>1.5583943642037894</v>
      </c>
      <c r="E522" s="338">
        <f t="shared" si="190"/>
        <v>1.0166303085572321</v>
      </c>
      <c r="F522" s="339">
        <f t="shared" si="191"/>
        <v>0.18112459766859385</v>
      </c>
      <c r="G522" s="338">
        <f t="shared" si="192"/>
        <v>1</v>
      </c>
      <c r="H522" s="339">
        <f t="shared" si="193"/>
        <v>0</v>
      </c>
      <c r="I522" s="337">
        <f t="shared" si="194"/>
        <v>1142854.4099478642</v>
      </c>
      <c r="J522" s="340">
        <f t="shared" si="195"/>
        <v>1.5707954517928042</v>
      </c>
      <c r="K522" s="348">
        <f t="shared" si="211"/>
        <v>113.20721759864381</v>
      </c>
      <c r="L522" s="349">
        <f t="shared" si="212"/>
        <v>1.5619628528665173</v>
      </c>
      <c r="M522" s="337">
        <f t="shared" si="196"/>
        <v>1.03237087981529</v>
      </c>
      <c r="N522" s="340">
        <f t="shared" si="197"/>
        <v>0.25108210649498958</v>
      </c>
      <c r="O522" s="341">
        <f t="shared" si="198"/>
        <v>1.1274804511969714</v>
      </c>
      <c r="P522" s="342">
        <f t="shared" si="199"/>
        <v>0.58337190938832018</v>
      </c>
      <c r="Q522" s="343">
        <f t="shared" si="200"/>
        <v>-22.786079765425473</v>
      </c>
      <c r="R522" s="344">
        <f t="shared" si="201"/>
        <v>-127.22850896727893</v>
      </c>
      <c r="S522" s="346">
        <f t="shared" si="202"/>
        <v>52.771491032721073</v>
      </c>
      <c r="U522" s="319">
        <f t="shared" si="208"/>
        <v>72865.75</v>
      </c>
      <c r="V522" s="319">
        <f t="shared" si="209"/>
        <v>5309417523.0625</v>
      </c>
      <c r="X522" s="345">
        <f t="shared" si="203"/>
        <v>17.348173643618022</v>
      </c>
      <c r="Y522" s="346">
        <f t="shared" si="204"/>
        <v>-14.892015671041808</v>
      </c>
      <c r="AA522" s="345">
        <f t="shared" si="205"/>
        <v>8.7396965756107647</v>
      </c>
      <c r="AB522" s="346">
        <f t="shared" si="206"/>
        <v>-112.33649329623711</v>
      </c>
      <c r="AD522">
        <f t="shared" si="210"/>
        <v>0</v>
      </c>
      <c r="AE522">
        <f t="shared" si="213"/>
        <v>0</v>
      </c>
    </row>
    <row r="523" spans="1:31" x14ac:dyDescent="0.2">
      <c r="A523" s="347">
        <v>73287.5</v>
      </c>
      <c r="B523" s="364">
        <f t="shared" si="207"/>
        <v>73.287499999999994</v>
      </c>
      <c r="C523" s="337">
        <f t="shared" si="188"/>
        <v>81.101110430550662</v>
      </c>
      <c r="D523" s="338">
        <f t="shared" si="189"/>
        <v>1.5584657269331186</v>
      </c>
      <c r="E523" s="338">
        <f t="shared" si="190"/>
        <v>1.0168217823509436</v>
      </c>
      <c r="F523" s="339">
        <f t="shared" si="191"/>
        <v>0.18214998307556443</v>
      </c>
      <c r="G523" s="338">
        <f t="shared" si="192"/>
        <v>1</v>
      </c>
      <c r="H523" s="339">
        <f t="shared" si="193"/>
        <v>0</v>
      </c>
      <c r="I523" s="337">
        <f t="shared" si="194"/>
        <v>1149469.2989374807</v>
      </c>
      <c r="J523" s="340">
        <f t="shared" si="195"/>
        <v>1.5707954568282076</v>
      </c>
      <c r="K523" s="348">
        <f t="shared" si="211"/>
        <v>113.86241471487135</v>
      </c>
      <c r="L523" s="349">
        <f t="shared" si="212"/>
        <v>1.5620136845294859</v>
      </c>
      <c r="M523" s="337">
        <f t="shared" si="196"/>
        <v>1.0327407340771588</v>
      </c>
      <c r="N523" s="340">
        <f t="shared" si="197"/>
        <v>0.25247456888141928</v>
      </c>
      <c r="O523" s="341">
        <f t="shared" si="198"/>
        <v>1.1288940170261863</v>
      </c>
      <c r="P523" s="342">
        <f t="shared" si="199"/>
        <v>0.58636375330056123</v>
      </c>
      <c r="Q523" s="343">
        <f t="shared" si="200"/>
        <v>-22.848563823742744</v>
      </c>
      <c r="R523" s="344">
        <f t="shared" si="201"/>
        <v>-127.42213759027165</v>
      </c>
      <c r="S523" s="346">
        <f t="shared" si="202"/>
        <v>52.577862409728354</v>
      </c>
      <c r="U523" s="319">
        <f t="shared" si="208"/>
        <v>73287.5</v>
      </c>
      <c r="V523" s="319">
        <f t="shared" si="209"/>
        <v>5371057656.25</v>
      </c>
      <c r="X523" s="345">
        <f t="shared" si="203"/>
        <v>17.345058529701433</v>
      </c>
      <c r="Y523" s="346">
        <f t="shared" si="204"/>
        <v>-14.968885737756411</v>
      </c>
      <c r="AA523" s="345">
        <f t="shared" si="205"/>
        <v>8.6803276312100763</v>
      </c>
      <c r="AB523" s="346">
        <f t="shared" si="206"/>
        <v>-112.45325185251524</v>
      </c>
      <c r="AD523">
        <f t="shared" si="210"/>
        <v>0</v>
      </c>
      <c r="AE523">
        <f t="shared" si="213"/>
        <v>0</v>
      </c>
    </row>
    <row r="524" spans="1:31" x14ac:dyDescent="0.2">
      <c r="A524" s="347">
        <v>73709.25</v>
      </c>
      <c r="B524" s="364">
        <f t="shared" si="207"/>
        <v>73.709249999999997</v>
      </c>
      <c r="C524" s="337">
        <f t="shared" si="188"/>
        <v>81.567754918364741</v>
      </c>
      <c r="D524" s="338">
        <f t="shared" si="189"/>
        <v>1.5585362731385699</v>
      </c>
      <c r="E524" s="338">
        <f t="shared" si="190"/>
        <v>1.0170143248433496</v>
      </c>
      <c r="F524" s="339">
        <f t="shared" si="191"/>
        <v>0.18317498130526116</v>
      </c>
      <c r="G524" s="338">
        <f t="shared" si="192"/>
        <v>1</v>
      </c>
      <c r="H524" s="339">
        <f t="shared" si="193"/>
        <v>0</v>
      </c>
      <c r="I524" s="337">
        <f t="shared" si="194"/>
        <v>1156084.1879270973</v>
      </c>
      <c r="J524" s="340">
        <f t="shared" si="195"/>
        <v>1.5707954618059881</v>
      </c>
      <c r="K524" s="348">
        <f t="shared" si="211"/>
        <v>114.51761212193672</v>
      </c>
      <c r="L524" s="349">
        <f t="shared" si="212"/>
        <v>1.5620639345392784</v>
      </c>
      <c r="M524" s="337">
        <f t="shared" si="196"/>
        <v>1.0331125893372139</v>
      </c>
      <c r="N524" s="340">
        <f t="shared" si="197"/>
        <v>0.25386603156724674</v>
      </c>
      <c r="O524" s="341">
        <f t="shared" si="198"/>
        <v>1.1303143764867689</v>
      </c>
      <c r="P524" s="342">
        <f t="shared" si="199"/>
        <v>0.58935003107306128</v>
      </c>
      <c r="Q524" s="343">
        <f t="shared" si="200"/>
        <v>-22.910805768699262</v>
      </c>
      <c r="R524" s="344">
        <f t="shared" si="201"/>
        <v>-127.61539874154556</v>
      </c>
      <c r="S524" s="346">
        <f t="shared" si="202"/>
        <v>52.384601258454438</v>
      </c>
      <c r="U524" s="319">
        <f t="shared" si="208"/>
        <v>73709.25</v>
      </c>
      <c r="V524" s="319">
        <f t="shared" si="209"/>
        <v>5433053535.5625</v>
      </c>
      <c r="X524" s="345">
        <f t="shared" si="203"/>
        <v>17.341927772966972</v>
      </c>
      <c r="Y524" s="346">
        <f t="shared" si="204"/>
        <v>-15.045731848816283</v>
      </c>
      <c r="AA524" s="345">
        <f t="shared" si="205"/>
        <v>8.6212164429880236</v>
      </c>
      <c r="AB524" s="346">
        <f t="shared" si="206"/>
        <v>-112.56966689272924</v>
      </c>
      <c r="AD524">
        <f t="shared" si="210"/>
        <v>0</v>
      </c>
      <c r="AE524">
        <f t="shared" si="213"/>
        <v>0</v>
      </c>
    </row>
    <row r="525" spans="1:31" x14ac:dyDescent="0.2">
      <c r="A525" s="347">
        <v>74131</v>
      </c>
      <c r="B525" s="364">
        <f t="shared" si="207"/>
        <v>74.131</v>
      </c>
      <c r="C525" s="337">
        <f t="shared" ref="C525:C588" si="214">SQRT(1+(A525/pole1)^2)</f>
        <v>82.034399807504187</v>
      </c>
      <c r="D525" s="338">
        <f t="shared" ref="D525:D588" si="215">ATAN(A525/pole1)</f>
        <v>1.5586060167535911</v>
      </c>
      <c r="E525" s="338">
        <f t="shared" ref="E525:E588" si="216">SQRT(1+(A525/Zero1)^2)</f>
        <v>1.0172079354275838</v>
      </c>
      <c r="F525" s="339">
        <f t="shared" ref="F525:F588" si="217">ATAN(A525/Zero1)</f>
        <v>0.18419959042438896</v>
      </c>
      <c r="G525" s="338">
        <f t="shared" ref="G525:G588" si="218">IF(VIN_nom&gt;Vout, 1, SQRT(1+(A525/z_RHP)^2))</f>
        <v>1</v>
      </c>
      <c r="H525" s="339">
        <f t="shared" ref="H525:H588" si="219">IF(VIN_nom&gt;Vout, 0, -ATAN(A525/z_RHP))</f>
        <v>0</v>
      </c>
      <c r="I525" s="337">
        <f t="shared" ref="I525:I588" si="220">SQRT(1+(A525/Pole2)^2)</f>
        <v>1162699.0769167137</v>
      </c>
      <c r="J525" s="340">
        <f t="shared" ref="J525:J588" si="221">ATAN(A525/Pole2)</f>
        <v>1.5707954667271287</v>
      </c>
      <c r="K525" s="348">
        <f t="shared" si="211"/>
        <v>115.1728098148763</v>
      </c>
      <c r="L525" s="349">
        <f t="shared" si="212"/>
        <v>1.5621136128224042</v>
      </c>
      <c r="M525" s="337">
        <f t="shared" ref="M525:M588" si="222">SQRT(1+(A525/pole4)^2)</f>
        <v>1.0334864434355384</v>
      </c>
      <c r="N525" s="340">
        <f t="shared" ref="N525:N588" si="223">ATAN(A525/pole4)</f>
        <v>0.2552564902462755</v>
      </c>
      <c r="O525" s="341">
        <f t="shared" ref="O525:O588" si="224">SQRT((1-(V525/pterm2))^2+(A525/pterm1)^2)</f>
        <v>1.1317415112178542</v>
      </c>
      <c r="P525" s="342">
        <f t="shared" ref="P525:P588" si="225">IF((ATAN((A525/pterm1)/(1-A525^2/pterm2))&gt;0),ATAN((A525/pterm1)/(1-A525^2/pterm2)),PI()+ATAN((A525/pterm1)/(1-A525^2/pterm2)))</f>
        <v>0.5923307365379944</v>
      </c>
      <c r="Q525" s="343">
        <f t="shared" ref="Q525:Q588" si="226">20*LOG10(((E525*K525*G525)/(C525*I525*O525*M525))*Adc)</f>
        <v>-22.972808552577021</v>
      </c>
      <c r="R525" s="344">
        <f t="shared" ref="R525:R588" si="227">((F525+L525+H525)-(D525+J525+P525+N525))*radconv</f>
        <v>-127.80829216138999</v>
      </c>
      <c r="S525" s="346">
        <f t="shared" ref="S525:S588" si="228">IF(R525&gt;0,R525,R525+180)</f>
        <v>52.191707838610014</v>
      </c>
      <c r="U525" s="319">
        <f t="shared" si="208"/>
        <v>74131</v>
      </c>
      <c r="V525" s="319">
        <f t="shared" si="209"/>
        <v>5495405161</v>
      </c>
      <c r="X525" s="345">
        <f t="shared" ref="X525:X588" si="229">20*LOG10((K525/(I525*M525))*AEA)</f>
        <v>17.338781407419276</v>
      </c>
      <c r="Y525" s="346">
        <f t="shared" ref="Y525:Y588" si="230">(L525-(J525+N525))*radconv</f>
        <v>-15.122553188803769</v>
      </c>
      <c r="AA525" s="345">
        <f t="shared" ref="AA525:AA588" si="231">20*LOG10((E525*G525/(C525*O525))*Acs*Am)</f>
        <v>8.5623600246579574</v>
      </c>
      <c r="AB525" s="346">
        <f t="shared" ref="AB525:AB588" si="232">(F525+H525-(D525+P525))*radconv</f>
        <v>-112.68573897258618</v>
      </c>
      <c r="AD525">
        <f t="shared" si="210"/>
        <v>0</v>
      </c>
      <c r="AE525">
        <f t="shared" si="213"/>
        <v>0</v>
      </c>
    </row>
    <row r="526" spans="1:31" x14ac:dyDescent="0.2">
      <c r="A526" s="347">
        <v>74562.75</v>
      </c>
      <c r="B526" s="364">
        <f t="shared" ref="B526:B589" si="233">A526/1000</f>
        <v>74.562749999999994</v>
      </c>
      <c r="C526" s="337">
        <f t="shared" si="214"/>
        <v>82.512109595801107</v>
      </c>
      <c r="D526" s="338">
        <f t="shared" si="215"/>
        <v>1.5586765968955263</v>
      </c>
      <c r="E526" s="338">
        <f t="shared" si="216"/>
        <v>1.0174072424032157</v>
      </c>
      <c r="F526" s="339">
        <f t="shared" si="217"/>
        <v>0.18524808870023568</v>
      </c>
      <c r="G526" s="338">
        <f t="shared" si="218"/>
        <v>1</v>
      </c>
      <c r="H526" s="339">
        <f t="shared" si="219"/>
        <v>0</v>
      </c>
      <c r="I526" s="337">
        <f t="shared" si="220"/>
        <v>1169470.8097472221</v>
      </c>
      <c r="J526" s="340">
        <f t="shared" si="221"/>
        <v>1.5707954717072863</v>
      </c>
      <c r="K526" s="348">
        <f t="shared" si="211"/>
        <v>115.84354301388117</v>
      </c>
      <c r="L526" s="349">
        <f t="shared" si="212"/>
        <v>1.5621638869201553</v>
      </c>
      <c r="M526" s="337">
        <f t="shared" si="222"/>
        <v>1.0338712301141928</v>
      </c>
      <c r="N526" s="340">
        <f t="shared" si="223"/>
        <v>0.25667887324376715</v>
      </c>
      <c r="O526" s="341">
        <f t="shared" si="224"/>
        <v>1.1332094833422315</v>
      </c>
      <c r="P526" s="342">
        <f t="shared" si="225"/>
        <v>0.5953763384780828</v>
      </c>
      <c r="Q526" s="343">
        <f t="shared" si="226"/>
        <v>-23.036036757685395</v>
      </c>
      <c r="R526" s="344">
        <f t="shared" si="227"/>
        <v>-128.00537805140613</v>
      </c>
      <c r="S526" s="346">
        <f t="shared" si="228"/>
        <v>51.994621948593874</v>
      </c>
      <c r="U526" s="319">
        <f t="shared" ref="U526:U589" si="234">IF(Q526&lt;0,A526,1000000000)</f>
        <v>74562.75</v>
      </c>
      <c r="V526" s="319">
        <f t="shared" ref="V526:V589" si="235">A526^2</f>
        <v>5559603687.5625</v>
      </c>
      <c r="X526" s="345">
        <f t="shared" si="229"/>
        <v>17.335544306574842</v>
      </c>
      <c r="Y526" s="346">
        <f t="shared" si="230"/>
        <v>-15.201169523223095</v>
      </c>
      <c r="AA526" s="345">
        <f t="shared" si="231"/>
        <v>8.5023689203940158</v>
      </c>
      <c r="AB526" s="346">
        <f t="shared" si="232"/>
        <v>-112.80420852818303</v>
      </c>
      <c r="AD526">
        <f t="shared" ref="AD526:AD589" si="236">SUM((Q527&lt;0)*(Q526&gt;0))*A526</f>
        <v>0</v>
      </c>
      <c r="AE526">
        <f t="shared" si="213"/>
        <v>0</v>
      </c>
    </row>
    <row r="527" spans="1:31" x14ac:dyDescent="0.2">
      <c r="A527" s="347">
        <v>74994.5</v>
      </c>
      <c r="B527" s="364">
        <f t="shared" si="233"/>
        <v>74.994500000000002</v>
      </c>
      <c r="C527" s="337">
        <f t="shared" si="214"/>
        <v>82.989819790404695</v>
      </c>
      <c r="D527" s="338">
        <f t="shared" si="215"/>
        <v>1.5587463644838462</v>
      </c>
      <c r="E527" s="338">
        <f t="shared" si="216"/>
        <v>1.0176076674252637</v>
      </c>
      <c r="F527" s="339">
        <f t="shared" si="217"/>
        <v>0.18629617510962615</v>
      </c>
      <c r="G527" s="338">
        <f t="shared" si="218"/>
        <v>1</v>
      </c>
      <c r="H527" s="339">
        <f t="shared" si="219"/>
        <v>0</v>
      </c>
      <c r="I527" s="337">
        <f t="shared" si="220"/>
        <v>1176242.5425777307</v>
      </c>
      <c r="J527" s="340">
        <f t="shared" si="221"/>
        <v>1.5707954766301018</v>
      </c>
      <c r="K527" s="348">
        <f t="shared" si="211"/>
        <v>116.51427650230782</v>
      </c>
      <c r="L527" s="349">
        <f t="shared" si="212"/>
        <v>1.5622135821958989</v>
      </c>
      <c r="M527" s="337">
        <f t="shared" si="222"/>
        <v>1.0342581069347452</v>
      </c>
      <c r="N527" s="340">
        <f t="shared" si="223"/>
        <v>0.25810019499574072</v>
      </c>
      <c r="O527" s="341">
        <f t="shared" si="224"/>
        <v>1.1346845169393593</v>
      </c>
      <c r="P527" s="342">
        <f t="shared" si="225"/>
        <v>0.59841608848523364</v>
      </c>
      <c r="Q527" s="343">
        <f t="shared" si="226"/>
        <v>-23.099020411425393</v>
      </c>
      <c r="R527" s="344">
        <f t="shared" si="227"/>
        <v>-128.20207804856287</v>
      </c>
      <c r="S527" s="346">
        <f t="shared" si="228"/>
        <v>51.797921951437132</v>
      </c>
      <c r="U527" s="319">
        <f t="shared" si="234"/>
        <v>74994.5</v>
      </c>
      <c r="V527" s="319">
        <f t="shared" si="235"/>
        <v>5624175030.25</v>
      </c>
      <c r="X527" s="345">
        <f t="shared" si="229"/>
        <v>17.332290920576852</v>
      </c>
      <c r="Y527" s="346">
        <f t="shared" si="230"/>
        <v>-15.279758213525815</v>
      </c>
      <c r="AA527" s="345">
        <f t="shared" si="231"/>
        <v>8.4426386526520112</v>
      </c>
      <c r="AB527" s="346">
        <f t="shared" si="232"/>
        <v>-112.92231983503704</v>
      </c>
      <c r="AD527">
        <f t="shared" si="236"/>
        <v>0</v>
      </c>
      <c r="AE527">
        <f t="shared" si="213"/>
        <v>0</v>
      </c>
    </row>
    <row r="528" spans="1:31" x14ac:dyDescent="0.2">
      <c r="A528" s="347">
        <v>75426.25</v>
      </c>
      <c r="B528" s="364">
        <f t="shared" si="233"/>
        <v>75.426249999999996</v>
      </c>
      <c r="C528" s="337">
        <f t="shared" si="214"/>
        <v>83.467530384338644</v>
      </c>
      <c r="D528" s="338">
        <f t="shared" si="215"/>
        <v>1.5588153334693555</v>
      </c>
      <c r="E528" s="338">
        <f t="shared" si="216"/>
        <v>1.0178092098332372</v>
      </c>
      <c r="F528" s="339">
        <f t="shared" si="217"/>
        <v>0.18734384759394052</v>
      </c>
      <c r="G528" s="338">
        <f t="shared" si="218"/>
        <v>1</v>
      </c>
      <c r="H528" s="339">
        <f t="shared" si="219"/>
        <v>0</v>
      </c>
      <c r="I528" s="337">
        <f t="shared" si="220"/>
        <v>1183014.2754082389</v>
      </c>
      <c r="J528" s="340">
        <f t="shared" si="221"/>
        <v>1.5707954814965592</v>
      </c>
      <c r="K528" s="348">
        <f t="shared" si="211"/>
        <v>117.18501027518657</v>
      </c>
      <c r="L528" s="349">
        <f t="shared" si="212"/>
        <v>1.5622627085884264</v>
      </c>
      <c r="M528" s="337">
        <f t="shared" si="222"/>
        <v>1.0346470715525475</v>
      </c>
      <c r="N528" s="340">
        <f t="shared" si="223"/>
        <v>0.259520450953315</v>
      </c>
      <c r="O528" s="341">
        <f t="shared" si="224"/>
        <v>1.136166592353921</v>
      </c>
      <c r="P528" s="342">
        <f t="shared" si="225"/>
        <v>0.60144998078508582</v>
      </c>
      <c r="Q528" s="343">
        <f t="shared" si="226"/>
        <v>-23.161762505637494</v>
      </c>
      <c r="R528" s="344">
        <f t="shared" si="227"/>
        <v>-128.39839190926</v>
      </c>
      <c r="S528" s="346">
        <f t="shared" si="228"/>
        <v>51.601608090740001</v>
      </c>
      <c r="U528" s="319">
        <f t="shared" si="234"/>
        <v>75426.25</v>
      </c>
      <c r="V528" s="319">
        <f t="shared" si="235"/>
        <v>5689119189.0625</v>
      </c>
      <c r="X528" s="345">
        <f t="shared" si="229"/>
        <v>17.329021286418143</v>
      </c>
      <c r="Y528" s="346">
        <f t="shared" si="230"/>
        <v>-15.358318429685854</v>
      </c>
      <c r="AA528" s="345">
        <f t="shared" si="231"/>
        <v>8.3831661925986154</v>
      </c>
      <c r="AB528" s="346">
        <f t="shared" si="232"/>
        <v>-113.04007347957416</v>
      </c>
      <c r="AD528">
        <f t="shared" si="236"/>
        <v>0</v>
      </c>
      <c r="AE528">
        <f t="shared" si="213"/>
        <v>0</v>
      </c>
    </row>
    <row r="529" spans="1:31" x14ac:dyDescent="0.2">
      <c r="A529" s="347">
        <v>75858</v>
      </c>
      <c r="B529" s="364">
        <f t="shared" si="233"/>
        <v>75.858000000000004</v>
      </c>
      <c r="C529" s="337">
        <f t="shared" si="214"/>
        <v>83.945241370785567</v>
      </c>
      <c r="D529" s="338">
        <f t="shared" si="215"/>
        <v>1.5588835174853279</v>
      </c>
      <c r="E529" s="338">
        <f t="shared" si="216"/>
        <v>1.0180118689634881</v>
      </c>
      <c r="F529" s="339">
        <f t="shared" si="217"/>
        <v>0.18839110409981941</v>
      </c>
      <c r="G529" s="338">
        <f t="shared" si="218"/>
        <v>1</v>
      </c>
      <c r="H529" s="339">
        <f t="shared" si="219"/>
        <v>0</v>
      </c>
      <c r="I529" s="337">
        <f t="shared" si="220"/>
        <v>1189786.0082387475</v>
      </c>
      <c r="J529" s="340">
        <f t="shared" si="221"/>
        <v>1.5707954863076214</v>
      </c>
      <c r="K529" s="348">
        <f t="shared" si="211"/>
        <v>117.85574432766082</v>
      </c>
      <c r="L529" s="349">
        <f t="shared" si="212"/>
        <v>1.5623112758102884</v>
      </c>
      <c r="M529" s="337">
        <f t="shared" si="222"/>
        <v>1.0350381216138345</v>
      </c>
      <c r="N529" s="340">
        <f t="shared" si="223"/>
        <v>0.26093963659162672</v>
      </c>
      <c r="O529" s="341">
        <f t="shared" si="224"/>
        <v>1.1376556899472676</v>
      </c>
      <c r="P529" s="342">
        <f t="shared" si="225"/>
        <v>0.60447800988293732</v>
      </c>
      <c r="Q529" s="343">
        <f t="shared" si="226"/>
        <v>-23.224265975727462</v>
      </c>
      <c r="R529" s="344">
        <f t="shared" si="227"/>
        <v>-128.59431940176361</v>
      </c>
      <c r="S529" s="346">
        <f t="shared" si="228"/>
        <v>51.405680598236387</v>
      </c>
      <c r="U529" s="319">
        <f t="shared" si="234"/>
        <v>75858</v>
      </c>
      <c r="V529" s="319">
        <f t="shared" si="235"/>
        <v>5754436164</v>
      </c>
      <c r="X529" s="345">
        <f t="shared" si="229"/>
        <v>17.325735441258313</v>
      </c>
      <c r="Y529" s="346">
        <f t="shared" si="230"/>
        <v>-15.436849356014621</v>
      </c>
      <c r="AA529" s="345">
        <f t="shared" si="231"/>
        <v>8.323948567668479</v>
      </c>
      <c r="AB529" s="346">
        <f t="shared" si="232"/>
        <v>-113.15747004574899</v>
      </c>
      <c r="AD529">
        <f t="shared" si="236"/>
        <v>0</v>
      </c>
      <c r="AE529">
        <f t="shared" si="213"/>
        <v>0</v>
      </c>
    </row>
    <row r="530" spans="1:31" x14ac:dyDescent="0.2">
      <c r="A530" s="347">
        <v>76299.75</v>
      </c>
      <c r="B530" s="364">
        <f t="shared" si="233"/>
        <v>76.299750000000003</v>
      </c>
      <c r="C530" s="337">
        <f t="shared" si="214"/>
        <v>84.434017284308212</v>
      </c>
      <c r="D530" s="338">
        <f t="shared" si="215"/>
        <v>1.5589524821930483</v>
      </c>
      <c r="E530" s="338">
        <f t="shared" si="216"/>
        <v>1.018220377117544</v>
      </c>
      <c r="F530" s="339">
        <f t="shared" si="217"/>
        <v>0.18946218401334258</v>
      </c>
      <c r="G530" s="338">
        <f t="shared" si="218"/>
        <v>1</v>
      </c>
      <c r="H530" s="339">
        <f t="shared" si="219"/>
        <v>0</v>
      </c>
      <c r="I530" s="337">
        <f t="shared" si="220"/>
        <v>1196714.5849101481</v>
      </c>
      <c r="J530" s="340">
        <f t="shared" si="221"/>
        <v>1.5707954911737614</v>
      </c>
      <c r="K530" s="348">
        <f t="shared" si="211"/>
        <v>118.54201390608577</v>
      </c>
      <c r="L530" s="349">
        <f t="shared" si="212"/>
        <v>1.5623603990764467</v>
      </c>
      <c r="M530" s="337">
        <f t="shared" si="222"/>
        <v>1.0354403849929228</v>
      </c>
      <c r="N530" s="340">
        <f t="shared" si="223"/>
        <v>0.26239058028571738</v>
      </c>
      <c r="O530" s="341">
        <f t="shared" si="224"/>
        <v>1.139186524916376</v>
      </c>
      <c r="P530" s="342">
        <f t="shared" si="225"/>
        <v>0.60757009891766178</v>
      </c>
      <c r="Q530" s="343">
        <f t="shared" si="226"/>
        <v>-23.287973148512414</v>
      </c>
      <c r="R530" s="344">
        <f t="shared" si="227"/>
        <v>-128.79438475464721</v>
      </c>
      <c r="S530" s="346">
        <f t="shared" si="228"/>
        <v>51.205615245352789</v>
      </c>
      <c r="U530" s="319">
        <f t="shared" si="234"/>
        <v>76299.75</v>
      </c>
      <c r="V530" s="319">
        <f t="shared" si="235"/>
        <v>5821651850.0625</v>
      </c>
      <c r="X530" s="345">
        <f t="shared" si="229"/>
        <v>17.32235675119777</v>
      </c>
      <c r="Y530" s="346">
        <f t="shared" si="230"/>
        <v>-15.517168029071419</v>
      </c>
      <c r="AA530" s="345">
        <f t="shared" si="231"/>
        <v>8.2636200849440726</v>
      </c>
      <c r="AB530" s="346">
        <f t="shared" si="232"/>
        <v>-113.27721672557584</v>
      </c>
      <c r="AD530">
        <f t="shared" si="236"/>
        <v>0</v>
      </c>
      <c r="AE530">
        <f t="shared" si="213"/>
        <v>0</v>
      </c>
    </row>
    <row r="531" spans="1:31" x14ac:dyDescent="0.2">
      <c r="A531" s="347">
        <v>76741.5</v>
      </c>
      <c r="B531" s="364">
        <f t="shared" si="233"/>
        <v>76.741500000000002</v>
      </c>
      <c r="C531" s="337">
        <f t="shared" si="214"/>
        <v>84.922793594787478</v>
      </c>
      <c r="D531" s="338">
        <f t="shared" si="215"/>
        <v>1.5590206530431876</v>
      </c>
      <c r="E531" s="338">
        <f t="shared" si="216"/>
        <v>1.0184300529073307</v>
      </c>
      <c r="F531" s="339">
        <f t="shared" si="217"/>
        <v>0.19053282412386474</v>
      </c>
      <c r="G531" s="338">
        <f t="shared" si="218"/>
        <v>1</v>
      </c>
      <c r="H531" s="339">
        <f t="shared" si="219"/>
        <v>0</v>
      </c>
      <c r="I531" s="337">
        <f t="shared" si="220"/>
        <v>1203643.1615815484</v>
      </c>
      <c r="J531" s="340">
        <f t="shared" si="221"/>
        <v>1.570795495983879</v>
      </c>
      <c r="K531" s="348">
        <f t="shared" si="211"/>
        <v>119.22828376727087</v>
      </c>
      <c r="L531" s="349">
        <f t="shared" si="212"/>
        <v>1.5624089568423889</v>
      </c>
      <c r="M531" s="337">
        <f t="shared" si="222"/>
        <v>1.0358448265243114</v>
      </c>
      <c r="N531" s="340">
        <f t="shared" si="223"/>
        <v>0.26384039399953174</v>
      </c>
      <c r="O531" s="341">
        <f t="shared" si="224"/>
        <v>1.1407246695846618</v>
      </c>
      <c r="P531" s="342">
        <f t="shared" si="225"/>
        <v>0.61065603925225587</v>
      </c>
      <c r="Q531" s="343">
        <f t="shared" si="226"/>
        <v>-23.351436557171894</v>
      </c>
      <c r="R531" s="344">
        <f t="shared" si="227"/>
        <v>-128.9940451815954</v>
      </c>
      <c r="S531" s="346">
        <f t="shared" si="228"/>
        <v>51.005954818404604</v>
      </c>
      <c r="U531" s="319">
        <f t="shared" si="234"/>
        <v>76741.5</v>
      </c>
      <c r="V531" s="319">
        <f t="shared" si="235"/>
        <v>5889257822.25</v>
      </c>
      <c r="X531" s="345">
        <f t="shared" si="229"/>
        <v>17.318961169721092</v>
      </c>
      <c r="Y531" s="346">
        <f t="shared" si="230"/>
        <v>-15.59745435659328</v>
      </c>
      <c r="AA531" s="345">
        <f t="shared" si="231"/>
        <v>8.2035522577612685</v>
      </c>
      <c r="AB531" s="346">
        <f t="shared" si="232"/>
        <v>-113.39659082500214</v>
      </c>
      <c r="AD531">
        <f t="shared" si="236"/>
        <v>0</v>
      </c>
      <c r="AE531">
        <f t="shared" si="213"/>
        <v>0</v>
      </c>
    </row>
    <row r="532" spans="1:31" x14ac:dyDescent="0.2">
      <c r="A532" s="347">
        <v>77183.25</v>
      </c>
      <c r="B532" s="364">
        <f t="shared" si="233"/>
        <v>77.183250000000001</v>
      </c>
      <c r="C532" s="337">
        <f t="shared" si="214"/>
        <v>85.411570295408524</v>
      </c>
      <c r="D532" s="338">
        <f t="shared" si="215"/>
        <v>1.5590880436639072</v>
      </c>
      <c r="E532" s="338">
        <f t="shared" si="216"/>
        <v>1.0186408956118136</v>
      </c>
      <c r="F532" s="339">
        <f t="shared" si="217"/>
        <v>0.19160302224924664</v>
      </c>
      <c r="G532" s="338">
        <f t="shared" si="218"/>
        <v>1</v>
      </c>
      <c r="H532" s="339">
        <f t="shared" si="219"/>
        <v>0</v>
      </c>
      <c r="I532" s="337">
        <f t="shared" si="220"/>
        <v>1210571.738252949</v>
      </c>
      <c r="J532" s="340">
        <f t="shared" si="221"/>
        <v>1.570795500738936</v>
      </c>
      <c r="K532" s="348">
        <f t="shared" si="211"/>
        <v>119.91455390636145</v>
      </c>
      <c r="L532" s="349">
        <f t="shared" si="212"/>
        <v>1.5624569588169448</v>
      </c>
      <c r="M532" s="337">
        <f t="shared" si="222"/>
        <v>1.0362514436576482</v>
      </c>
      <c r="N532" s="340">
        <f t="shared" si="223"/>
        <v>0.26528907296482057</v>
      </c>
      <c r="O532" s="341">
        <f t="shared" si="224"/>
        <v>1.1422701029784053</v>
      </c>
      <c r="P532" s="342">
        <f t="shared" si="225"/>
        <v>0.61373582589518272</v>
      </c>
      <c r="Q532" s="343">
        <f t="shared" si="226"/>
        <v>-23.414659170882473</v>
      </c>
      <c r="R532" s="344">
        <f t="shared" si="227"/>
        <v>-129.19330047305715</v>
      </c>
      <c r="S532" s="346">
        <f t="shared" si="228"/>
        <v>50.80669952694285</v>
      </c>
      <c r="U532" s="319">
        <f t="shared" si="234"/>
        <v>77183.25</v>
      </c>
      <c r="V532" s="319">
        <f t="shared" si="235"/>
        <v>5957254080.5625</v>
      </c>
      <c r="X532" s="345">
        <f t="shared" si="229"/>
        <v>17.315548737154145</v>
      </c>
      <c r="Y532" s="346">
        <f t="shared" si="230"/>
        <v>-15.67770750915976</v>
      </c>
      <c r="AA532" s="345">
        <f t="shared" si="231"/>
        <v>8.1437420766176345</v>
      </c>
      <c r="AB532" s="346">
        <f t="shared" si="232"/>
        <v>-113.51559296389738</v>
      </c>
      <c r="AD532">
        <f t="shared" si="236"/>
        <v>0</v>
      </c>
      <c r="AE532">
        <f t="shared" si="213"/>
        <v>0</v>
      </c>
    </row>
    <row r="533" spans="1:31" x14ac:dyDescent="0.2">
      <c r="A533" s="347">
        <v>77625</v>
      </c>
      <c r="B533" s="364">
        <f t="shared" si="233"/>
        <v>77.625</v>
      </c>
      <c r="C533" s="337">
        <f t="shared" si="214"/>
        <v>85.900347379511558</v>
      </c>
      <c r="D533" s="338">
        <f t="shared" si="215"/>
        <v>1.5591546673732177</v>
      </c>
      <c r="E533" s="338">
        <f t="shared" si="216"/>
        <v>1.0188529045065449</v>
      </c>
      <c r="F533" s="339">
        <f t="shared" si="217"/>
        <v>0.19267277621320009</v>
      </c>
      <c r="G533" s="338">
        <f t="shared" si="218"/>
        <v>1</v>
      </c>
      <c r="H533" s="339">
        <f t="shared" si="219"/>
        <v>0</v>
      </c>
      <c r="I533" s="337">
        <f t="shared" si="220"/>
        <v>1217500.3149243495</v>
      </c>
      <c r="J533" s="340">
        <f t="shared" si="221"/>
        <v>1.570795505439873</v>
      </c>
      <c r="K533" s="348">
        <f t="shared" si="211"/>
        <v>120.60082431861331</v>
      </c>
      <c r="L533" s="349">
        <f t="shared" si="212"/>
        <v>1.5625044144879656</v>
      </c>
      <c r="M533" s="337">
        <f t="shared" si="222"/>
        <v>1.0366602338328748</v>
      </c>
      <c r="N533" s="340">
        <f t="shared" si="223"/>
        <v>0.26673661243984736</v>
      </c>
      <c r="O533" s="341">
        <f t="shared" si="224"/>
        <v>1.1438228041469565</v>
      </c>
      <c r="P533" s="342">
        <f t="shared" si="225"/>
        <v>0.616809454151105</v>
      </c>
      <c r="Q533" s="343">
        <f t="shared" si="226"/>
        <v>-23.477643902573305</v>
      </c>
      <c r="R533" s="344">
        <f t="shared" si="227"/>
        <v>-129.39215043252597</v>
      </c>
      <c r="S533" s="346">
        <f t="shared" si="228"/>
        <v>50.607849567474034</v>
      </c>
      <c r="U533" s="319">
        <f t="shared" si="234"/>
        <v>77625</v>
      </c>
      <c r="V533" s="319">
        <f t="shared" si="235"/>
        <v>6025640625</v>
      </c>
      <c r="X533" s="345">
        <f t="shared" si="229"/>
        <v>17.312119493993503</v>
      </c>
      <c r="Y533" s="346">
        <f t="shared" si="230"/>
        <v>-15.757926671529439</v>
      </c>
      <c r="AA533" s="345">
        <f t="shared" si="231"/>
        <v>8.0841865880874479</v>
      </c>
      <c r="AB533" s="346">
        <f t="shared" si="232"/>
        <v>-113.63422376099652</v>
      </c>
      <c r="AD533">
        <f t="shared" si="236"/>
        <v>0</v>
      </c>
      <c r="AE533">
        <f t="shared" si="213"/>
        <v>0</v>
      </c>
    </row>
    <row r="534" spans="1:31" x14ac:dyDescent="0.2">
      <c r="A534" s="347">
        <v>78077</v>
      </c>
      <c r="B534" s="364">
        <f t="shared" si="233"/>
        <v>78.076999999999998</v>
      </c>
      <c r="C534" s="337">
        <f t="shared" si="214"/>
        <v>86.400466031148298</v>
      </c>
      <c r="D534" s="338">
        <f t="shared" si="215"/>
        <v>1.559222056729312</v>
      </c>
      <c r="E534" s="338">
        <f t="shared" si="216"/>
        <v>1.0190710390134514</v>
      </c>
      <c r="F534" s="339">
        <f t="shared" si="217"/>
        <v>0.19376688985559187</v>
      </c>
      <c r="G534" s="338">
        <f t="shared" si="218"/>
        <v>1</v>
      </c>
      <c r="H534" s="339">
        <f t="shared" si="219"/>
        <v>0</v>
      </c>
      <c r="I534" s="337">
        <f t="shared" si="220"/>
        <v>1224589.6565326646</v>
      </c>
      <c r="J534" s="340">
        <f t="shared" si="221"/>
        <v>1.5707955101948261</v>
      </c>
      <c r="K534" s="348">
        <f t="shared" si="211"/>
        <v>121.3030186572729</v>
      </c>
      <c r="L534" s="349">
        <f t="shared" si="212"/>
        <v>1.5625524154877304</v>
      </c>
      <c r="M534" s="337">
        <f t="shared" si="222"/>
        <v>1.0370807558143038</v>
      </c>
      <c r="N534" s="340">
        <f t="shared" si="223"/>
        <v>0.26821655504342673</v>
      </c>
      <c r="O534" s="341">
        <f t="shared" si="224"/>
        <v>1.1454190337600638</v>
      </c>
      <c r="P534" s="342">
        <f t="shared" si="225"/>
        <v>0.61994802134797411</v>
      </c>
      <c r="Q534" s="343">
        <f t="shared" si="226"/>
        <v>-23.541846834965444</v>
      </c>
      <c r="R534" s="344">
        <f t="shared" si="227"/>
        <v>-129.59519460137489</v>
      </c>
      <c r="S534" s="346">
        <f t="shared" si="228"/>
        <v>50.404805398625115</v>
      </c>
      <c r="U534" s="319">
        <f t="shared" si="234"/>
        <v>78077</v>
      </c>
      <c r="V534" s="319">
        <f t="shared" si="235"/>
        <v>6096017929</v>
      </c>
      <c r="X534" s="345">
        <f t="shared" si="229"/>
        <v>17.308593323733149</v>
      </c>
      <c r="Y534" s="346">
        <f t="shared" si="230"/>
        <v>-15.839971154469707</v>
      </c>
      <c r="AA534" s="345">
        <f t="shared" si="231"/>
        <v>8.0235098259556619</v>
      </c>
      <c r="AB534" s="346">
        <f t="shared" si="232"/>
        <v>-113.75522344690515</v>
      </c>
      <c r="AD534">
        <f t="shared" si="236"/>
        <v>0</v>
      </c>
      <c r="AE534">
        <f t="shared" si="213"/>
        <v>0</v>
      </c>
    </row>
    <row r="535" spans="1:31" x14ac:dyDescent="0.2">
      <c r="A535" s="347">
        <v>78529</v>
      </c>
      <c r="B535" s="364">
        <f t="shared" si="233"/>
        <v>78.528999999999996</v>
      </c>
      <c r="C535" s="337">
        <f t="shared" si="214"/>
        <v>86.900585070641384</v>
      </c>
      <c r="D535" s="338">
        <f t="shared" si="215"/>
        <v>1.559288670424644</v>
      </c>
      <c r="E535" s="338">
        <f t="shared" si="216"/>
        <v>1.0192903929116786</v>
      </c>
      <c r="F535" s="339">
        <f t="shared" si="217"/>
        <v>0.19486053389459423</v>
      </c>
      <c r="G535" s="338">
        <f t="shared" si="218"/>
        <v>1</v>
      </c>
      <c r="H535" s="339">
        <f t="shared" si="219"/>
        <v>0</v>
      </c>
      <c r="I535" s="337">
        <f t="shared" si="220"/>
        <v>1231678.9981409793</v>
      </c>
      <c r="J535" s="340">
        <f t="shared" si="221"/>
        <v>1.5707955148950417</v>
      </c>
      <c r="K535" s="348">
        <f t="shared" ref="K535:K598" si="237">SQRT(1+(A535/Zero2)^2)</f>
        <v>122.00521327220909</v>
      </c>
      <c r="L535" s="349">
        <f t="shared" ref="L535:L598" si="238">ATAN(A535/Zero2)</f>
        <v>1.5625998639531233</v>
      </c>
      <c r="M535" s="337">
        <f t="shared" si="222"/>
        <v>1.0375035473970009</v>
      </c>
      <c r="N535" s="340">
        <f t="shared" si="223"/>
        <v>0.2696952947050163</v>
      </c>
      <c r="O535" s="341">
        <f t="shared" si="224"/>
        <v>1.1470228280333887</v>
      </c>
      <c r="P535" s="342">
        <f t="shared" si="225"/>
        <v>0.62308013204674917</v>
      </c>
      <c r="Q535" s="343">
        <f t="shared" si="226"/>
        <v>-23.605806713454264</v>
      </c>
      <c r="R535" s="344">
        <f t="shared" si="227"/>
        <v>-129.79781403558863</v>
      </c>
      <c r="S535" s="346">
        <f t="shared" si="228"/>
        <v>50.20218596441137</v>
      </c>
      <c r="U535" s="319">
        <f t="shared" si="234"/>
        <v>78529</v>
      </c>
      <c r="V535" s="319">
        <f t="shared" si="235"/>
        <v>6166803841</v>
      </c>
      <c r="X535" s="345">
        <f t="shared" si="229"/>
        <v>17.305049640024379</v>
      </c>
      <c r="Y535" s="346">
        <f t="shared" si="230"/>
        <v>-15.921978368662227</v>
      </c>
      <c r="AA535" s="345">
        <f t="shared" si="231"/>
        <v>7.963093631175612</v>
      </c>
      <c r="AB535" s="346">
        <f t="shared" si="232"/>
        <v>-113.87583566692639</v>
      </c>
      <c r="AD535">
        <f t="shared" si="236"/>
        <v>0</v>
      </c>
      <c r="AE535">
        <f t="shared" si="213"/>
        <v>0</v>
      </c>
    </row>
    <row r="536" spans="1:31" x14ac:dyDescent="0.2">
      <c r="A536" s="347">
        <v>78981</v>
      </c>
      <c r="B536" s="364">
        <f t="shared" si="233"/>
        <v>78.980999999999995</v>
      </c>
      <c r="C536" s="337">
        <f t="shared" si="214"/>
        <v>87.400704491332732</v>
      </c>
      <c r="D536" s="338">
        <f t="shared" si="215"/>
        <v>1.5593545217739453</v>
      </c>
      <c r="E536" s="338">
        <f t="shared" si="216"/>
        <v>1.0195109654141483</v>
      </c>
      <c r="F536" s="339">
        <f t="shared" si="217"/>
        <v>0.19595370601804715</v>
      </c>
      <c r="G536" s="338">
        <f t="shared" si="218"/>
        <v>1</v>
      </c>
      <c r="H536" s="339">
        <f t="shared" si="219"/>
        <v>0</v>
      </c>
      <c r="I536" s="337">
        <f t="shared" si="220"/>
        <v>1238768.3397492939</v>
      </c>
      <c r="J536" s="340">
        <f t="shared" si="221"/>
        <v>1.5707955195414596</v>
      </c>
      <c r="K536" s="348">
        <f t="shared" si="237"/>
        <v>122.70740815867886</v>
      </c>
      <c r="L536" s="349">
        <f t="shared" si="238"/>
        <v>1.5626467693695862</v>
      </c>
      <c r="M536" s="337">
        <f t="shared" si="222"/>
        <v>1.0379286058074564</v>
      </c>
      <c r="N536" s="340">
        <f t="shared" si="223"/>
        <v>0.27117282643157281</v>
      </c>
      <c r="O536" s="341">
        <f t="shared" si="224"/>
        <v>1.1486341646064622</v>
      </c>
      <c r="P536" s="342">
        <f t="shared" si="225"/>
        <v>0.62620578216326994</v>
      </c>
      <c r="Q536" s="343">
        <f t="shared" si="226"/>
        <v>-23.669526484106527</v>
      </c>
      <c r="R536" s="344">
        <f t="shared" si="227"/>
        <v>-130.0000085670147</v>
      </c>
      <c r="S536" s="346">
        <f t="shared" si="228"/>
        <v>49.999991432985297</v>
      </c>
      <c r="U536" s="319">
        <f t="shared" si="234"/>
        <v>78981</v>
      </c>
      <c r="V536" s="319">
        <f t="shared" si="235"/>
        <v>6237998361</v>
      </c>
      <c r="X536" s="345">
        <f t="shared" si="229"/>
        <v>17.301488486784805</v>
      </c>
      <c r="Y536" s="346">
        <f t="shared" si="230"/>
        <v>-16.003947484604765</v>
      </c>
      <c r="AA536" s="345">
        <f t="shared" si="231"/>
        <v>7.9029350137629226</v>
      </c>
      <c r="AB536" s="346">
        <f t="shared" si="232"/>
        <v>-113.99606108240997</v>
      </c>
      <c r="AD536">
        <f t="shared" si="236"/>
        <v>0</v>
      </c>
      <c r="AE536">
        <f t="shared" si="213"/>
        <v>0</v>
      </c>
    </row>
    <row r="537" spans="1:31" x14ac:dyDescent="0.2">
      <c r="A537" s="347">
        <v>79433</v>
      </c>
      <c r="B537" s="364">
        <f t="shared" si="233"/>
        <v>79.433000000000007</v>
      </c>
      <c r="C537" s="337">
        <f t="shared" si="214"/>
        <v>87.900824286715761</v>
      </c>
      <c r="D537" s="338">
        <f t="shared" si="215"/>
        <v>1.5594196237889528</v>
      </c>
      <c r="E537" s="338">
        <f t="shared" si="216"/>
        <v>1.0197327557300928</v>
      </c>
      <c r="F537" s="339">
        <f t="shared" si="217"/>
        <v>0.19704640392029718</v>
      </c>
      <c r="G537" s="338">
        <f t="shared" si="218"/>
        <v>1</v>
      </c>
      <c r="H537" s="339">
        <f t="shared" si="219"/>
        <v>0</v>
      </c>
      <c r="I537" s="337">
        <f t="shared" si="220"/>
        <v>1245857.6813576091</v>
      </c>
      <c r="J537" s="340">
        <f t="shared" si="221"/>
        <v>1.5707955241349982</v>
      </c>
      <c r="K537" s="348">
        <f t="shared" si="237"/>
        <v>123.40960331204718</v>
      </c>
      <c r="L537" s="349">
        <f t="shared" si="238"/>
        <v>1.5626931410066838</v>
      </c>
      <c r="M537" s="337">
        <f t="shared" si="222"/>
        <v>1.0383559282618438</v>
      </c>
      <c r="N537" s="340">
        <f t="shared" si="223"/>
        <v>0.2726491452593035</v>
      </c>
      <c r="O537" s="341">
        <f t="shared" si="224"/>
        <v>1.1502530211492106</v>
      </c>
      <c r="P537" s="342">
        <f t="shared" si="225"/>
        <v>0.62932496792633008</v>
      </c>
      <c r="Q537" s="343">
        <f t="shared" si="226"/>
        <v>-23.733009036937833</v>
      </c>
      <c r="R537" s="344">
        <f t="shared" si="227"/>
        <v>-130.20177804174216</v>
      </c>
      <c r="S537" s="346">
        <f t="shared" si="228"/>
        <v>49.798221958257841</v>
      </c>
      <c r="U537" s="319">
        <f t="shared" si="234"/>
        <v>79433</v>
      </c>
      <c r="V537" s="319">
        <f t="shared" si="235"/>
        <v>6309601489</v>
      </c>
      <c r="X537" s="345">
        <f t="shared" si="229"/>
        <v>17.297909908106661</v>
      </c>
      <c r="Y537" s="346">
        <f t="shared" si="230"/>
        <v>-16.085877686838618</v>
      </c>
      <c r="AA537" s="345">
        <f t="shared" si="231"/>
        <v>7.8430310396097607</v>
      </c>
      <c r="AB537" s="346">
        <f t="shared" si="232"/>
        <v>-114.11590035490354</v>
      </c>
      <c r="AD537">
        <f t="shared" si="236"/>
        <v>0</v>
      </c>
      <c r="AE537">
        <f t="shared" si="213"/>
        <v>0</v>
      </c>
    </row>
    <row r="538" spans="1:31" x14ac:dyDescent="0.2">
      <c r="A538" s="347">
        <v>79895.5</v>
      </c>
      <c r="B538" s="364">
        <f t="shared" si="233"/>
        <v>79.895499999999998</v>
      </c>
      <c r="C538" s="337">
        <f t="shared" si="214"/>
        <v>88.412562290420126</v>
      </c>
      <c r="D538" s="338">
        <f t="shared" si="215"/>
        <v>1.5594854757464682</v>
      </c>
      <c r="E538" s="338">
        <f t="shared" si="216"/>
        <v>1.019960958002909</v>
      </c>
      <c r="F538" s="339">
        <f t="shared" si="217"/>
        <v>0.19816399201981227</v>
      </c>
      <c r="G538" s="338">
        <f t="shared" si="218"/>
        <v>1</v>
      </c>
      <c r="H538" s="339">
        <f t="shared" si="219"/>
        <v>0</v>
      </c>
      <c r="I538" s="337">
        <f t="shared" si="220"/>
        <v>1253111.7089988603</v>
      </c>
      <c r="J538" s="340">
        <f t="shared" si="221"/>
        <v>1.5707955287814452</v>
      </c>
      <c r="K538" s="348">
        <f t="shared" si="237"/>
        <v>124.12811079251516</v>
      </c>
      <c r="L538" s="349">
        <f t="shared" si="238"/>
        <v>1.5627400467873158</v>
      </c>
      <c r="M538" s="337">
        <f t="shared" si="222"/>
        <v>1.0387955180857555</v>
      </c>
      <c r="N538" s="340">
        <f t="shared" si="223"/>
        <v>0.27415849846719392</v>
      </c>
      <c r="O538" s="341">
        <f t="shared" si="224"/>
        <v>1.1519172446457815</v>
      </c>
      <c r="P538" s="342">
        <f t="shared" si="225"/>
        <v>0.63250991769312892</v>
      </c>
      <c r="Q538" s="343">
        <f t="shared" si="226"/>
        <v>-23.797723704619909</v>
      </c>
      <c r="R538" s="344">
        <f t="shared" si="227"/>
        <v>-130.40779451104183</v>
      </c>
      <c r="S538" s="346">
        <f t="shared" si="228"/>
        <v>49.592205488958172</v>
      </c>
      <c r="U538" s="319">
        <f t="shared" si="234"/>
        <v>79895.5</v>
      </c>
      <c r="V538" s="319">
        <f t="shared" si="235"/>
        <v>6383290920.25</v>
      </c>
      <c r="X538" s="345">
        <f t="shared" si="229"/>
        <v>17.294230207571072</v>
      </c>
      <c r="Y538" s="346">
        <f t="shared" si="230"/>
        <v>-16.169670018497843</v>
      </c>
      <c r="AA538" s="345">
        <f t="shared" si="231"/>
        <v>7.7819960724632757</v>
      </c>
      <c r="AB538" s="346">
        <f t="shared" si="232"/>
        <v>-114.23812449254402</v>
      </c>
      <c r="AD538">
        <f t="shared" si="236"/>
        <v>0</v>
      </c>
      <c r="AE538">
        <f t="shared" ref="AE538:AE601" si="239">IF(AD538&gt;0,S538,0)</f>
        <v>0</v>
      </c>
    </row>
    <row r="539" spans="1:31" x14ac:dyDescent="0.2">
      <c r="A539" s="347">
        <v>80358</v>
      </c>
      <c r="B539" s="364">
        <f t="shared" si="233"/>
        <v>80.358000000000004</v>
      </c>
      <c r="C539" s="337">
        <f t="shared" si="214"/>
        <v>88.924300673111063</v>
      </c>
      <c r="D539" s="338">
        <f t="shared" si="215"/>
        <v>1.5595505697792871</v>
      </c>
      <c r="E539" s="338">
        <f t="shared" si="216"/>
        <v>1.0201904336393346</v>
      </c>
      <c r="F539" s="339">
        <f t="shared" si="217"/>
        <v>0.19928107874666132</v>
      </c>
      <c r="G539" s="338">
        <f t="shared" si="218"/>
        <v>1</v>
      </c>
      <c r="H539" s="339">
        <f t="shared" si="219"/>
        <v>0</v>
      </c>
      <c r="I539" s="337">
        <f t="shared" si="220"/>
        <v>1260365.7366401118</v>
      </c>
      <c r="J539" s="340">
        <f t="shared" si="221"/>
        <v>1.5707955333744068</v>
      </c>
      <c r="K539" s="348">
        <f t="shared" si="237"/>
        <v>124.84661854294045</v>
      </c>
      <c r="L539" s="349">
        <f t="shared" si="238"/>
        <v>1.5627864126708966</v>
      </c>
      <c r="M539" s="337">
        <f t="shared" si="222"/>
        <v>1.0392374724334785</v>
      </c>
      <c r="N539" s="340">
        <f t="shared" si="223"/>
        <v>0.27566657134929962</v>
      </c>
      <c r="O539" s="341">
        <f t="shared" si="224"/>
        <v>1.1535892943497297</v>
      </c>
      <c r="P539" s="342">
        <f t="shared" si="225"/>
        <v>0.63568809228496903</v>
      </c>
      <c r="Q539" s="343">
        <f t="shared" si="226"/>
        <v>-23.862195953195318</v>
      </c>
      <c r="R539" s="344">
        <f t="shared" si="227"/>
        <v>-130.6133656655559</v>
      </c>
      <c r="S539" s="346">
        <f t="shared" si="228"/>
        <v>49.386634334444096</v>
      </c>
      <c r="U539" s="319">
        <f t="shared" si="234"/>
        <v>80358</v>
      </c>
      <c r="V539" s="319">
        <f t="shared" si="235"/>
        <v>6457408164</v>
      </c>
      <c r="X539" s="345">
        <f t="shared" si="229"/>
        <v>17.290532356552898</v>
      </c>
      <c r="Y539" s="346">
        <f t="shared" si="230"/>
        <v>-16.253419923651069</v>
      </c>
      <c r="AA539" s="345">
        <f t="shared" si="231"/>
        <v>7.7212216749060412</v>
      </c>
      <c r="AB539" s="346">
        <f t="shared" si="232"/>
        <v>-114.35994574190484</v>
      </c>
      <c r="AD539">
        <f t="shared" si="236"/>
        <v>0</v>
      </c>
      <c r="AE539">
        <f t="shared" si="239"/>
        <v>0</v>
      </c>
    </row>
    <row r="540" spans="1:31" x14ac:dyDescent="0.2">
      <c r="A540" s="347">
        <v>80820.5</v>
      </c>
      <c r="B540" s="364">
        <f t="shared" si="233"/>
        <v>80.820499999999996</v>
      </c>
      <c r="C540" s="337">
        <f t="shared" si="214"/>
        <v>89.436039428283109</v>
      </c>
      <c r="D540" s="338">
        <f t="shared" si="215"/>
        <v>1.5596149188970256</v>
      </c>
      <c r="E540" s="338">
        <f t="shared" si="216"/>
        <v>1.0204211817802948</v>
      </c>
      <c r="F540" s="339">
        <f t="shared" si="217"/>
        <v>0.20039766165205311</v>
      </c>
      <c r="G540" s="338">
        <f t="shared" si="218"/>
        <v>1</v>
      </c>
      <c r="H540" s="339">
        <f t="shared" si="219"/>
        <v>0</v>
      </c>
      <c r="I540" s="337">
        <f t="shared" si="220"/>
        <v>1267619.7642813632</v>
      </c>
      <c r="J540" s="340">
        <f t="shared" si="221"/>
        <v>1.5707955379148018</v>
      </c>
      <c r="K540" s="348">
        <f t="shared" si="237"/>
        <v>125.56512655868877</v>
      </c>
      <c r="L540" s="349">
        <f t="shared" si="238"/>
        <v>1.5628322479254115</v>
      </c>
      <c r="M540" s="337">
        <f t="shared" si="222"/>
        <v>1.0396817882896336</v>
      </c>
      <c r="N540" s="340">
        <f t="shared" si="223"/>
        <v>0.27717335868318499</v>
      </c>
      <c r="O540" s="341">
        <f t="shared" si="224"/>
        <v>1.1552691464452942</v>
      </c>
      <c r="P540" s="342">
        <f t="shared" si="225"/>
        <v>0.6388594886595711</v>
      </c>
      <c r="Q540" s="343">
        <f t="shared" si="226"/>
        <v>-23.926428705052555</v>
      </c>
      <c r="R540" s="344">
        <f t="shared" si="227"/>
        <v>-130.81849138648872</v>
      </c>
      <c r="S540" s="346">
        <f t="shared" si="228"/>
        <v>49.181508613511284</v>
      </c>
      <c r="U540" s="319">
        <f t="shared" si="234"/>
        <v>80820.5</v>
      </c>
      <c r="V540" s="319">
        <f t="shared" si="235"/>
        <v>6531953220.25</v>
      </c>
      <c r="X540" s="345">
        <f t="shared" si="229"/>
        <v>17.286816402837147</v>
      </c>
      <c r="Y540" s="346">
        <f t="shared" si="230"/>
        <v>-16.337126572110979</v>
      </c>
      <c r="AA540" s="345">
        <f t="shared" si="231"/>
        <v>7.6607048767645551</v>
      </c>
      <c r="AB540" s="346">
        <f t="shared" si="232"/>
        <v>-114.48136481437776</v>
      </c>
      <c r="AD540">
        <f t="shared" si="236"/>
        <v>0</v>
      </c>
      <c r="AE540">
        <f t="shared" si="239"/>
        <v>0</v>
      </c>
    </row>
    <row r="541" spans="1:31" x14ac:dyDescent="0.2">
      <c r="A541" s="347">
        <v>81283</v>
      </c>
      <c r="B541" s="364">
        <f t="shared" si="233"/>
        <v>81.283000000000001</v>
      </c>
      <c r="C541" s="337">
        <f t="shared" si="214"/>
        <v>89.9477785495788</v>
      </c>
      <c r="D541" s="338">
        <f t="shared" si="215"/>
        <v>1.5596785358132632</v>
      </c>
      <c r="E541" s="338">
        <f t="shared" si="216"/>
        <v>1.020653201562731</v>
      </c>
      <c r="F541" s="339">
        <f t="shared" si="217"/>
        <v>0.20151373829442998</v>
      </c>
      <c r="G541" s="338">
        <f t="shared" si="218"/>
        <v>1</v>
      </c>
      <c r="H541" s="339">
        <f t="shared" si="219"/>
        <v>0</v>
      </c>
      <c r="I541" s="337">
        <f t="shared" si="220"/>
        <v>1274873.7919226147</v>
      </c>
      <c r="J541" s="340">
        <f t="shared" si="221"/>
        <v>1.5707955424035267</v>
      </c>
      <c r="K541" s="348">
        <f t="shared" si="237"/>
        <v>126.28363483523135</v>
      </c>
      <c r="L541" s="349">
        <f t="shared" si="238"/>
        <v>1.5628775616079302</v>
      </c>
      <c r="M541" s="337">
        <f t="shared" si="222"/>
        <v>1.0401284626278957</v>
      </c>
      <c r="N541" s="340">
        <f t="shared" si="223"/>
        <v>0.27867885527866393</v>
      </c>
      <c r="O541" s="341">
        <f t="shared" si="224"/>
        <v>1.1569567771554448</v>
      </c>
      <c r="P541" s="342">
        <f t="shared" si="225"/>
        <v>0.64202410410444488</v>
      </c>
      <c r="Q541" s="343">
        <f t="shared" si="226"/>
        <v>-23.990424826738884</v>
      </c>
      <c r="R541" s="344">
        <f t="shared" si="227"/>
        <v>-131.02317157049524</v>
      </c>
      <c r="S541" s="346">
        <f t="shared" si="228"/>
        <v>48.976828429504764</v>
      </c>
      <c r="U541" s="319">
        <f t="shared" si="234"/>
        <v>81283</v>
      </c>
      <c r="V541" s="319">
        <f t="shared" si="235"/>
        <v>6606926089</v>
      </c>
      <c r="X541" s="345">
        <f t="shared" si="229"/>
        <v>17.283082394387158</v>
      </c>
      <c r="Y541" s="346">
        <f t="shared" si="230"/>
        <v>-16.420789147621303</v>
      </c>
      <c r="AA541" s="345">
        <f t="shared" si="231"/>
        <v>7.6004427635282088</v>
      </c>
      <c r="AB541" s="346">
        <f t="shared" si="232"/>
        <v>-114.60238242287397</v>
      </c>
      <c r="AD541">
        <f t="shared" si="236"/>
        <v>0</v>
      </c>
      <c r="AE541">
        <f t="shared" si="239"/>
        <v>0</v>
      </c>
    </row>
    <row r="542" spans="1:31" x14ac:dyDescent="0.2">
      <c r="A542" s="347">
        <v>81756.25</v>
      </c>
      <c r="B542" s="364">
        <f t="shared" si="233"/>
        <v>81.756249999999994</v>
      </c>
      <c r="C542" s="337">
        <f t="shared" si="214"/>
        <v>90.471412520254333</v>
      </c>
      <c r="D542" s="338">
        <f t="shared" si="215"/>
        <v>1.5597428864260172</v>
      </c>
      <c r="E542" s="338">
        <f t="shared" si="216"/>
        <v>1.0208919296535233</v>
      </c>
      <c r="F542" s="339">
        <f t="shared" si="217"/>
        <v>0.20265522958781607</v>
      </c>
      <c r="G542" s="338">
        <f t="shared" si="218"/>
        <v>1</v>
      </c>
      <c r="H542" s="339">
        <f t="shared" si="219"/>
        <v>0</v>
      </c>
      <c r="I542" s="337">
        <f t="shared" si="220"/>
        <v>1282296.4266928253</v>
      </c>
      <c r="J542" s="340">
        <f t="shared" si="221"/>
        <v>1.570795546944014</v>
      </c>
      <c r="K542" s="348">
        <f t="shared" si="237"/>
        <v>127.01884383975849</v>
      </c>
      <c r="L542" s="349">
        <f t="shared" si="238"/>
        <v>1.5629233978628876</v>
      </c>
      <c r="M542" s="337">
        <f t="shared" si="222"/>
        <v>1.0405879573054886</v>
      </c>
      <c r="N542" s="340">
        <f t="shared" si="223"/>
        <v>0.2802180030289404</v>
      </c>
      <c r="O542" s="341">
        <f t="shared" si="224"/>
        <v>1.1586916610317197</v>
      </c>
      <c r="P542" s="342">
        <f t="shared" si="225"/>
        <v>0.64525525381117277</v>
      </c>
      <c r="Q542" s="343">
        <f t="shared" si="226"/>
        <v>-24.055666414731927</v>
      </c>
      <c r="R542" s="344">
        <f t="shared" si="227"/>
        <v>-131.23214790329334</v>
      </c>
      <c r="S542" s="346">
        <f t="shared" si="228"/>
        <v>48.767852096706662</v>
      </c>
      <c r="U542" s="319">
        <f t="shared" si="234"/>
        <v>81756.25</v>
      </c>
      <c r="V542" s="319">
        <f t="shared" si="235"/>
        <v>6684084414.0625</v>
      </c>
      <c r="X542" s="345">
        <f t="shared" si="229"/>
        <v>17.279242956600328</v>
      </c>
      <c r="Y542" s="346">
        <f t="shared" si="230"/>
        <v>-16.506349854049983</v>
      </c>
      <c r="AA542" s="345">
        <f t="shared" si="231"/>
        <v>7.5390406133219976</v>
      </c>
      <c r="AB542" s="346">
        <f t="shared" si="232"/>
        <v>-114.72579804924337</v>
      </c>
      <c r="AD542">
        <f t="shared" si="236"/>
        <v>0</v>
      </c>
      <c r="AE542">
        <f t="shared" si="239"/>
        <v>0</v>
      </c>
    </row>
    <row r="543" spans="1:31" x14ac:dyDescent="0.2">
      <c r="A543" s="347">
        <v>82229.5</v>
      </c>
      <c r="B543" s="364">
        <f t="shared" si="233"/>
        <v>82.229500000000002</v>
      </c>
      <c r="C543" s="337">
        <f t="shared" si="214"/>
        <v>90.995046861260334</v>
      </c>
      <c r="D543" s="338">
        <f t="shared" si="215"/>
        <v>1.5598064964231004</v>
      </c>
      <c r="E543" s="338">
        <f t="shared" si="216"/>
        <v>1.0211319873459312</v>
      </c>
      <c r="F543" s="339">
        <f t="shared" si="217"/>
        <v>0.20379618566141972</v>
      </c>
      <c r="G543" s="338">
        <f t="shared" si="218"/>
        <v>1</v>
      </c>
      <c r="H543" s="339">
        <f t="shared" si="219"/>
        <v>0</v>
      </c>
      <c r="I543" s="337">
        <f t="shared" si="220"/>
        <v>1289719.0614630354</v>
      </c>
      <c r="J543" s="340">
        <f t="shared" si="221"/>
        <v>1.5707955514322383</v>
      </c>
      <c r="K543" s="348">
        <f t="shared" si="237"/>
        <v>127.75405310807589</v>
      </c>
      <c r="L543" s="349">
        <f t="shared" si="238"/>
        <v>1.5629687065536289</v>
      </c>
      <c r="M543" s="337">
        <f t="shared" si="222"/>
        <v>1.0410499149312651</v>
      </c>
      <c r="N543" s="340">
        <f t="shared" si="223"/>
        <v>0.2817557884503431</v>
      </c>
      <c r="O543" s="341">
        <f t="shared" si="224"/>
        <v>1.1604346390862459</v>
      </c>
      <c r="P543" s="342">
        <f t="shared" si="225"/>
        <v>0.64847929899995116</v>
      </c>
      <c r="Q543" s="343">
        <f t="shared" si="226"/>
        <v>-24.120666143667371</v>
      </c>
      <c r="R543" s="344">
        <f t="shared" si="227"/>
        <v>-131.44065757739313</v>
      </c>
      <c r="S543" s="346">
        <f t="shared" si="228"/>
        <v>48.559342422606875</v>
      </c>
      <c r="U543" s="319">
        <f t="shared" si="234"/>
        <v>82229.5</v>
      </c>
      <c r="V543" s="319">
        <f t="shared" si="235"/>
        <v>6761690670.25</v>
      </c>
      <c r="X543" s="345">
        <f t="shared" si="229"/>
        <v>17.275384717187276</v>
      </c>
      <c r="Y543" s="346">
        <f t="shared" si="230"/>
        <v>-16.591862728992385</v>
      </c>
      <c r="AA543" s="345">
        <f t="shared" si="231"/>
        <v>7.4778991237996095</v>
      </c>
      <c r="AB543" s="346">
        <f t="shared" si="232"/>
        <v>-114.84879484840076</v>
      </c>
      <c r="AD543">
        <f t="shared" si="236"/>
        <v>0</v>
      </c>
      <c r="AE543">
        <f t="shared" si="239"/>
        <v>0</v>
      </c>
    </row>
    <row r="544" spans="1:31" x14ac:dyDescent="0.2">
      <c r="A544" s="347">
        <v>82702.75</v>
      </c>
      <c r="B544" s="364">
        <f t="shared" si="233"/>
        <v>82.702749999999995</v>
      </c>
      <c r="C544" s="337">
        <f t="shared" si="214"/>
        <v>91.518681566240119</v>
      </c>
      <c r="D544" s="338">
        <f t="shared" si="215"/>
        <v>1.5598693785165478</v>
      </c>
      <c r="E544" s="338">
        <f t="shared" si="216"/>
        <v>1.0213733737024491</v>
      </c>
      <c r="F544" s="339">
        <f t="shared" si="217"/>
        <v>0.20493660392312804</v>
      </c>
      <c r="G544" s="338">
        <f t="shared" si="218"/>
        <v>1</v>
      </c>
      <c r="H544" s="339">
        <f t="shared" si="219"/>
        <v>0</v>
      </c>
      <c r="I544" s="337">
        <f t="shared" si="220"/>
        <v>1297141.6962332458</v>
      </c>
      <c r="J544" s="340">
        <f t="shared" si="221"/>
        <v>1.5707955558690965</v>
      </c>
      <c r="K544" s="348">
        <f t="shared" si="237"/>
        <v>128.48926263565542</v>
      </c>
      <c r="L544" s="349">
        <f t="shared" si="238"/>
        <v>1.5630134967360592</v>
      </c>
      <c r="M544" s="337">
        <f t="shared" si="222"/>
        <v>1.0415143322279456</v>
      </c>
      <c r="N544" s="340">
        <f t="shared" si="223"/>
        <v>0.28329220608742645</v>
      </c>
      <c r="O544" s="341">
        <f t="shared" si="224"/>
        <v>1.1621856859796862</v>
      </c>
      <c r="P544" s="342">
        <f t="shared" si="225"/>
        <v>0.65169623781484398</v>
      </c>
      <c r="Q544" s="343">
        <f t="shared" si="226"/>
        <v>-24.185426911586291</v>
      </c>
      <c r="R544" s="344">
        <f t="shared" si="227"/>
        <v>-131.64870053193272</v>
      </c>
      <c r="S544" s="346">
        <f t="shared" si="228"/>
        <v>48.351299468067282</v>
      </c>
      <c r="U544" s="319">
        <f t="shared" si="234"/>
        <v>82702.75</v>
      </c>
      <c r="V544" s="319">
        <f t="shared" si="235"/>
        <v>6839744857.5625</v>
      </c>
      <c r="X544" s="345">
        <f t="shared" si="229"/>
        <v>17.271507728093351</v>
      </c>
      <c r="Y544" s="346">
        <f t="shared" si="230"/>
        <v>-16.677326941060766</v>
      </c>
      <c r="AA544" s="345">
        <f t="shared" si="231"/>
        <v>7.4170153449746143</v>
      </c>
      <c r="AB544" s="346">
        <f t="shared" si="232"/>
        <v>-114.97137359087196</v>
      </c>
      <c r="AD544">
        <f t="shared" si="236"/>
        <v>0</v>
      </c>
      <c r="AE544">
        <f t="shared" si="239"/>
        <v>0</v>
      </c>
    </row>
    <row r="545" spans="1:31" x14ac:dyDescent="0.2">
      <c r="A545" s="347">
        <v>83176</v>
      </c>
      <c r="B545" s="364">
        <f t="shared" si="233"/>
        <v>83.176000000000002</v>
      </c>
      <c r="C545" s="337">
        <f t="shared" si="214"/>
        <v>92.042316628981709</v>
      </c>
      <c r="D545" s="338">
        <f t="shared" si="215"/>
        <v>1.5599315451291393</v>
      </c>
      <c r="E545" s="338">
        <f t="shared" si="216"/>
        <v>1.0216160877812712</v>
      </c>
      <c r="F545" s="339">
        <f t="shared" si="217"/>
        <v>0.20607648178886698</v>
      </c>
      <c r="G545" s="338">
        <f t="shared" si="218"/>
        <v>1</v>
      </c>
      <c r="H545" s="339">
        <f t="shared" si="219"/>
        <v>0</v>
      </c>
      <c r="I545" s="337">
        <f t="shared" si="220"/>
        <v>1304564.3310034564</v>
      </c>
      <c r="J545" s="340">
        <f t="shared" si="221"/>
        <v>1.5707955602554655</v>
      </c>
      <c r="K545" s="348">
        <f t="shared" si="237"/>
        <v>129.22447241807188</v>
      </c>
      <c r="L545" s="349">
        <f t="shared" si="238"/>
        <v>1.5630577772600018</v>
      </c>
      <c r="M545" s="337">
        <f t="shared" si="222"/>
        <v>1.0419812059066604</v>
      </c>
      <c r="N545" s="340">
        <f t="shared" si="223"/>
        <v>0.28482725052027535</v>
      </c>
      <c r="O545" s="341">
        <f t="shared" si="224"/>
        <v>1.1639447764208724</v>
      </c>
      <c r="P545" s="342">
        <f t="shared" si="225"/>
        <v>0.65490606874646184</v>
      </c>
      <c r="Q545" s="343">
        <f t="shared" si="226"/>
        <v>-24.249951560916667</v>
      </c>
      <c r="R545" s="344">
        <f t="shared" si="227"/>
        <v>-131.85627672271426</v>
      </c>
      <c r="S545" s="346">
        <f t="shared" si="228"/>
        <v>48.143723277285744</v>
      </c>
      <c r="U545" s="319">
        <f t="shared" si="234"/>
        <v>83176</v>
      </c>
      <c r="V545" s="319">
        <f t="shared" si="235"/>
        <v>6918246976</v>
      </c>
      <c r="X545" s="345">
        <f t="shared" si="229"/>
        <v>17.267612041445663</v>
      </c>
      <c r="Y545" s="346">
        <f t="shared" si="230"/>
        <v>-16.762741672709549</v>
      </c>
      <c r="AA545" s="345">
        <f t="shared" si="231"/>
        <v>7.3563863822919275</v>
      </c>
      <c r="AB545" s="346">
        <f t="shared" si="232"/>
        <v>-115.09353505000469</v>
      </c>
      <c r="AD545">
        <f t="shared" si="236"/>
        <v>0</v>
      </c>
      <c r="AE545">
        <f t="shared" si="239"/>
        <v>0</v>
      </c>
    </row>
    <row r="546" spans="1:31" x14ac:dyDescent="0.2">
      <c r="A546" s="347">
        <v>83660.5</v>
      </c>
      <c r="B546" s="364">
        <f t="shared" si="233"/>
        <v>83.660499999999999</v>
      </c>
      <c r="C546" s="337">
        <f t="shared" si="214"/>
        <v>92.578399799175813</v>
      </c>
      <c r="D546" s="338">
        <f t="shared" si="215"/>
        <v>1.5599944610340786</v>
      </c>
      <c r="E546" s="338">
        <f t="shared" si="216"/>
        <v>1.021865946061473</v>
      </c>
      <c r="F546" s="339">
        <f t="shared" si="217"/>
        <v>0.20724289408516303</v>
      </c>
      <c r="G546" s="338">
        <f t="shared" si="218"/>
        <v>1</v>
      </c>
      <c r="H546" s="339">
        <f t="shared" si="219"/>
        <v>0</v>
      </c>
      <c r="I546" s="337">
        <f t="shared" si="220"/>
        <v>1312163.4150946701</v>
      </c>
      <c r="J546" s="340">
        <f t="shared" si="221"/>
        <v>1.5707955646946974</v>
      </c>
      <c r="K546" s="348">
        <f t="shared" si="237"/>
        <v>129.97715971311663</v>
      </c>
      <c r="L546" s="349">
        <f t="shared" si="238"/>
        <v>1.5631025914657879</v>
      </c>
      <c r="M546" s="337">
        <f t="shared" si="222"/>
        <v>1.0424617192276449</v>
      </c>
      <c r="N546" s="340">
        <f t="shared" si="223"/>
        <v>0.28639735752890799</v>
      </c>
      <c r="O546" s="341">
        <f t="shared" si="224"/>
        <v>1.1657539898710925</v>
      </c>
      <c r="P546" s="342">
        <f t="shared" si="225"/>
        <v>0.65818483854920495</v>
      </c>
      <c r="Q546" s="343">
        <f t="shared" si="226"/>
        <v>-24.315768382862984</v>
      </c>
      <c r="R546" s="344">
        <f t="shared" si="227"/>
        <v>-132.06830380319002</v>
      </c>
      <c r="S546" s="346">
        <f t="shared" si="228"/>
        <v>47.93169619680998</v>
      </c>
      <c r="U546" s="319">
        <f t="shared" si="234"/>
        <v>83660.5</v>
      </c>
      <c r="V546" s="319">
        <f t="shared" si="235"/>
        <v>6999079260.25</v>
      </c>
      <c r="X546" s="345">
        <f t="shared" si="229"/>
        <v>17.26360443241753</v>
      </c>
      <c r="Y546" s="346">
        <f t="shared" si="230"/>
        <v>-16.85013476728345</v>
      </c>
      <c r="AA546" s="345">
        <f t="shared" si="231"/>
        <v>7.294577169373742</v>
      </c>
      <c r="AB546" s="346">
        <f t="shared" si="232"/>
        <v>-115.21816903590656</v>
      </c>
      <c r="AD546">
        <f t="shared" si="236"/>
        <v>0</v>
      </c>
      <c r="AE546">
        <f t="shared" si="239"/>
        <v>0</v>
      </c>
    </row>
    <row r="547" spans="1:31" x14ac:dyDescent="0.2">
      <c r="A547" s="347">
        <v>84145</v>
      </c>
      <c r="B547" s="364">
        <f t="shared" si="233"/>
        <v>84.144999999999996</v>
      </c>
      <c r="C547" s="337">
        <f t="shared" si="214"/>
        <v>93.114483331613656</v>
      </c>
      <c r="D547" s="338">
        <f t="shared" si="215"/>
        <v>1.56005665249384</v>
      </c>
      <c r="E547" s="338">
        <f t="shared" si="216"/>
        <v>1.0221171939275158</v>
      </c>
      <c r="F547" s="339">
        <f t="shared" si="217"/>
        <v>0.20840873453251743</v>
      </c>
      <c r="G547" s="338">
        <f t="shared" si="218"/>
        <v>1</v>
      </c>
      <c r="H547" s="339">
        <f t="shared" si="219"/>
        <v>0</v>
      </c>
      <c r="I547" s="337">
        <f t="shared" si="220"/>
        <v>1319762.4991858839</v>
      </c>
      <c r="J547" s="340">
        <f t="shared" si="221"/>
        <v>1.5707955690828077</v>
      </c>
      <c r="K547" s="348">
        <f t="shared" si="237"/>
        <v>130.72984726619038</v>
      </c>
      <c r="L547" s="349">
        <f t="shared" si="238"/>
        <v>1.5631468896289127</v>
      </c>
      <c r="M547" s="337">
        <f t="shared" si="222"/>
        <v>1.0429448000910537</v>
      </c>
      <c r="N547" s="340">
        <f t="shared" si="223"/>
        <v>0.28796601388816412</v>
      </c>
      <c r="O547" s="341">
        <f t="shared" si="224"/>
        <v>1.1675715803482218</v>
      </c>
      <c r="P547" s="342">
        <f t="shared" si="225"/>
        <v>0.66145615641258937</v>
      </c>
      <c r="Q547" s="343">
        <f t="shared" si="226"/>
        <v>-24.381343583101852</v>
      </c>
      <c r="R547" s="344">
        <f t="shared" si="227"/>
        <v>-132.27984162392113</v>
      </c>
      <c r="S547" s="346">
        <f t="shared" si="228"/>
        <v>47.720158376078871</v>
      </c>
      <c r="U547" s="319">
        <f t="shared" si="234"/>
        <v>84145</v>
      </c>
      <c r="V547" s="319">
        <f t="shared" si="235"/>
        <v>7080381025</v>
      </c>
      <c r="X547" s="345">
        <f t="shared" si="229"/>
        <v>17.259577337458779</v>
      </c>
      <c r="Y547" s="346">
        <f t="shared" si="230"/>
        <v>-16.937474309907952</v>
      </c>
      <c r="AA547" s="345">
        <f t="shared" si="231"/>
        <v>7.2330290640936221</v>
      </c>
      <c r="AB547" s="346">
        <f t="shared" si="232"/>
        <v>-115.34236731401322</v>
      </c>
      <c r="AD547">
        <f t="shared" si="236"/>
        <v>0</v>
      </c>
      <c r="AE547">
        <f t="shared" si="239"/>
        <v>0</v>
      </c>
    </row>
    <row r="548" spans="1:31" x14ac:dyDescent="0.2">
      <c r="A548" s="347">
        <v>84629.5</v>
      </c>
      <c r="B548" s="364">
        <f t="shared" si="233"/>
        <v>84.629499999999993</v>
      </c>
      <c r="C548" s="337">
        <f t="shared" si="214"/>
        <v>93.65056722007445</v>
      </c>
      <c r="D548" s="338">
        <f t="shared" si="215"/>
        <v>1.5601181319487618</v>
      </c>
      <c r="E548" s="338">
        <f t="shared" si="216"/>
        <v>1.0223698303549258</v>
      </c>
      <c r="F548" s="339">
        <f t="shared" si="217"/>
        <v>0.2095740003845164</v>
      </c>
      <c r="G548" s="338">
        <f t="shared" si="218"/>
        <v>1</v>
      </c>
      <c r="H548" s="339">
        <f t="shared" si="219"/>
        <v>0</v>
      </c>
      <c r="I548" s="337">
        <f t="shared" si="220"/>
        <v>1327361.5832770979</v>
      </c>
      <c r="J548" s="340">
        <f t="shared" si="221"/>
        <v>1.5707955734206747</v>
      </c>
      <c r="K548" s="348">
        <f t="shared" si="237"/>
        <v>131.48253507286174</v>
      </c>
      <c r="L548" s="349">
        <f t="shared" si="238"/>
        <v>1.5631906806116485</v>
      </c>
      <c r="M548" s="337">
        <f t="shared" si="222"/>
        <v>1.043430444930773</v>
      </c>
      <c r="N548" s="340">
        <f t="shared" si="223"/>
        <v>0.28953321389832998</v>
      </c>
      <c r="O548" s="341">
        <f t="shared" si="224"/>
        <v>1.1693975208801439</v>
      </c>
      <c r="P548" s="342">
        <f t="shared" si="225"/>
        <v>0.66472002182082357</v>
      </c>
      <c r="Q548" s="343">
        <f t="shared" si="226"/>
        <v>-24.446680038987445</v>
      </c>
      <c r="R548" s="344">
        <f t="shared" si="227"/>
        <v>-132.49089019120171</v>
      </c>
      <c r="S548" s="346">
        <f t="shared" si="228"/>
        <v>47.509109808798286</v>
      </c>
      <c r="U548" s="319">
        <f t="shared" si="234"/>
        <v>84629.5</v>
      </c>
      <c r="V548" s="319">
        <f t="shared" si="235"/>
        <v>7162152270.25</v>
      </c>
      <c r="X548" s="345">
        <f t="shared" si="229"/>
        <v>17.255530813073296</v>
      </c>
      <c r="Y548" s="346">
        <f t="shared" si="230"/>
        <v>-17.02475946629303</v>
      </c>
      <c r="AA548" s="345">
        <f t="shared" si="231"/>
        <v>7.1717391325935118</v>
      </c>
      <c r="AB548" s="346">
        <f t="shared" si="232"/>
        <v>-115.46613072490872</v>
      </c>
      <c r="AD548">
        <f t="shared" si="236"/>
        <v>0</v>
      </c>
      <c r="AE548">
        <f t="shared" si="239"/>
        <v>0</v>
      </c>
    </row>
    <row r="549" spans="1:31" x14ac:dyDescent="0.2">
      <c r="A549" s="347">
        <v>85114</v>
      </c>
      <c r="B549" s="364">
        <f t="shared" si="233"/>
        <v>85.114000000000004</v>
      </c>
      <c r="C549" s="337">
        <f t="shared" si="214"/>
        <v>94.186651458479048</v>
      </c>
      <c r="D549" s="338">
        <f t="shared" si="215"/>
        <v>1.5601789115559761</v>
      </c>
      <c r="E549" s="338">
        <f t="shared" si="216"/>
        <v>1.022623854314582</v>
      </c>
      <c r="F549" s="339">
        <f t="shared" si="217"/>
        <v>0.21073868890369438</v>
      </c>
      <c r="G549" s="338">
        <f t="shared" si="218"/>
        <v>1</v>
      </c>
      <c r="H549" s="339">
        <f t="shared" si="219"/>
        <v>0</v>
      </c>
      <c r="I549" s="337">
        <f t="shared" si="220"/>
        <v>1334960.6673683119</v>
      </c>
      <c r="J549" s="340">
        <f t="shared" si="221"/>
        <v>1.5707955777091562</v>
      </c>
      <c r="K549" s="348">
        <f t="shared" si="237"/>
        <v>132.23522312880024</v>
      </c>
      <c r="L549" s="349">
        <f t="shared" si="238"/>
        <v>1.5632339730744975</v>
      </c>
      <c r="M549" s="337">
        <f t="shared" si="222"/>
        <v>1.043918650168415</v>
      </c>
      <c r="N549" s="340">
        <f t="shared" si="223"/>
        <v>0.29109895189888552</v>
      </c>
      <c r="O549" s="341">
        <f t="shared" si="224"/>
        <v>1.1712317845536635</v>
      </c>
      <c r="P549" s="342">
        <f t="shared" si="225"/>
        <v>0.66797643462191059</v>
      </c>
      <c r="Q549" s="343">
        <f t="shared" si="226"/>
        <v>-24.511780572398276</v>
      </c>
      <c r="R549" s="344">
        <f t="shared" si="227"/>
        <v>-132.70144952923562</v>
      </c>
      <c r="S549" s="346">
        <f t="shared" si="228"/>
        <v>47.298550470764383</v>
      </c>
      <c r="U549" s="319">
        <f t="shared" si="234"/>
        <v>85114</v>
      </c>
      <c r="V549" s="319">
        <f t="shared" si="235"/>
        <v>7244392996</v>
      </c>
      <c r="X549" s="345">
        <f t="shared" si="229"/>
        <v>17.251464915950077</v>
      </c>
      <c r="Y549" s="346">
        <f t="shared" si="230"/>
        <v>-17.111989415953708</v>
      </c>
      <c r="AA549" s="345">
        <f t="shared" si="231"/>
        <v>7.1107044963059041</v>
      </c>
      <c r="AB549" s="346">
        <f t="shared" si="232"/>
        <v>-115.58946011328189</v>
      </c>
      <c r="AD549">
        <f t="shared" si="236"/>
        <v>0</v>
      </c>
      <c r="AE549">
        <f t="shared" si="239"/>
        <v>0</v>
      </c>
    </row>
    <row r="550" spans="1:31" x14ac:dyDescent="0.2">
      <c r="A550" s="347">
        <v>85609.5</v>
      </c>
      <c r="B550" s="364">
        <f t="shared" si="233"/>
        <v>85.609499999999997</v>
      </c>
      <c r="C550" s="337">
        <f t="shared" si="214"/>
        <v>94.734907211823568</v>
      </c>
      <c r="D550" s="338">
        <f t="shared" si="215"/>
        <v>1.560240359611516</v>
      </c>
      <c r="E550" s="338">
        <f t="shared" si="216"/>
        <v>1.0228850796540188</v>
      </c>
      <c r="F550" s="339">
        <f t="shared" si="217"/>
        <v>0.21192922031294481</v>
      </c>
      <c r="G550" s="338">
        <f t="shared" si="218"/>
        <v>1</v>
      </c>
      <c r="H550" s="339">
        <f t="shared" si="219"/>
        <v>0</v>
      </c>
      <c r="I550" s="337">
        <f t="shared" si="220"/>
        <v>1342732.2796845068</v>
      </c>
      <c r="J550" s="340">
        <f t="shared" si="221"/>
        <v>1.5707955820447963</v>
      </c>
      <c r="K550" s="348">
        <f t="shared" si="237"/>
        <v>133.00500033105976</v>
      </c>
      <c r="L550" s="349">
        <f t="shared" si="238"/>
        <v>1.5632777416357408</v>
      </c>
      <c r="M550" s="337">
        <f t="shared" si="222"/>
        <v>1.0444205840412064</v>
      </c>
      <c r="N550" s="340">
        <f t="shared" si="223"/>
        <v>0.2926987200964567</v>
      </c>
      <c r="O550" s="341">
        <f t="shared" si="224"/>
        <v>1.1731162737697827</v>
      </c>
      <c r="P550" s="342">
        <f t="shared" si="225"/>
        <v>0.67129907231426822</v>
      </c>
      <c r="Q550" s="343">
        <f t="shared" si="226"/>
        <v>-24.578118002749967</v>
      </c>
      <c r="R550" s="344">
        <f t="shared" si="227"/>
        <v>-132.91628339571753</v>
      </c>
      <c r="S550" s="346">
        <f t="shared" si="228"/>
        <v>47.083716604282472</v>
      </c>
      <c r="U550" s="319">
        <f t="shared" si="234"/>
        <v>85609.5</v>
      </c>
      <c r="V550" s="319">
        <f t="shared" si="235"/>
        <v>7328986490.25</v>
      </c>
      <c r="X550" s="345">
        <f t="shared" si="229"/>
        <v>17.247286729221891</v>
      </c>
      <c r="Y550" s="346">
        <f t="shared" si="230"/>
        <v>-17.201141876554939</v>
      </c>
      <c r="AA550" s="345">
        <f t="shared" si="231"/>
        <v>7.0485452526823966</v>
      </c>
      <c r="AB550" s="346">
        <f t="shared" si="232"/>
        <v>-115.7151415191626</v>
      </c>
      <c r="AD550">
        <f t="shared" si="236"/>
        <v>0</v>
      </c>
      <c r="AE550">
        <f t="shared" si="239"/>
        <v>0</v>
      </c>
    </row>
    <row r="551" spans="1:31" x14ac:dyDescent="0.2">
      <c r="A551" s="347">
        <v>86105</v>
      </c>
      <c r="B551" s="364">
        <f t="shared" si="233"/>
        <v>86.105000000000004</v>
      </c>
      <c r="C551" s="337">
        <f t="shared" si="214"/>
        <v>95.283163318757715</v>
      </c>
      <c r="D551" s="338">
        <f t="shared" si="215"/>
        <v>1.5603011005272063</v>
      </c>
      <c r="E551" s="338">
        <f t="shared" si="216"/>
        <v>1.0231477540534921</v>
      </c>
      <c r="F551" s="339">
        <f t="shared" si="217"/>
        <v>0.2131191421138699</v>
      </c>
      <c r="G551" s="338">
        <f t="shared" si="218"/>
        <v>1</v>
      </c>
      <c r="H551" s="339">
        <f t="shared" si="219"/>
        <v>0</v>
      </c>
      <c r="I551" s="337">
        <f t="shared" si="220"/>
        <v>1350503.892000702</v>
      </c>
      <c r="J551" s="340">
        <f t="shared" si="221"/>
        <v>1.5707955863305367</v>
      </c>
      <c r="K551" s="348">
        <f t="shared" si="237"/>
        <v>133.77477778518295</v>
      </c>
      <c r="L551" s="349">
        <f t="shared" si="238"/>
        <v>1.563321006484002</v>
      </c>
      <c r="M551" s="337">
        <f t="shared" si="222"/>
        <v>1.0449251882841271</v>
      </c>
      <c r="N551" s="340">
        <f t="shared" si="223"/>
        <v>0.29429694729467509</v>
      </c>
      <c r="O551" s="341">
        <f t="shared" si="224"/>
        <v>1.17500941160946</v>
      </c>
      <c r="P551" s="342">
        <f t="shared" si="225"/>
        <v>0.67461391597737974</v>
      </c>
      <c r="Q551" s="343">
        <f t="shared" si="226"/>
        <v>-24.644214474323192</v>
      </c>
      <c r="R551" s="344">
        <f t="shared" si="227"/>
        <v>-133.13060567408272</v>
      </c>
      <c r="S551" s="346">
        <f t="shared" si="228"/>
        <v>46.869394325917284</v>
      </c>
      <c r="U551" s="319">
        <f t="shared" si="234"/>
        <v>86105</v>
      </c>
      <c r="V551" s="319">
        <f t="shared" si="235"/>
        <v>7414071025</v>
      </c>
      <c r="X551" s="345">
        <f t="shared" si="229"/>
        <v>17.243088400608048</v>
      </c>
      <c r="Y551" s="346">
        <f t="shared" si="230"/>
        <v>-17.290234902165867</v>
      </c>
      <c r="AA551" s="345">
        <f t="shared" si="231"/>
        <v>6.9866471097230125</v>
      </c>
      <c r="AB551" s="346">
        <f t="shared" si="232"/>
        <v>-115.84037077191688</v>
      </c>
      <c r="AD551">
        <f t="shared" si="236"/>
        <v>0</v>
      </c>
      <c r="AE551">
        <f t="shared" si="239"/>
        <v>0</v>
      </c>
    </row>
    <row r="552" spans="1:31" x14ac:dyDescent="0.2">
      <c r="A552" s="347">
        <v>86600.5</v>
      </c>
      <c r="B552" s="364">
        <f t="shared" si="233"/>
        <v>86.600499999999997</v>
      </c>
      <c r="C552" s="337">
        <f t="shared" si="214"/>
        <v>95.831419773212787</v>
      </c>
      <c r="D552" s="338">
        <f t="shared" si="215"/>
        <v>1.5603611464393448</v>
      </c>
      <c r="E552" s="338">
        <f t="shared" si="216"/>
        <v>1.0234118763972317</v>
      </c>
      <c r="F552" s="339">
        <f t="shared" si="217"/>
        <v>0.2143084514075147</v>
      </c>
      <c r="G552" s="338">
        <f t="shared" si="218"/>
        <v>1</v>
      </c>
      <c r="H552" s="339">
        <f t="shared" si="219"/>
        <v>0</v>
      </c>
      <c r="I552" s="337">
        <f t="shared" si="220"/>
        <v>1358275.5043168971</v>
      </c>
      <c r="J552" s="340">
        <f t="shared" si="221"/>
        <v>1.5707955905672337</v>
      </c>
      <c r="K552" s="348">
        <f t="shared" si="237"/>
        <v>134.54455548684672</v>
      </c>
      <c r="L552" s="349">
        <f t="shared" si="238"/>
        <v>1.5633637762648853</v>
      </c>
      <c r="M552" s="337">
        <f t="shared" si="222"/>
        <v>1.0454324590304134</v>
      </c>
      <c r="N552" s="340">
        <f t="shared" si="223"/>
        <v>0.29589362756607873</v>
      </c>
      <c r="O552" s="341">
        <f t="shared" si="224"/>
        <v>1.1769111694851069</v>
      </c>
      <c r="P552" s="342">
        <f t="shared" si="225"/>
        <v>0.67792096660134826</v>
      </c>
      <c r="Q552" s="343">
        <f t="shared" si="226"/>
        <v>-24.710072834049917</v>
      </c>
      <c r="R552" s="344">
        <f t="shared" si="227"/>
        <v>-133.34441644759033</v>
      </c>
      <c r="S552" s="346">
        <f t="shared" si="228"/>
        <v>46.655583552409666</v>
      </c>
      <c r="U552" s="319">
        <f t="shared" si="234"/>
        <v>86600.5</v>
      </c>
      <c r="V552" s="319">
        <f t="shared" si="235"/>
        <v>7499646600.25</v>
      </c>
      <c r="X552" s="345">
        <f t="shared" si="229"/>
        <v>17.238869991324769</v>
      </c>
      <c r="Y552" s="346">
        <f t="shared" si="230"/>
        <v>-17.379267657860371</v>
      </c>
      <c r="AA552" s="345">
        <f t="shared" si="231"/>
        <v>6.9250071592795681</v>
      </c>
      <c r="AB552" s="346">
        <f t="shared" si="232"/>
        <v>-115.96514878972997</v>
      </c>
      <c r="AD552">
        <f t="shared" si="236"/>
        <v>0</v>
      </c>
      <c r="AE552">
        <f t="shared" si="239"/>
        <v>0</v>
      </c>
    </row>
    <row r="553" spans="1:31" x14ac:dyDescent="0.2">
      <c r="A553" s="347">
        <v>87096</v>
      </c>
      <c r="B553" s="364">
        <f t="shared" si="233"/>
        <v>87.096000000000004</v>
      </c>
      <c r="C553" s="337">
        <f t="shared" si="214"/>
        <v>96.379676569258152</v>
      </c>
      <c r="D553" s="338">
        <f t="shared" si="215"/>
        <v>1.5604205092080994</v>
      </c>
      <c r="E553" s="338">
        <f t="shared" si="216"/>
        <v>1.0236774455644706</v>
      </c>
      <c r="F553" s="339">
        <f t="shared" si="217"/>
        <v>0.21549714530483882</v>
      </c>
      <c r="G553" s="338">
        <f t="shared" si="218"/>
        <v>1</v>
      </c>
      <c r="H553" s="339">
        <f t="shared" si="219"/>
        <v>0</v>
      </c>
      <c r="I553" s="337">
        <f t="shared" si="220"/>
        <v>1366047.1166330923</v>
      </c>
      <c r="J553" s="340">
        <f t="shared" si="221"/>
        <v>1.5707955947557248</v>
      </c>
      <c r="K553" s="348">
        <f t="shared" si="237"/>
        <v>135.31433343182644</v>
      </c>
      <c r="L553" s="349">
        <f t="shared" si="238"/>
        <v>1.5634060594272705</v>
      </c>
      <c r="M553" s="337">
        <f t="shared" si="222"/>
        <v>1.0459423924003894</v>
      </c>
      <c r="N553" s="340">
        <f t="shared" si="223"/>
        <v>0.29748875502622391</v>
      </c>
      <c r="O553" s="341">
        <f t="shared" si="224"/>
        <v>1.1788215188798505</v>
      </c>
      <c r="P553" s="342">
        <f t="shared" si="225"/>
        <v>0.68122022555536421</v>
      </c>
      <c r="Q553" s="343">
        <f t="shared" si="226"/>
        <v>-24.775695873778751</v>
      </c>
      <c r="R553" s="344">
        <f t="shared" si="227"/>
        <v>-133.55771581856567</v>
      </c>
      <c r="S553" s="346">
        <f t="shared" si="228"/>
        <v>46.442284181434331</v>
      </c>
      <c r="U553" s="319">
        <f t="shared" si="234"/>
        <v>87096</v>
      </c>
      <c r="V553" s="319">
        <f t="shared" si="235"/>
        <v>7585713216</v>
      </c>
      <c r="X553" s="345">
        <f t="shared" si="229"/>
        <v>17.234631562775395</v>
      </c>
      <c r="Y553" s="346">
        <f t="shared" si="230"/>
        <v>-17.468239322447513</v>
      </c>
      <c r="AA553" s="345">
        <f t="shared" si="231"/>
        <v>6.8636225481001105</v>
      </c>
      <c r="AB553" s="346">
        <f t="shared" si="232"/>
        <v>-116.08947649611811</v>
      </c>
      <c r="AD553">
        <f t="shared" si="236"/>
        <v>0</v>
      </c>
      <c r="AE553">
        <f t="shared" si="239"/>
        <v>0</v>
      </c>
    </row>
    <row r="554" spans="1:31" x14ac:dyDescent="0.2">
      <c r="A554" s="347">
        <v>87603.25</v>
      </c>
      <c r="B554" s="364">
        <f t="shared" si="233"/>
        <v>87.603250000000003</v>
      </c>
      <c r="C554" s="337">
        <f t="shared" si="214"/>
        <v>96.940934757193347</v>
      </c>
      <c r="D554" s="338">
        <f t="shared" si="215"/>
        <v>1.5604805841369298</v>
      </c>
      <c r="E554" s="338">
        <f t="shared" si="216"/>
        <v>1.023950809803768</v>
      </c>
      <c r="F554" s="339">
        <f t="shared" si="217"/>
        <v>0.21671338673583576</v>
      </c>
      <c r="G554" s="338">
        <f t="shared" si="218"/>
        <v>1</v>
      </c>
      <c r="H554" s="339">
        <f t="shared" si="219"/>
        <v>0</v>
      </c>
      <c r="I554" s="337">
        <f t="shared" si="220"/>
        <v>1374003.0204623356</v>
      </c>
      <c r="J554" s="340">
        <f t="shared" si="221"/>
        <v>1.5707955989944586</v>
      </c>
      <c r="K554" s="348">
        <f t="shared" si="237"/>
        <v>136.10236569285695</v>
      </c>
      <c r="L554" s="349">
        <f t="shared" si="238"/>
        <v>1.5634488498239008</v>
      </c>
      <c r="M554" s="337">
        <f t="shared" si="222"/>
        <v>1.0464671720531793</v>
      </c>
      <c r="N554" s="340">
        <f t="shared" si="223"/>
        <v>0.29912009383510929</v>
      </c>
      <c r="O554" s="341">
        <f t="shared" si="224"/>
        <v>1.1807860390329479</v>
      </c>
      <c r="P554" s="342">
        <f t="shared" si="225"/>
        <v>0.68458965203642808</v>
      </c>
      <c r="Q554" s="343">
        <f t="shared" si="226"/>
        <v>-24.842634162077562</v>
      </c>
      <c r="R554" s="344">
        <f t="shared" si="227"/>
        <v>-133.77554363700651</v>
      </c>
      <c r="S554" s="346">
        <f t="shared" si="228"/>
        <v>46.224456362993493</v>
      </c>
      <c r="U554" s="319">
        <f t="shared" si="234"/>
        <v>87603.25</v>
      </c>
      <c r="V554" s="319">
        <f t="shared" si="235"/>
        <v>7674329410.5625</v>
      </c>
      <c r="X554" s="345">
        <f t="shared" si="229"/>
        <v>17.230271953903681</v>
      </c>
      <c r="Y554" s="346">
        <f t="shared" si="230"/>
        <v>-17.559256684987496</v>
      </c>
      <c r="AA554" s="345">
        <f t="shared" si="231"/>
        <v>6.801043868673017</v>
      </c>
      <c r="AB554" s="346">
        <f t="shared" si="232"/>
        <v>-116.21628695201905</v>
      </c>
      <c r="AD554">
        <f t="shared" si="236"/>
        <v>0</v>
      </c>
      <c r="AE554">
        <f t="shared" si="239"/>
        <v>0</v>
      </c>
    </row>
    <row r="555" spans="1:31" x14ac:dyDescent="0.2">
      <c r="A555" s="347">
        <v>88110.5</v>
      </c>
      <c r="B555" s="364">
        <f t="shared" si="233"/>
        <v>88.110500000000002</v>
      </c>
      <c r="C555" s="337">
        <f t="shared" si="214"/>
        <v>97.502193290960264</v>
      </c>
      <c r="D555" s="338">
        <f t="shared" si="215"/>
        <v>1.5605399674391416</v>
      </c>
      <c r="E555" s="338">
        <f t="shared" si="216"/>
        <v>1.0242256879055227</v>
      </c>
      <c r="F555" s="339">
        <f t="shared" si="217"/>
        <v>0.217928977142956</v>
      </c>
      <c r="G555" s="338">
        <f t="shared" si="218"/>
        <v>1</v>
      </c>
      <c r="H555" s="339">
        <f t="shared" si="219"/>
        <v>0</v>
      </c>
      <c r="I555" s="337">
        <f t="shared" si="220"/>
        <v>1381958.9242915788</v>
      </c>
      <c r="J555" s="340">
        <f t="shared" si="221"/>
        <v>1.5707956031843882</v>
      </c>
      <c r="K555" s="348">
        <f t="shared" si="237"/>
        <v>136.89039820022413</v>
      </c>
      <c r="L555" s="349">
        <f t="shared" si="238"/>
        <v>1.5634911475604361</v>
      </c>
      <c r="M555" s="337">
        <f t="shared" si="222"/>
        <v>1.0469947338377281</v>
      </c>
      <c r="N555" s="340">
        <f t="shared" si="223"/>
        <v>0.3007497929729514</v>
      </c>
      <c r="O555" s="341">
        <f t="shared" si="224"/>
        <v>1.1827595027590794</v>
      </c>
      <c r="P555" s="342">
        <f t="shared" si="225"/>
        <v>0.68795091703215971</v>
      </c>
      <c r="Q555" s="343">
        <f t="shared" si="226"/>
        <v>-24.909331587397816</v>
      </c>
      <c r="R555" s="344">
        <f t="shared" si="227"/>
        <v>-133.99283578873434</v>
      </c>
      <c r="S555" s="346">
        <f t="shared" si="228"/>
        <v>46.00716421126566</v>
      </c>
      <c r="U555" s="319">
        <f t="shared" si="234"/>
        <v>88110.5</v>
      </c>
      <c r="V555" s="319">
        <f t="shared" si="235"/>
        <v>7763460210.25</v>
      </c>
      <c r="X555" s="345">
        <f t="shared" si="229"/>
        <v>17.225891495868506</v>
      </c>
      <c r="Y555" s="346">
        <f t="shared" si="230"/>
        <v>-17.650208325844737</v>
      </c>
      <c r="AA555" s="345">
        <f t="shared" si="231"/>
        <v>6.738726901387933</v>
      </c>
      <c r="AB555" s="346">
        <f t="shared" si="232"/>
        <v>-116.34262746288961</v>
      </c>
      <c r="AD555">
        <f t="shared" si="236"/>
        <v>0</v>
      </c>
      <c r="AE555">
        <f t="shared" si="239"/>
        <v>0</v>
      </c>
    </row>
    <row r="556" spans="1:31" x14ac:dyDescent="0.2">
      <c r="A556" s="347">
        <v>88617.75</v>
      </c>
      <c r="B556" s="364">
        <f t="shared" si="233"/>
        <v>88.617750000000001</v>
      </c>
      <c r="C556" s="337">
        <f t="shared" si="214"/>
        <v>98.06345216462087</v>
      </c>
      <c r="D556" s="338">
        <f t="shared" si="215"/>
        <v>1.560598670989733</v>
      </c>
      <c r="E556" s="338">
        <f t="shared" si="216"/>
        <v>1.0245020786512085</v>
      </c>
      <c r="F556" s="339">
        <f t="shared" si="217"/>
        <v>0.21914391345920964</v>
      </c>
      <c r="G556" s="338">
        <f t="shared" si="218"/>
        <v>1</v>
      </c>
      <c r="H556" s="339">
        <f t="shared" si="219"/>
        <v>0</v>
      </c>
      <c r="I556" s="337">
        <f t="shared" si="220"/>
        <v>1389914.8281208221</v>
      </c>
      <c r="J556" s="340">
        <f t="shared" si="221"/>
        <v>1.5707956073263509</v>
      </c>
      <c r="K556" s="348">
        <f t="shared" si="237"/>
        <v>137.67843094969817</v>
      </c>
      <c r="L556" s="349">
        <f t="shared" si="238"/>
        <v>1.5635329610962683</v>
      </c>
      <c r="M556" s="337">
        <f t="shared" si="222"/>
        <v>1.0475250735505663</v>
      </c>
      <c r="N556" s="340">
        <f t="shared" si="223"/>
        <v>0.30237784626696046</v>
      </c>
      <c r="O556" s="341">
        <f t="shared" si="224"/>
        <v>1.1847418797042817</v>
      </c>
      <c r="P556" s="342">
        <f t="shared" si="225"/>
        <v>0.69130402321475903</v>
      </c>
      <c r="Q556" s="343">
        <f t="shared" si="226"/>
        <v>-24.975790974064523</v>
      </c>
      <c r="R556" s="344">
        <f t="shared" si="227"/>
        <v>-134.2095924446534</v>
      </c>
      <c r="S556" s="346">
        <f t="shared" si="228"/>
        <v>45.790407555346604</v>
      </c>
      <c r="U556" s="319">
        <f t="shared" si="234"/>
        <v>88617.75</v>
      </c>
      <c r="V556" s="319">
        <f t="shared" si="235"/>
        <v>7853105615.0625</v>
      </c>
      <c r="X556" s="345">
        <f t="shared" si="229"/>
        <v>17.221490255130668</v>
      </c>
      <c r="Y556" s="346">
        <f t="shared" si="230"/>
        <v>-17.741093406704955</v>
      </c>
      <c r="AA556" s="345">
        <f t="shared" si="231"/>
        <v>6.6766687554590618</v>
      </c>
      <c r="AB556" s="346">
        <f t="shared" si="232"/>
        <v>-116.46849903794842</v>
      </c>
      <c r="AD556">
        <f t="shared" si="236"/>
        <v>0</v>
      </c>
      <c r="AE556">
        <f t="shared" si="239"/>
        <v>0</v>
      </c>
    </row>
    <row r="557" spans="1:31" x14ac:dyDescent="0.2">
      <c r="A557" s="347">
        <v>89125</v>
      </c>
      <c r="B557" s="364">
        <f t="shared" si="233"/>
        <v>89.125</v>
      </c>
      <c r="C557" s="337">
        <f t="shared" si="214"/>
        <v>98.624711372372303</v>
      </c>
      <c r="D557" s="338">
        <f t="shared" si="215"/>
        <v>1.5606567063934051</v>
      </c>
      <c r="E557" s="338">
        <f t="shared" si="216"/>
        <v>1.0247799808169116</v>
      </c>
      <c r="F557" s="339">
        <f t="shared" si="217"/>
        <v>0.22035819262863018</v>
      </c>
      <c r="G557" s="338">
        <f t="shared" si="218"/>
        <v>1</v>
      </c>
      <c r="H557" s="339">
        <f t="shared" si="219"/>
        <v>0</v>
      </c>
      <c r="I557" s="337">
        <f t="shared" si="220"/>
        <v>1397870.7319500654</v>
      </c>
      <c r="J557" s="340">
        <f t="shared" si="221"/>
        <v>1.5707956114211663</v>
      </c>
      <c r="K557" s="348">
        <f t="shared" si="237"/>
        <v>138.46646393714539</v>
      </c>
      <c r="L557" s="349">
        <f t="shared" si="238"/>
        <v>1.5635742986982224</v>
      </c>
      <c r="M557" s="337">
        <f t="shared" si="222"/>
        <v>1.0480581869746222</v>
      </c>
      <c r="N557" s="340">
        <f t="shared" si="223"/>
        <v>0.30400424759170736</v>
      </c>
      <c r="O557" s="341">
        <f t="shared" si="224"/>
        <v>1.1867331395987686</v>
      </c>
      <c r="P557" s="342">
        <f t="shared" si="225"/>
        <v>0.69464897365165645</v>
      </c>
      <c r="Q557" s="343">
        <f t="shared" si="226"/>
        <v>-25.04201509151866</v>
      </c>
      <c r="R557" s="344">
        <f t="shared" si="227"/>
        <v>-134.42581379594037</v>
      </c>
      <c r="S557" s="346">
        <f t="shared" si="228"/>
        <v>45.574186204059629</v>
      </c>
      <c r="U557" s="319">
        <f t="shared" si="234"/>
        <v>89125</v>
      </c>
      <c r="V557" s="319">
        <f t="shared" si="235"/>
        <v>7943265625</v>
      </c>
      <c r="X557" s="345">
        <f t="shared" si="229"/>
        <v>17.217068298340013</v>
      </c>
      <c r="Y557" s="346">
        <f t="shared" si="230"/>
        <v>-17.831911102999687</v>
      </c>
      <c r="AA557" s="345">
        <f t="shared" si="231"/>
        <v>6.6148665947955845</v>
      </c>
      <c r="AB557" s="346">
        <f t="shared" si="232"/>
        <v>-116.59390269294067</v>
      </c>
      <c r="AD557">
        <f t="shared" si="236"/>
        <v>0</v>
      </c>
      <c r="AE557">
        <f t="shared" si="239"/>
        <v>0</v>
      </c>
    </row>
    <row r="558" spans="1:31" x14ac:dyDescent="0.2">
      <c r="A558" s="347">
        <v>89644</v>
      </c>
      <c r="B558" s="364">
        <f t="shared" si="233"/>
        <v>89.644000000000005</v>
      </c>
      <c r="C558" s="337">
        <f t="shared" si="214"/>
        <v>99.198971995781235</v>
      </c>
      <c r="D558" s="338">
        <f t="shared" si="215"/>
        <v>1.5607154064226982</v>
      </c>
      <c r="E558" s="338">
        <f t="shared" si="216"/>
        <v>1.0250658834012119</v>
      </c>
      <c r="F558" s="339">
        <f t="shared" si="217"/>
        <v>0.22159991617448274</v>
      </c>
      <c r="G558" s="338">
        <f t="shared" si="218"/>
        <v>1</v>
      </c>
      <c r="H558" s="339">
        <f t="shared" si="219"/>
        <v>0</v>
      </c>
      <c r="I558" s="337">
        <f t="shared" si="220"/>
        <v>1406010.9272923565</v>
      </c>
      <c r="J558" s="340">
        <f t="shared" si="221"/>
        <v>1.5707956155628708</v>
      </c>
      <c r="K558" s="348">
        <f t="shared" si="237"/>
        <v>139.27275125757228</v>
      </c>
      <c r="L558" s="349">
        <f t="shared" si="238"/>
        <v>1.5636161096769869</v>
      </c>
      <c r="M558" s="337">
        <f t="shared" si="222"/>
        <v>1.0486065159208358</v>
      </c>
      <c r="N558" s="340">
        <f t="shared" si="223"/>
        <v>0.30566660692108316</v>
      </c>
      <c r="O558" s="341">
        <f t="shared" si="224"/>
        <v>1.1887796877763235</v>
      </c>
      <c r="P558" s="342">
        <f t="shared" si="225"/>
        <v>0.69806296921628752</v>
      </c>
      <c r="Q558" s="343">
        <f t="shared" si="226"/>
        <v>-25.109532557714225</v>
      </c>
      <c r="R558" s="344">
        <f t="shared" si="227"/>
        <v>-134.64648989704776</v>
      </c>
      <c r="S558" s="346">
        <f t="shared" si="228"/>
        <v>45.353510102952242</v>
      </c>
      <c r="U558" s="319">
        <f t="shared" si="234"/>
        <v>89644</v>
      </c>
      <c r="V558" s="319">
        <f t="shared" si="235"/>
        <v>8036046736</v>
      </c>
      <c r="X558" s="345">
        <f t="shared" si="229"/>
        <v>17.212522539106395</v>
      </c>
      <c r="Y558" s="346">
        <f t="shared" si="230"/>
        <v>-17.924761921394889</v>
      </c>
      <c r="AA558" s="345">
        <f t="shared" si="231"/>
        <v>6.5518948878336385</v>
      </c>
      <c r="AB558" s="346">
        <f t="shared" si="232"/>
        <v>-116.72172797565288</v>
      </c>
      <c r="AD558">
        <f t="shared" si="236"/>
        <v>0</v>
      </c>
      <c r="AE558">
        <f t="shared" si="239"/>
        <v>0</v>
      </c>
    </row>
    <row r="559" spans="1:31" x14ac:dyDescent="0.2">
      <c r="A559" s="347">
        <v>90163</v>
      </c>
      <c r="B559" s="364">
        <f t="shared" si="233"/>
        <v>90.162999999999997</v>
      </c>
      <c r="C559" s="337">
        <f t="shared" si="214"/>
        <v>99.773232957064749</v>
      </c>
      <c r="D559" s="338">
        <f t="shared" si="215"/>
        <v>1.5607734307371854</v>
      </c>
      <c r="E559" s="338">
        <f t="shared" si="216"/>
        <v>1.0253533656285674</v>
      </c>
      <c r="F559" s="339">
        <f t="shared" si="217"/>
        <v>0.2228409453394409</v>
      </c>
      <c r="G559" s="338">
        <f t="shared" si="218"/>
        <v>1</v>
      </c>
      <c r="H559" s="339">
        <f t="shared" si="219"/>
        <v>0</v>
      </c>
      <c r="I559" s="337">
        <f t="shared" si="220"/>
        <v>1414151.1226346479</v>
      </c>
      <c r="J559" s="340">
        <f t="shared" si="221"/>
        <v>1.5707956196568942</v>
      </c>
      <c r="K559" s="348">
        <f t="shared" si="237"/>
        <v>140.0790388186671</v>
      </c>
      <c r="L559" s="349">
        <f t="shared" si="238"/>
        <v>1.5636574393322451</v>
      </c>
      <c r="M559" s="337">
        <f t="shared" si="222"/>
        <v>1.0491577395930856</v>
      </c>
      <c r="N559" s="340">
        <f t="shared" si="223"/>
        <v>0.30732722404033597</v>
      </c>
      <c r="O559" s="341">
        <f t="shared" si="224"/>
        <v>1.1908354713667026</v>
      </c>
      <c r="P559" s="342">
        <f t="shared" si="225"/>
        <v>0.7014684345585287</v>
      </c>
      <c r="Q559" s="343">
        <f t="shared" si="226"/>
        <v>-25.176809424176607</v>
      </c>
      <c r="R559" s="344">
        <f t="shared" si="227"/>
        <v>-134.86660607568788</v>
      </c>
      <c r="S559" s="346">
        <f t="shared" si="228"/>
        <v>45.133393924312116</v>
      </c>
      <c r="U559" s="319">
        <f t="shared" si="234"/>
        <v>90163</v>
      </c>
      <c r="V559" s="319">
        <f t="shared" si="235"/>
        <v>8129366569</v>
      </c>
      <c r="X559" s="345">
        <f t="shared" si="229"/>
        <v>17.207955234717716</v>
      </c>
      <c r="Y559" s="346">
        <f t="shared" si="230"/>
        <v>-18.017540493576497</v>
      </c>
      <c r="AA559" s="345">
        <f t="shared" si="231"/>
        <v>6.4891853257599319</v>
      </c>
      <c r="AB559" s="346">
        <f t="shared" si="232"/>
        <v>-116.84906558211138</v>
      </c>
      <c r="AD559">
        <f t="shared" si="236"/>
        <v>0</v>
      </c>
      <c r="AE559">
        <f t="shared" si="239"/>
        <v>0</v>
      </c>
    </row>
    <row r="560" spans="1:31" x14ac:dyDescent="0.2">
      <c r="A560" s="347">
        <v>90682</v>
      </c>
      <c r="B560" s="364">
        <f t="shared" si="233"/>
        <v>90.682000000000002</v>
      </c>
      <c r="C560" s="337">
        <f t="shared" si="214"/>
        <v>100.34749425042213</v>
      </c>
      <c r="D560" s="338">
        <f t="shared" si="215"/>
        <v>1.5608307909372663</v>
      </c>
      <c r="E560" s="338">
        <f t="shared" si="216"/>
        <v>1.0256424261706811</v>
      </c>
      <c r="F560" s="339">
        <f t="shared" si="217"/>
        <v>0.22408127688626189</v>
      </c>
      <c r="G560" s="338">
        <f t="shared" si="218"/>
        <v>1</v>
      </c>
      <c r="H560" s="339">
        <f t="shared" si="219"/>
        <v>0</v>
      </c>
      <c r="I560" s="337">
        <f t="shared" si="220"/>
        <v>1422291.3179769395</v>
      </c>
      <c r="J560" s="340">
        <f t="shared" si="221"/>
        <v>1.5707956237040548</v>
      </c>
      <c r="K560" s="348">
        <f t="shared" si="237"/>
        <v>140.88532661629787</v>
      </c>
      <c r="L560" s="349">
        <f t="shared" si="238"/>
        <v>1.5636982959277084</v>
      </c>
      <c r="M560" s="337">
        <f t="shared" si="222"/>
        <v>1.0497118534311449</v>
      </c>
      <c r="N560" s="340">
        <f t="shared" si="223"/>
        <v>0.30898609254250808</v>
      </c>
      <c r="O560" s="341">
        <f t="shared" si="224"/>
        <v>1.1929004582312359</v>
      </c>
      <c r="P560" s="342">
        <f t="shared" si="225"/>
        <v>0.70486537421386031</v>
      </c>
      <c r="Q560" s="343">
        <f t="shared" si="226"/>
        <v>-25.243848487393365</v>
      </c>
      <c r="R560" s="344">
        <f t="shared" si="227"/>
        <v>-135.08616260133834</v>
      </c>
      <c r="S560" s="346">
        <f t="shared" si="228"/>
        <v>44.913837398661656</v>
      </c>
      <c r="U560" s="319">
        <f t="shared" si="234"/>
        <v>90682</v>
      </c>
      <c r="V560" s="319">
        <f t="shared" si="235"/>
        <v>8223225124</v>
      </c>
      <c r="X560" s="345">
        <f t="shared" si="229"/>
        <v>17.203366457151912</v>
      </c>
      <c r="Y560" s="346">
        <f t="shared" si="230"/>
        <v>-18.110245979023983</v>
      </c>
      <c r="AA560" s="345">
        <f t="shared" si="231"/>
        <v>6.4267350401089782</v>
      </c>
      <c r="AB560" s="346">
        <f t="shared" si="232"/>
        <v>-116.97591662231436</v>
      </c>
      <c r="AD560">
        <f t="shared" si="236"/>
        <v>0</v>
      </c>
      <c r="AE560">
        <f t="shared" si="239"/>
        <v>0</v>
      </c>
    </row>
    <row r="561" spans="1:31" x14ac:dyDescent="0.2">
      <c r="A561" s="347">
        <v>91201</v>
      </c>
      <c r="B561" s="364">
        <f t="shared" si="233"/>
        <v>91.200999999999993</v>
      </c>
      <c r="C561" s="337">
        <f t="shared" si="214"/>
        <v>100.92175587018474</v>
      </c>
      <c r="D561" s="338">
        <f t="shared" si="215"/>
        <v>1.5608874983593253</v>
      </c>
      <c r="E561" s="338">
        <f t="shared" si="216"/>
        <v>1.025933063693464</v>
      </c>
      <c r="F561" s="339">
        <f t="shared" si="217"/>
        <v>0.22532090758992712</v>
      </c>
      <c r="G561" s="338">
        <f t="shared" si="218"/>
        <v>1</v>
      </c>
      <c r="H561" s="339">
        <f t="shared" si="219"/>
        <v>0</v>
      </c>
      <c r="I561" s="337">
        <f t="shared" si="220"/>
        <v>1430431.5133192306</v>
      </c>
      <c r="J561" s="340">
        <f t="shared" si="221"/>
        <v>1.5707956277051529</v>
      </c>
      <c r="K561" s="348">
        <f t="shared" si="237"/>
        <v>141.69161464642656</v>
      </c>
      <c r="L561" s="349">
        <f t="shared" si="238"/>
        <v>1.5637386875389985</v>
      </c>
      <c r="M561" s="337">
        <f t="shared" si="222"/>
        <v>1.0502688528605253</v>
      </c>
      <c r="N561" s="340">
        <f t="shared" si="223"/>
        <v>0.31064320607262258</v>
      </c>
      <c r="O561" s="341">
        <f t="shared" si="224"/>
        <v>1.1949746163302168</v>
      </c>
      <c r="P561" s="342">
        <f t="shared" si="225"/>
        <v>0.70825379312744363</v>
      </c>
      <c r="Q561" s="343">
        <f t="shared" si="226"/>
        <v>-25.310652489312488</v>
      </c>
      <c r="R561" s="344">
        <f t="shared" si="227"/>
        <v>-135.30515976487635</v>
      </c>
      <c r="S561" s="346">
        <f t="shared" si="228"/>
        <v>44.69484023512365</v>
      </c>
      <c r="U561" s="319">
        <f t="shared" si="234"/>
        <v>91201</v>
      </c>
      <c r="V561" s="319">
        <f t="shared" si="235"/>
        <v>8317622401</v>
      </c>
      <c r="X561" s="345">
        <f t="shared" si="229"/>
        <v>17.19875627857656</v>
      </c>
      <c r="Y561" s="346">
        <f t="shared" si="230"/>
        <v>-18.202877550970793</v>
      </c>
      <c r="AA561" s="345">
        <f t="shared" si="231"/>
        <v>6.3645412167652111</v>
      </c>
      <c r="AB561" s="346">
        <f t="shared" si="232"/>
        <v>-117.10228221390557</v>
      </c>
      <c r="AD561">
        <f t="shared" si="236"/>
        <v>0</v>
      </c>
      <c r="AE561">
        <f t="shared" si="239"/>
        <v>0</v>
      </c>
    </row>
    <row r="562" spans="1:31" x14ac:dyDescent="0.2">
      <c r="A562" s="347">
        <v>91732</v>
      </c>
      <c r="B562" s="364">
        <f t="shared" si="233"/>
        <v>91.731999999999999</v>
      </c>
      <c r="C562" s="337">
        <f t="shared" si="214"/>
        <v>101.50929554729521</v>
      </c>
      <c r="D562" s="338">
        <f t="shared" si="215"/>
        <v>1.5609448528973799</v>
      </c>
      <c r="E562" s="338">
        <f t="shared" si="216"/>
        <v>1.0262320518567367</v>
      </c>
      <c r="F562" s="339">
        <f t="shared" si="217"/>
        <v>0.2265884715873947</v>
      </c>
      <c r="G562" s="338">
        <f t="shared" si="218"/>
        <v>1</v>
      </c>
      <c r="H562" s="339">
        <f t="shared" si="219"/>
        <v>0</v>
      </c>
      <c r="I562" s="337">
        <f t="shared" si="220"/>
        <v>1438759.9212705926</v>
      </c>
      <c r="J562" s="340">
        <f t="shared" si="221"/>
        <v>1.570795631751905</v>
      </c>
      <c r="K562" s="348">
        <f t="shared" si="237"/>
        <v>142.51654541086987</v>
      </c>
      <c r="L562" s="349">
        <f t="shared" si="238"/>
        <v>1.5637795400558774</v>
      </c>
      <c r="M562" s="337">
        <f t="shared" si="222"/>
        <v>1.0508417125447387</v>
      </c>
      <c r="N562" s="340">
        <f t="shared" si="223"/>
        <v>0.31233681148596376</v>
      </c>
      <c r="O562" s="341">
        <f t="shared" si="224"/>
        <v>1.1971061902957609</v>
      </c>
      <c r="P562" s="342">
        <f t="shared" si="225"/>
        <v>0.71171174403158255</v>
      </c>
      <c r="Q562" s="343">
        <f t="shared" si="226"/>
        <v>-25.378760619716722</v>
      </c>
      <c r="R562" s="344">
        <f t="shared" si="227"/>
        <v>-135.52864186075828</v>
      </c>
      <c r="S562" s="346">
        <f t="shared" si="228"/>
        <v>44.471358139241715</v>
      </c>
      <c r="U562" s="319">
        <f t="shared" si="234"/>
        <v>91732</v>
      </c>
      <c r="V562" s="319">
        <f t="shared" si="235"/>
        <v>8414759824</v>
      </c>
      <c r="X562" s="345">
        <f t="shared" si="229"/>
        <v>17.194017432775155</v>
      </c>
      <c r="Y562" s="346">
        <f t="shared" si="230"/>
        <v>-18.297573548486124</v>
      </c>
      <c r="AA562" s="345">
        <f t="shared" si="231"/>
        <v>6.3011719321623803</v>
      </c>
      <c r="AB562" s="346">
        <f t="shared" si="232"/>
        <v>-117.2310683122722</v>
      </c>
      <c r="AD562">
        <f t="shared" si="236"/>
        <v>0</v>
      </c>
      <c r="AE562">
        <f t="shared" si="239"/>
        <v>0</v>
      </c>
    </row>
    <row r="563" spans="1:31" x14ac:dyDescent="0.2">
      <c r="A563" s="347">
        <v>92263</v>
      </c>
      <c r="B563" s="364">
        <f t="shared" si="233"/>
        <v>92.263000000000005</v>
      </c>
      <c r="C563" s="337">
        <f t="shared" si="214"/>
        <v>102.09683555448164</v>
      </c>
      <c r="D563" s="338">
        <f t="shared" si="215"/>
        <v>1.5610015473155381</v>
      </c>
      <c r="E563" s="338">
        <f t="shared" si="216"/>
        <v>1.0265326879239767</v>
      </c>
      <c r="F563" s="339">
        <f t="shared" si="217"/>
        <v>0.22785529516762834</v>
      </c>
      <c r="G563" s="338">
        <f t="shared" si="218"/>
        <v>1</v>
      </c>
      <c r="H563" s="339">
        <f t="shared" si="219"/>
        <v>0</v>
      </c>
      <c r="I563" s="337">
        <f t="shared" si="220"/>
        <v>1447088.3292219543</v>
      </c>
      <c r="J563" s="340">
        <f t="shared" si="221"/>
        <v>1.5707956357520765</v>
      </c>
      <c r="K563" s="348">
        <f t="shared" si="237"/>
        <v>143.34147641042537</v>
      </c>
      <c r="L563" s="349">
        <f t="shared" si="238"/>
        <v>1.5638199223598961</v>
      </c>
      <c r="M563" s="337">
        <f t="shared" si="222"/>
        <v>1.0514175830679904</v>
      </c>
      <c r="N563" s="340">
        <f t="shared" si="223"/>
        <v>0.31402856654261874</v>
      </c>
      <c r="O563" s="341">
        <f t="shared" si="224"/>
        <v>1.1992472969737455</v>
      </c>
      <c r="P563" s="342">
        <f t="shared" si="225"/>
        <v>0.71516078737649236</v>
      </c>
      <c r="Q563" s="343">
        <f t="shared" si="226"/>
        <v>-25.446628330882319</v>
      </c>
      <c r="R563" s="344">
        <f t="shared" si="227"/>
        <v>-135.75153911270328</v>
      </c>
      <c r="S563" s="346">
        <f t="shared" si="228"/>
        <v>44.248460887296716</v>
      </c>
      <c r="U563" s="319">
        <f t="shared" si="234"/>
        <v>92263</v>
      </c>
      <c r="V563" s="319">
        <f t="shared" si="235"/>
        <v>8512461169</v>
      </c>
      <c r="X563" s="345">
        <f t="shared" si="229"/>
        <v>17.189256338303906</v>
      </c>
      <c r="Y563" s="346">
        <f t="shared" si="230"/>
        <v>-18.392190466916151</v>
      </c>
      <c r="AA563" s="345">
        <f t="shared" si="231"/>
        <v>6.2380653154680274</v>
      </c>
      <c r="AB563" s="346">
        <f t="shared" si="232"/>
        <v>-117.35934864578712</v>
      </c>
      <c r="AD563">
        <f t="shared" si="236"/>
        <v>0</v>
      </c>
      <c r="AE563">
        <f t="shared" si="239"/>
        <v>0</v>
      </c>
    </row>
    <row r="564" spans="1:31" x14ac:dyDescent="0.2">
      <c r="A564" s="347">
        <v>92794</v>
      </c>
      <c r="B564" s="364">
        <f t="shared" si="233"/>
        <v>92.793999999999997</v>
      </c>
      <c r="C564" s="337">
        <f t="shared" si="214"/>
        <v>102.68437588607816</v>
      </c>
      <c r="D564" s="338">
        <f t="shared" si="215"/>
        <v>1.5610575929446706</v>
      </c>
      <c r="E564" s="338">
        <f t="shared" si="216"/>
        <v>1.0268349704477671</v>
      </c>
      <c r="F564" s="339">
        <f t="shared" si="217"/>
        <v>0.22912137491665416</v>
      </c>
      <c r="G564" s="338">
        <f t="shared" si="218"/>
        <v>1</v>
      </c>
      <c r="H564" s="339">
        <f t="shared" si="219"/>
        <v>0</v>
      </c>
      <c r="I564" s="337">
        <f t="shared" si="220"/>
        <v>1455416.7371733158</v>
      </c>
      <c r="J564" s="340">
        <f t="shared" si="221"/>
        <v>1.5707956397064673</v>
      </c>
      <c r="K564" s="348">
        <f t="shared" si="237"/>
        <v>144.16640764105708</v>
      </c>
      <c r="L564" s="349">
        <f t="shared" si="238"/>
        <v>1.5638598425227042</v>
      </c>
      <c r="M564" s="337">
        <f t="shared" si="222"/>
        <v>1.0519964594858147</v>
      </c>
      <c r="N564" s="340">
        <f t="shared" si="223"/>
        <v>0.31571846460553604</v>
      </c>
      <c r="O564" s="341">
        <f t="shared" si="224"/>
        <v>1.2013979023822907</v>
      </c>
      <c r="P564" s="342">
        <f t="shared" si="225"/>
        <v>0.71860092975129186</v>
      </c>
      <c r="Q564" s="343">
        <f t="shared" si="226"/>
        <v>-25.514258390615336</v>
      </c>
      <c r="R564" s="344">
        <f t="shared" si="227"/>
        <v>-135.97385190035678</v>
      </c>
      <c r="S564" s="346">
        <f t="shared" si="228"/>
        <v>44.026148099643223</v>
      </c>
      <c r="U564" s="319">
        <f t="shared" si="234"/>
        <v>92794</v>
      </c>
      <c r="V564" s="319">
        <f t="shared" si="235"/>
        <v>8610726436</v>
      </c>
      <c r="X564" s="345">
        <f t="shared" si="229"/>
        <v>17.184473073041058</v>
      </c>
      <c r="Y564" s="346">
        <f t="shared" si="230"/>
        <v>-18.486727463560189</v>
      </c>
      <c r="AA564" s="345">
        <f t="shared" si="231"/>
        <v>6.1752185209978636</v>
      </c>
      <c r="AB564" s="346">
        <f t="shared" si="232"/>
        <v>-117.48712443679655</v>
      </c>
      <c r="AD564">
        <f t="shared" si="236"/>
        <v>0</v>
      </c>
      <c r="AE564">
        <f t="shared" si="239"/>
        <v>0</v>
      </c>
    </row>
    <row r="565" spans="1:31" x14ac:dyDescent="0.2">
      <c r="A565" s="347">
        <v>93325</v>
      </c>
      <c r="B565" s="364">
        <f t="shared" si="233"/>
        <v>93.325000000000003</v>
      </c>
      <c r="C565" s="337">
        <f t="shared" si="214"/>
        <v>103.27191653654779</v>
      </c>
      <c r="D565" s="338">
        <f t="shared" si="215"/>
        <v>1.5611130008578085</v>
      </c>
      <c r="E565" s="338">
        <f t="shared" si="216"/>
        <v>1.0271388979744729</v>
      </c>
      <c r="F565" s="339">
        <f t="shared" si="217"/>
        <v>0.23038670743404477</v>
      </c>
      <c r="G565" s="338">
        <f t="shared" si="218"/>
        <v>1</v>
      </c>
      <c r="H565" s="339">
        <f t="shared" si="219"/>
        <v>0</v>
      </c>
      <c r="I565" s="337">
        <f t="shared" si="220"/>
        <v>1463745.1451246778</v>
      </c>
      <c r="J565" s="340">
        <f t="shared" si="221"/>
        <v>1.5707956436158588</v>
      </c>
      <c r="K565" s="348">
        <f t="shared" si="237"/>
        <v>144.99133909882093</v>
      </c>
      <c r="L565" s="349">
        <f t="shared" si="238"/>
        <v>1.5638993084322608</v>
      </c>
      <c r="M565" s="337">
        <f t="shared" si="222"/>
        <v>1.0525783368388426</v>
      </c>
      <c r="N565" s="340">
        <f t="shared" si="223"/>
        <v>0.3174064990946513</v>
      </c>
      <c r="O565" s="341">
        <f t="shared" si="224"/>
        <v>1.2035579726548271</v>
      </c>
      <c r="P565" s="342">
        <f t="shared" si="225"/>
        <v>0.72203217816804421</v>
      </c>
      <c r="Q565" s="343">
        <f t="shared" si="226"/>
        <v>-25.581653512561985</v>
      </c>
      <c r="R565" s="344">
        <f t="shared" si="227"/>
        <v>-136.19558062583647</v>
      </c>
      <c r="S565" s="346">
        <f t="shared" si="228"/>
        <v>43.80441937416353</v>
      </c>
      <c r="U565" s="319">
        <f t="shared" si="234"/>
        <v>93325</v>
      </c>
      <c r="V565" s="319">
        <f t="shared" si="235"/>
        <v>8709555625</v>
      </c>
      <c r="X565" s="345">
        <f t="shared" si="229"/>
        <v>17.179667715053803</v>
      </c>
      <c r="Y565" s="346">
        <f t="shared" si="230"/>
        <v>-18.581183709506341</v>
      </c>
      <c r="AA565" s="345">
        <f t="shared" si="231"/>
        <v>6.1126287570384665</v>
      </c>
      <c r="AB565" s="346">
        <f t="shared" si="232"/>
        <v>-117.61439691633011</v>
      </c>
      <c r="AD565">
        <f t="shared" si="236"/>
        <v>0</v>
      </c>
      <c r="AE565">
        <f t="shared" si="239"/>
        <v>0</v>
      </c>
    </row>
    <row r="566" spans="1:31" x14ac:dyDescent="0.2">
      <c r="A566" s="347">
        <v>93868.5</v>
      </c>
      <c r="B566" s="364">
        <f t="shared" si="233"/>
        <v>93.868499999999997</v>
      </c>
      <c r="C566" s="337">
        <f t="shared" si="214"/>
        <v>103.87328850618781</v>
      </c>
      <c r="D566" s="338">
        <f t="shared" si="215"/>
        <v>1.5611690639835114</v>
      </c>
      <c r="E566" s="338">
        <f t="shared" si="216"/>
        <v>1.0274516821252695</v>
      </c>
      <c r="F566" s="339">
        <f t="shared" si="217"/>
        <v>0.23168104913966855</v>
      </c>
      <c r="G566" s="338">
        <f t="shared" si="218"/>
        <v>1</v>
      </c>
      <c r="H566" s="339">
        <f t="shared" si="219"/>
        <v>0</v>
      </c>
      <c r="I566" s="337">
        <f t="shared" si="220"/>
        <v>1472269.6078771546</v>
      </c>
      <c r="J566" s="340">
        <f t="shared" si="221"/>
        <v>1.5707956475714755</v>
      </c>
      <c r="K566" s="348">
        <f t="shared" si="237"/>
        <v>145.8356900782141</v>
      </c>
      <c r="L566" s="349">
        <f t="shared" si="238"/>
        <v>1.563939241014928</v>
      </c>
      <c r="M566" s="337">
        <f t="shared" si="222"/>
        <v>1.0531770144099768</v>
      </c>
      <c r="N566" s="340">
        <f t="shared" si="223"/>
        <v>0.31913233403997993</v>
      </c>
      <c r="O566" s="341">
        <f t="shared" si="224"/>
        <v>1.2057786585128043</v>
      </c>
      <c r="P566" s="342">
        <f t="shared" si="225"/>
        <v>0.72553499713382241</v>
      </c>
      <c r="Q566" s="343">
        <f t="shared" si="226"/>
        <v>-25.650394626770044</v>
      </c>
      <c r="R566" s="344">
        <f t="shared" si="227"/>
        <v>-136.42192454943341</v>
      </c>
      <c r="S566" s="346">
        <f t="shared" si="228"/>
        <v>43.578075450566587</v>
      </c>
      <c r="U566" s="319">
        <f t="shared" si="234"/>
        <v>93868.5</v>
      </c>
      <c r="V566" s="319">
        <f t="shared" si="235"/>
        <v>8811295292.25</v>
      </c>
      <c r="X566" s="345">
        <f t="shared" si="229"/>
        <v>17.174726439303782</v>
      </c>
      <c r="Y566" s="346">
        <f t="shared" si="230"/>
        <v>-18.677779026308492</v>
      </c>
      <c r="AA566" s="345">
        <f t="shared" si="231"/>
        <v>6.048828918580428</v>
      </c>
      <c r="AB566" s="346">
        <f t="shared" si="232"/>
        <v>-117.74414552312494</v>
      </c>
      <c r="AD566">
        <f t="shared" si="236"/>
        <v>0</v>
      </c>
      <c r="AE566">
        <f t="shared" si="239"/>
        <v>0</v>
      </c>
    </row>
    <row r="567" spans="1:31" x14ac:dyDescent="0.2">
      <c r="A567" s="347">
        <v>94412</v>
      </c>
      <c r="B567" s="364">
        <f t="shared" si="233"/>
        <v>94.412000000000006</v>
      </c>
      <c r="C567" s="337">
        <f t="shared" si="214"/>
        <v>104.47466079855069</v>
      </c>
      <c r="D567" s="338">
        <f t="shared" si="215"/>
        <v>1.5612244816933565</v>
      </c>
      <c r="E567" s="338">
        <f t="shared" si="216"/>
        <v>1.0277661865374932</v>
      </c>
      <c r="F567" s="339">
        <f t="shared" si="217"/>
        <v>0.23297460085413266</v>
      </c>
      <c r="G567" s="338">
        <f t="shared" si="218"/>
        <v>1</v>
      </c>
      <c r="H567" s="339">
        <f t="shared" si="219"/>
        <v>0</v>
      </c>
      <c r="I567" s="337">
        <f t="shared" si="220"/>
        <v>1480794.0706296312</v>
      </c>
      <c r="J567" s="340">
        <f t="shared" si="221"/>
        <v>1.5707956514815498</v>
      </c>
      <c r="K567" s="348">
        <f t="shared" si="237"/>
        <v>146.68004128748117</v>
      </c>
      <c r="L567" s="349">
        <f t="shared" si="238"/>
        <v>1.5639787138606114</v>
      </c>
      <c r="M567" s="337">
        <f t="shared" si="222"/>
        <v>1.0537788253056999</v>
      </c>
      <c r="N567" s="340">
        <f t="shared" si="223"/>
        <v>0.32085620287349143</v>
      </c>
      <c r="O567" s="341">
        <f t="shared" si="224"/>
        <v>1.2080091886770432</v>
      </c>
      <c r="P567" s="342">
        <f t="shared" si="225"/>
        <v>0.72902851467101815</v>
      </c>
      <c r="Q567" s="343">
        <f t="shared" si="226"/>
        <v>-25.718895196481476</v>
      </c>
      <c r="R567" s="344">
        <f t="shared" si="227"/>
        <v>-136.64765751245341</v>
      </c>
      <c r="S567" s="346">
        <f t="shared" si="228"/>
        <v>43.352342487546593</v>
      </c>
      <c r="U567" s="319">
        <f t="shared" si="234"/>
        <v>94412</v>
      </c>
      <c r="V567" s="319">
        <f t="shared" si="235"/>
        <v>8913625744</v>
      </c>
      <c r="X567" s="345">
        <f t="shared" si="229"/>
        <v>17.16976218452303</v>
      </c>
      <c r="Y567" s="346">
        <f t="shared" si="230"/>
        <v>-18.774288031580845</v>
      </c>
      <c r="AA567" s="345">
        <f t="shared" si="231"/>
        <v>5.9852926036497465</v>
      </c>
      <c r="AB567" s="346">
        <f t="shared" si="232"/>
        <v>-117.87336948087255</v>
      </c>
      <c r="AD567">
        <f t="shared" si="236"/>
        <v>0</v>
      </c>
      <c r="AE567">
        <f t="shared" si="239"/>
        <v>0</v>
      </c>
    </row>
    <row r="568" spans="1:31" x14ac:dyDescent="0.2">
      <c r="A568" s="347">
        <v>94955.5</v>
      </c>
      <c r="B568" s="364">
        <f t="shared" si="233"/>
        <v>94.955500000000001</v>
      </c>
      <c r="C568" s="337">
        <f t="shared" si="214"/>
        <v>105.07603340809546</v>
      </c>
      <c r="D568" s="338">
        <f t="shared" si="215"/>
        <v>1.5612792650685596</v>
      </c>
      <c r="E568" s="338">
        <f t="shared" si="216"/>
        <v>1.0280824096323899</v>
      </c>
      <c r="F568" s="339">
        <f t="shared" si="217"/>
        <v>0.23426735897550033</v>
      </c>
      <c r="G568" s="338">
        <f t="shared" si="218"/>
        <v>1</v>
      </c>
      <c r="H568" s="339">
        <f t="shared" si="219"/>
        <v>0</v>
      </c>
      <c r="I568" s="337">
        <f t="shared" si="220"/>
        <v>1489318.5333821082</v>
      </c>
      <c r="J568" s="340">
        <f t="shared" si="221"/>
        <v>1.5707956553468634</v>
      </c>
      <c r="K568" s="348">
        <f t="shared" si="237"/>
        <v>147.52439272267512</v>
      </c>
      <c r="L568" s="349">
        <f t="shared" si="238"/>
        <v>1.5640177348630591</v>
      </c>
      <c r="M568" s="337">
        <f t="shared" si="222"/>
        <v>1.0543837641607865</v>
      </c>
      <c r="N568" s="340">
        <f t="shared" si="223"/>
        <v>0.32257809872485627</v>
      </c>
      <c r="O568" s="341">
        <f t="shared" si="224"/>
        <v>1.2102495272183964</v>
      </c>
      <c r="P568" s="342">
        <f t="shared" si="225"/>
        <v>0.73251273963263874</v>
      </c>
      <c r="Q568" s="343">
        <f t="shared" si="226"/>
        <v>-25.787157963745749</v>
      </c>
      <c r="R568" s="344">
        <f t="shared" si="227"/>
        <v>-136.87278001754441</v>
      </c>
      <c r="S568" s="346">
        <f t="shared" si="228"/>
        <v>43.127219982455586</v>
      </c>
      <c r="U568" s="319">
        <f t="shared" si="234"/>
        <v>94955.5</v>
      </c>
      <c r="V568" s="319">
        <f t="shared" si="235"/>
        <v>9016546980.25</v>
      </c>
      <c r="X568" s="345">
        <f t="shared" si="229"/>
        <v>17.164775035007459</v>
      </c>
      <c r="Y568" s="346">
        <f t="shared" si="230"/>
        <v>-18.870709879448857</v>
      </c>
      <c r="AA568" s="345">
        <f t="shared" si="231"/>
        <v>5.9220169859010499</v>
      </c>
      <c r="AB568" s="346">
        <f t="shared" si="232"/>
        <v>-118.00207013809559</v>
      </c>
      <c r="AD568">
        <f t="shared" si="236"/>
        <v>0</v>
      </c>
      <c r="AE568">
        <f t="shared" si="239"/>
        <v>0</v>
      </c>
    </row>
    <row r="569" spans="1:31" x14ac:dyDescent="0.2">
      <c r="A569" s="347">
        <v>95499</v>
      </c>
      <c r="B569" s="364">
        <f t="shared" si="233"/>
        <v>95.498999999999995</v>
      </c>
      <c r="C569" s="337">
        <f t="shared" si="214"/>
        <v>105.67740632940713</v>
      </c>
      <c r="D569" s="338">
        <f t="shared" si="215"/>
        <v>1.5613334249381141</v>
      </c>
      <c r="E569" s="338">
        <f t="shared" si="216"/>
        <v>1.0284003498245249</v>
      </c>
      <c r="F569" s="339">
        <f t="shared" si="217"/>
        <v>0.23555931991686316</v>
      </c>
      <c r="G569" s="338">
        <f t="shared" si="218"/>
        <v>1</v>
      </c>
      <c r="H569" s="339">
        <f t="shared" si="219"/>
        <v>0</v>
      </c>
      <c r="I569" s="337">
        <f t="shared" si="220"/>
        <v>1497842.996134585</v>
      </c>
      <c r="J569" s="340">
        <f t="shared" si="221"/>
        <v>1.5707956591681811</v>
      </c>
      <c r="K569" s="348">
        <f t="shared" si="237"/>
        <v>148.36874437993879</v>
      </c>
      <c r="L569" s="349">
        <f t="shared" si="238"/>
        <v>1.5640563117363353</v>
      </c>
      <c r="M569" s="337">
        <f t="shared" si="222"/>
        <v>1.054991825594463</v>
      </c>
      <c r="N569" s="340">
        <f t="shared" si="223"/>
        <v>0.32429801478625975</v>
      </c>
      <c r="O569" s="341">
        <f t="shared" si="224"/>
        <v>1.2124996383412607</v>
      </c>
      <c r="P569" s="342">
        <f t="shared" si="225"/>
        <v>0.73598768130722636</v>
      </c>
      <c r="Q569" s="343">
        <f t="shared" si="226"/>
        <v>-25.855185616772062</v>
      </c>
      <c r="R569" s="344">
        <f t="shared" si="227"/>
        <v>-137.09729259087263</v>
      </c>
      <c r="S569" s="346">
        <f t="shared" si="228"/>
        <v>42.902707409127373</v>
      </c>
      <c r="U569" s="319">
        <f t="shared" si="234"/>
        <v>95499</v>
      </c>
      <c r="V569" s="319">
        <f t="shared" si="235"/>
        <v>9120059001</v>
      </c>
      <c r="X569" s="345">
        <f t="shared" si="229"/>
        <v>17.159765075240095</v>
      </c>
      <c r="Y569" s="346">
        <f t="shared" si="230"/>
        <v>-18.967043737913951</v>
      </c>
      <c r="AA569" s="345">
        <f t="shared" si="231"/>
        <v>5.8589992926420988</v>
      </c>
      <c r="AB569" s="346">
        <f t="shared" si="232"/>
        <v>-118.13024885295869</v>
      </c>
      <c r="AD569">
        <f t="shared" si="236"/>
        <v>0</v>
      </c>
      <c r="AE569">
        <f t="shared" si="239"/>
        <v>0</v>
      </c>
    </row>
    <row r="570" spans="1:31" x14ac:dyDescent="0.2">
      <c r="A570" s="347">
        <v>96611.5</v>
      </c>
      <c r="B570" s="364">
        <f t="shared" si="233"/>
        <v>96.611500000000007</v>
      </c>
      <c r="C570" s="337">
        <f t="shared" si="214"/>
        <v>106.90836841096781</v>
      </c>
      <c r="D570" s="338">
        <f t="shared" si="215"/>
        <v>1.5614423856795754</v>
      </c>
      <c r="E570" s="338">
        <f t="shared" si="216"/>
        <v>1.0290564952504611</v>
      </c>
      <c r="F570" s="339">
        <f t="shared" si="217"/>
        <v>0.23820135725060695</v>
      </c>
      <c r="G570" s="338">
        <f t="shared" si="218"/>
        <v>1</v>
      </c>
      <c r="H570" s="339">
        <f t="shared" si="219"/>
        <v>0</v>
      </c>
      <c r="I570" s="337">
        <f t="shared" si="220"/>
        <v>1515291.873433813</v>
      </c>
      <c r="J570" s="340">
        <f t="shared" si="221"/>
        <v>1.570795666856031</v>
      </c>
      <c r="K570" s="348">
        <f t="shared" si="237"/>
        <v>150.09706376634517</v>
      </c>
      <c r="L570" s="349">
        <f t="shared" si="238"/>
        <v>1.5641339219957286</v>
      </c>
      <c r="M570" s="337">
        <f t="shared" si="222"/>
        <v>1.0562461922834414</v>
      </c>
      <c r="N570" s="340">
        <f t="shared" si="223"/>
        <v>0.32781234006755672</v>
      </c>
      <c r="O570" s="341">
        <f t="shared" si="224"/>
        <v>1.2171357564972543</v>
      </c>
      <c r="P570" s="342">
        <f t="shared" si="225"/>
        <v>0.74307169477267077</v>
      </c>
      <c r="Q570" s="343">
        <f t="shared" si="226"/>
        <v>-25.993710504298733</v>
      </c>
      <c r="R570" s="344">
        <f t="shared" si="227"/>
        <v>-137.55495177368385</v>
      </c>
      <c r="S570" s="346">
        <f t="shared" si="228"/>
        <v>42.445048226316146</v>
      </c>
      <c r="U570" s="319">
        <f t="shared" si="234"/>
        <v>96611.5</v>
      </c>
      <c r="V570" s="319">
        <f t="shared" si="235"/>
        <v>9333781932.25</v>
      </c>
      <c r="X570" s="345">
        <f t="shared" si="229"/>
        <v>17.149439322748123</v>
      </c>
      <c r="Y570" s="346">
        <f t="shared" si="230"/>
        <v>-19.163953444764594</v>
      </c>
      <c r="AA570" s="345">
        <f t="shared" si="231"/>
        <v>5.7308001576074012</v>
      </c>
      <c r="AB570" s="346">
        <f t="shared" si="232"/>
        <v>-118.39099832891924</v>
      </c>
      <c r="AD570">
        <f t="shared" si="236"/>
        <v>0</v>
      </c>
      <c r="AE570">
        <f t="shared" si="239"/>
        <v>0</v>
      </c>
    </row>
    <row r="571" spans="1:31" x14ac:dyDescent="0.2">
      <c r="A571" s="347">
        <v>97724</v>
      </c>
      <c r="B571" s="364">
        <f t="shared" si="233"/>
        <v>97.724000000000004</v>
      </c>
      <c r="C571" s="337">
        <f t="shared" si="214"/>
        <v>108.1393317328957</v>
      </c>
      <c r="D571" s="338">
        <f t="shared" si="215"/>
        <v>1.5615488657952172</v>
      </c>
      <c r="E571" s="338">
        <f t="shared" si="216"/>
        <v>1.0297198146789135</v>
      </c>
      <c r="F571" s="339">
        <f t="shared" si="217"/>
        <v>0.24084000911633127</v>
      </c>
      <c r="G571" s="338">
        <f t="shared" si="218"/>
        <v>1</v>
      </c>
      <c r="H571" s="339">
        <f t="shared" si="219"/>
        <v>0</v>
      </c>
      <c r="I571" s="337">
        <f t="shared" si="220"/>
        <v>1532740.7507330412</v>
      </c>
      <c r="J571" s="340">
        <f t="shared" si="221"/>
        <v>1.5707956743688425</v>
      </c>
      <c r="K571" s="348">
        <f t="shared" si="237"/>
        <v>151.82538403625557</v>
      </c>
      <c r="L571" s="349">
        <f t="shared" si="238"/>
        <v>1.5642097652864257</v>
      </c>
      <c r="M571" s="337">
        <f t="shared" si="222"/>
        <v>1.0575135730814105</v>
      </c>
      <c r="N571" s="340">
        <f t="shared" si="223"/>
        <v>0.33131828505234862</v>
      </c>
      <c r="O571" s="341">
        <f t="shared" si="224"/>
        <v>1.2218123672390859</v>
      </c>
      <c r="P571" s="342">
        <f t="shared" si="225"/>
        <v>0.75011694240990545</v>
      </c>
      <c r="Q571" s="343">
        <f t="shared" si="226"/>
        <v>-26.131283222402022</v>
      </c>
      <c r="R571" s="344">
        <f t="shared" si="227"/>
        <v>-138.01006275598471</v>
      </c>
      <c r="S571" s="346">
        <f t="shared" si="228"/>
        <v>41.989937244015294</v>
      </c>
      <c r="U571" s="319">
        <f t="shared" si="234"/>
        <v>97724</v>
      </c>
      <c r="V571" s="319">
        <f t="shared" si="235"/>
        <v>9549980176</v>
      </c>
      <c r="X571" s="345">
        <f t="shared" si="229"/>
        <v>17.139019081509762</v>
      </c>
      <c r="Y571" s="346">
        <f t="shared" si="230"/>
        <v>-19.36048422581386</v>
      </c>
      <c r="AA571" s="345">
        <f t="shared" si="231"/>
        <v>5.6036476807424664</v>
      </c>
      <c r="AB571" s="346">
        <f t="shared" si="232"/>
        <v>-118.64957853017083</v>
      </c>
      <c r="AD571">
        <f t="shared" si="236"/>
        <v>0</v>
      </c>
      <c r="AE571">
        <f t="shared" si="239"/>
        <v>0</v>
      </c>
    </row>
    <row r="572" spans="1:31" x14ac:dyDescent="0.2">
      <c r="A572" s="347">
        <v>98862</v>
      </c>
      <c r="B572" s="364">
        <f t="shared" si="233"/>
        <v>98.861999999999995</v>
      </c>
      <c r="C572" s="337">
        <f t="shared" si="214"/>
        <v>109.39851163357555</v>
      </c>
      <c r="D572" s="338">
        <f t="shared" si="215"/>
        <v>1.5616553073095665</v>
      </c>
      <c r="E572" s="338">
        <f t="shared" si="216"/>
        <v>1.0304057463817153</v>
      </c>
      <c r="F572" s="339">
        <f t="shared" si="217"/>
        <v>0.24353560823271073</v>
      </c>
      <c r="G572" s="338">
        <f t="shared" si="218"/>
        <v>1</v>
      </c>
      <c r="H572" s="339">
        <f t="shared" si="219"/>
        <v>0</v>
      </c>
      <c r="I572" s="337">
        <f t="shared" si="220"/>
        <v>1550589.579826544</v>
      </c>
      <c r="J572" s="340">
        <f t="shared" si="221"/>
        <v>1.5707956818789157</v>
      </c>
      <c r="K572" s="348">
        <f t="shared" si="237"/>
        <v>153.59332062009034</v>
      </c>
      <c r="L572" s="349">
        <f t="shared" si="238"/>
        <v>1.5642855810087768</v>
      </c>
      <c r="M572" s="337">
        <f t="shared" si="222"/>
        <v>1.0588234202113478</v>
      </c>
      <c r="N572" s="340">
        <f t="shared" si="223"/>
        <v>0.33489586208193411</v>
      </c>
      <c r="O572" s="341">
        <f t="shared" si="224"/>
        <v>1.2266377532467827</v>
      </c>
      <c r="P572" s="342">
        <f t="shared" si="225"/>
        <v>0.75728366781928369</v>
      </c>
      <c r="Q572" s="343">
        <f t="shared" si="226"/>
        <v>-26.271046115560726</v>
      </c>
      <c r="R572" s="344">
        <f t="shared" si="227"/>
        <v>-138.47297464637185</v>
      </c>
      <c r="S572" s="346">
        <f t="shared" si="228"/>
        <v>41.527025353628147</v>
      </c>
      <c r="U572" s="319">
        <f t="shared" si="234"/>
        <v>98862</v>
      </c>
      <c r="V572" s="319">
        <f t="shared" si="235"/>
        <v>9773695044</v>
      </c>
      <c r="X572" s="345">
        <f t="shared" si="229"/>
        <v>17.12826299447617</v>
      </c>
      <c r="Y572" s="346">
        <f t="shared" si="230"/>
        <v>-19.56112080010536</v>
      </c>
      <c r="AA572" s="345">
        <f t="shared" si="231"/>
        <v>5.4746408746173607</v>
      </c>
      <c r="AB572" s="346">
        <f t="shared" si="232"/>
        <v>-118.9118538462665</v>
      </c>
      <c r="AD572">
        <f t="shared" si="236"/>
        <v>0</v>
      </c>
      <c r="AE572">
        <f t="shared" si="239"/>
        <v>0</v>
      </c>
    </row>
    <row r="573" spans="1:31" x14ac:dyDescent="0.2">
      <c r="A573" s="347">
        <v>100000</v>
      </c>
      <c r="B573" s="364">
        <f t="shared" si="233"/>
        <v>100</v>
      </c>
      <c r="C573" s="337">
        <f t="shared" si="214"/>
        <v>110.65769274551039</v>
      </c>
      <c r="D573" s="338">
        <f t="shared" si="215"/>
        <v>1.5617593264151868</v>
      </c>
      <c r="E573" s="338">
        <f t="shared" si="216"/>
        <v>1.0310991552816915</v>
      </c>
      <c r="F573" s="339">
        <f t="shared" si="217"/>
        <v>0.24622760133479116</v>
      </c>
      <c r="G573" s="338">
        <f t="shared" si="218"/>
        <v>1</v>
      </c>
      <c r="H573" s="339">
        <f t="shared" si="219"/>
        <v>0</v>
      </c>
      <c r="I573" s="337">
        <f t="shared" si="220"/>
        <v>1568438.4089200469</v>
      </c>
      <c r="J573" s="340">
        <f t="shared" si="221"/>
        <v>1.5707956892180595</v>
      </c>
      <c r="K573" s="348">
        <f t="shared" si="237"/>
        <v>155.36125806669017</v>
      </c>
      <c r="L573" s="349">
        <f t="shared" si="238"/>
        <v>1.5643596712376067</v>
      </c>
      <c r="M573" s="337">
        <f t="shared" si="222"/>
        <v>1.0601467856942215</v>
      </c>
      <c r="N573" s="340">
        <f t="shared" si="223"/>
        <v>0.3384645530203419</v>
      </c>
      <c r="O573" s="341">
        <f t="shared" si="224"/>
        <v>1.2315048737690093</v>
      </c>
      <c r="P573" s="342">
        <f t="shared" si="225"/>
        <v>0.76441004045227079</v>
      </c>
      <c r="Q573" s="343">
        <f t="shared" si="226"/>
        <v>-26.409856441089854</v>
      </c>
      <c r="R573" s="344">
        <f t="shared" si="227"/>
        <v>-138.93323202676291</v>
      </c>
      <c r="S573" s="346">
        <f t="shared" si="228"/>
        <v>41.066767973237091</v>
      </c>
      <c r="U573" s="319">
        <f t="shared" si="234"/>
        <v>100000</v>
      </c>
      <c r="V573" s="319">
        <f t="shared" si="235"/>
        <v>10000000000</v>
      </c>
      <c r="X573" s="345">
        <f t="shared" si="229"/>
        <v>17.117409588457193</v>
      </c>
      <c r="Y573" s="346">
        <f t="shared" si="230"/>
        <v>-19.761347092578355</v>
      </c>
      <c r="AA573" s="345">
        <f t="shared" si="231"/>
        <v>5.3466839551072063</v>
      </c>
      <c r="AB573" s="346">
        <f t="shared" si="232"/>
        <v>-119.17188493418455</v>
      </c>
      <c r="AD573">
        <f t="shared" si="236"/>
        <v>0</v>
      </c>
      <c r="AE573">
        <f t="shared" si="239"/>
        <v>0</v>
      </c>
    </row>
    <row r="574" spans="1:31" x14ac:dyDescent="0.2">
      <c r="A574" s="347">
        <v>101165</v>
      </c>
      <c r="B574" s="364">
        <f t="shared" si="233"/>
        <v>101.16500000000001</v>
      </c>
      <c r="C574" s="337">
        <f t="shared" si="214"/>
        <v>111.94675019251689</v>
      </c>
      <c r="D574" s="338">
        <f t="shared" si="215"/>
        <v>1.5618633895013574</v>
      </c>
      <c r="E574" s="338">
        <f t="shared" si="216"/>
        <v>1.0318167455526095</v>
      </c>
      <c r="F574" s="339">
        <f t="shared" si="217"/>
        <v>0.24897969575539144</v>
      </c>
      <c r="G574" s="338">
        <f t="shared" si="218"/>
        <v>1</v>
      </c>
      <c r="H574" s="339">
        <f t="shared" si="219"/>
        <v>0</v>
      </c>
      <c r="I574" s="337">
        <f t="shared" si="220"/>
        <v>1586710.716383958</v>
      </c>
      <c r="J574" s="340">
        <f t="shared" si="221"/>
        <v>1.5707956965602927</v>
      </c>
      <c r="K574" s="348">
        <f t="shared" si="237"/>
        <v>157.17114216839636</v>
      </c>
      <c r="L574" s="349">
        <f t="shared" si="238"/>
        <v>1.5644337927240191</v>
      </c>
      <c r="M574" s="337">
        <f t="shared" si="222"/>
        <v>1.0615154995970553</v>
      </c>
      <c r="N574" s="340">
        <f t="shared" si="223"/>
        <v>0.34210864927511481</v>
      </c>
      <c r="O574" s="341">
        <f t="shared" si="224"/>
        <v>1.2365303710873636</v>
      </c>
      <c r="P574" s="342">
        <f t="shared" si="225"/>
        <v>0.77166381461164413</v>
      </c>
      <c r="Q574" s="343">
        <f t="shared" si="226"/>
        <v>-26.550995176622454</v>
      </c>
      <c r="R574" s="344">
        <f t="shared" si="227"/>
        <v>-139.40166656056434</v>
      </c>
      <c r="S574" s="346">
        <f t="shared" si="228"/>
        <v>40.598333439435663</v>
      </c>
      <c r="U574" s="319">
        <f t="shared" si="234"/>
        <v>101165</v>
      </c>
      <c r="V574" s="319">
        <f t="shared" si="235"/>
        <v>10234357225</v>
      </c>
      <c r="X574" s="345">
        <f t="shared" si="229"/>
        <v>17.106198689852391</v>
      </c>
      <c r="Y574" s="346">
        <f t="shared" si="230"/>
        <v>-19.965892000686317</v>
      </c>
      <c r="AA574" s="345">
        <f t="shared" si="231"/>
        <v>5.2167561181794095</v>
      </c>
      <c r="AB574" s="346">
        <f t="shared" si="232"/>
        <v>-119.43577455987801</v>
      </c>
      <c r="AD574">
        <f t="shared" si="236"/>
        <v>0</v>
      </c>
      <c r="AE574">
        <f t="shared" si="239"/>
        <v>0</v>
      </c>
    </row>
    <row r="575" spans="1:31" x14ac:dyDescent="0.2">
      <c r="A575" s="347">
        <v>102330</v>
      </c>
      <c r="B575" s="364">
        <f t="shared" si="233"/>
        <v>102.33</v>
      </c>
      <c r="C575" s="337">
        <f t="shared" si="214"/>
        <v>113.23580882420791</v>
      </c>
      <c r="D575" s="338">
        <f t="shared" si="215"/>
        <v>1.5619650833130079</v>
      </c>
      <c r="E575" s="338">
        <f t="shared" si="216"/>
        <v>1.032542139931057</v>
      </c>
      <c r="F575" s="339">
        <f t="shared" si="217"/>
        <v>0.25172794409566823</v>
      </c>
      <c r="G575" s="338">
        <f t="shared" si="218"/>
        <v>1</v>
      </c>
      <c r="H575" s="339">
        <f t="shared" si="219"/>
        <v>0</v>
      </c>
      <c r="I575" s="337">
        <f t="shared" si="220"/>
        <v>1604983.0238478694</v>
      </c>
      <c r="J575" s="340">
        <f t="shared" si="221"/>
        <v>1.570795703735347</v>
      </c>
      <c r="K575" s="348">
        <f t="shared" si="237"/>
        <v>158.9810271139394</v>
      </c>
      <c r="L575" s="349">
        <f t="shared" si="238"/>
        <v>1.5645062265709211</v>
      </c>
      <c r="M575" s="337">
        <f t="shared" si="222"/>
        <v>1.0628982734153936</v>
      </c>
      <c r="N575" s="340">
        <f t="shared" si="223"/>
        <v>0.3457433121433055</v>
      </c>
      <c r="O575" s="341">
        <f t="shared" si="224"/>
        <v>1.2415989369799771</v>
      </c>
      <c r="P575" s="342">
        <f t="shared" si="225"/>
        <v>0.77887555510463091</v>
      </c>
      <c r="Q575" s="343">
        <f t="shared" si="226"/>
        <v>-26.691178933361648</v>
      </c>
      <c r="R575" s="344">
        <f t="shared" si="227"/>
        <v>-139.86733354922583</v>
      </c>
      <c r="S575" s="346">
        <f t="shared" si="228"/>
        <v>40.132666450774167</v>
      </c>
      <c r="U575" s="319">
        <f t="shared" si="234"/>
        <v>102330</v>
      </c>
      <c r="V575" s="319">
        <f t="shared" si="235"/>
        <v>10471428900</v>
      </c>
      <c r="X575" s="345">
        <f t="shared" si="229"/>
        <v>17.094887474965518</v>
      </c>
      <c r="Y575" s="346">
        <f t="shared" si="230"/>
        <v>-20.169993100598724</v>
      </c>
      <c r="AA575" s="345">
        <f t="shared" si="231"/>
        <v>5.0878835763270835</v>
      </c>
      <c r="AB575" s="346">
        <f t="shared" si="232"/>
        <v>-119.69734044862712</v>
      </c>
      <c r="AD575">
        <f t="shared" si="236"/>
        <v>0</v>
      </c>
      <c r="AE575">
        <f t="shared" si="239"/>
        <v>0</v>
      </c>
    </row>
    <row r="576" spans="1:31" x14ac:dyDescent="0.2">
      <c r="A576" s="347">
        <v>103520</v>
      </c>
      <c r="B576" s="364">
        <f t="shared" si="233"/>
        <v>103.52</v>
      </c>
      <c r="C576" s="337">
        <f t="shared" si="214"/>
        <v>114.55253083980104</v>
      </c>
      <c r="D576" s="338">
        <f t="shared" si="215"/>
        <v>1.5620665964768763</v>
      </c>
      <c r="E576" s="338">
        <f t="shared" si="216"/>
        <v>1.0332911407308729</v>
      </c>
      <c r="F576" s="339">
        <f t="shared" si="217"/>
        <v>0.25453116225899713</v>
      </c>
      <c r="G576" s="338">
        <f t="shared" si="218"/>
        <v>1</v>
      </c>
      <c r="H576" s="339">
        <f t="shared" si="219"/>
        <v>0</v>
      </c>
      <c r="I576" s="337">
        <f t="shared" si="220"/>
        <v>1623647.4409140104</v>
      </c>
      <c r="J576" s="340">
        <f t="shared" si="221"/>
        <v>1.5707957108976429</v>
      </c>
      <c r="K576" s="348">
        <f t="shared" si="237"/>
        <v>160.82975163379058</v>
      </c>
      <c r="L576" s="349">
        <f t="shared" si="238"/>
        <v>1.5645785316831931</v>
      </c>
      <c r="M576" s="337">
        <f t="shared" si="222"/>
        <v>1.0643251792324153</v>
      </c>
      <c r="N576" s="340">
        <f t="shared" si="223"/>
        <v>0.34944617143966916</v>
      </c>
      <c r="O576" s="341">
        <f t="shared" si="224"/>
        <v>1.2468203878009614</v>
      </c>
      <c r="P576" s="342">
        <f t="shared" si="225"/>
        <v>0.78619880420591415</v>
      </c>
      <c r="Q576" s="343">
        <f t="shared" si="226"/>
        <v>-26.833406448693232</v>
      </c>
      <c r="R576" s="344">
        <f t="shared" si="227"/>
        <v>-140.34014436404544</v>
      </c>
      <c r="S576" s="346">
        <f t="shared" si="228"/>
        <v>39.659855635954557</v>
      </c>
      <c r="U576" s="319">
        <f t="shared" si="234"/>
        <v>103520</v>
      </c>
      <c r="V576" s="319">
        <f t="shared" si="235"/>
        <v>10716390400</v>
      </c>
      <c r="X576" s="345">
        <f t="shared" si="229"/>
        <v>17.083230847271832</v>
      </c>
      <c r="Y576" s="346">
        <f t="shared" si="230"/>
        <v>-20.37800894324775</v>
      </c>
      <c r="AA576" s="345">
        <f t="shared" si="231"/>
        <v>4.9573126886891918</v>
      </c>
      <c r="AB576" s="346">
        <f t="shared" si="232"/>
        <v>-119.96213542079772</v>
      </c>
      <c r="AD576">
        <f t="shared" si="236"/>
        <v>0</v>
      </c>
      <c r="AE576">
        <f t="shared" si="239"/>
        <v>0</v>
      </c>
    </row>
    <row r="577" spans="1:31" x14ac:dyDescent="0.2">
      <c r="A577" s="347">
        <v>104710</v>
      </c>
      <c r="B577" s="364">
        <f t="shared" si="233"/>
        <v>104.71</v>
      </c>
      <c r="C577" s="337">
        <f t="shared" si="214"/>
        <v>115.86925400902004</v>
      </c>
      <c r="D577" s="338">
        <f t="shared" si="215"/>
        <v>1.5621658024769007</v>
      </c>
      <c r="E577" s="338">
        <f t="shared" si="216"/>
        <v>1.0340482493656979</v>
      </c>
      <c r="F577" s="339">
        <f t="shared" si="217"/>
        <v>0.25733029747517105</v>
      </c>
      <c r="G577" s="338">
        <f t="shared" si="218"/>
        <v>1</v>
      </c>
      <c r="H577" s="339">
        <f t="shared" si="219"/>
        <v>0</v>
      </c>
      <c r="I577" s="337">
        <f t="shared" si="220"/>
        <v>1642311.8579801519</v>
      </c>
      <c r="J577" s="340">
        <f t="shared" si="221"/>
        <v>1.5707957178971437</v>
      </c>
      <c r="K577" s="348">
        <f t="shared" si="237"/>
        <v>162.6784769753537</v>
      </c>
      <c r="L577" s="349">
        <f t="shared" si="238"/>
        <v>1.5646491934033411</v>
      </c>
      <c r="M577" s="337">
        <f t="shared" si="222"/>
        <v>1.0657666389969753</v>
      </c>
      <c r="N577" s="340">
        <f t="shared" si="223"/>
        <v>0.35313906494979247</v>
      </c>
      <c r="O577" s="341">
        <f t="shared" si="224"/>
        <v>1.2520860742634705</v>
      </c>
      <c r="P577" s="342">
        <f t="shared" si="225"/>
        <v>0.79347850117962215</v>
      </c>
      <c r="Q577" s="343">
        <f t="shared" si="226"/>
        <v>-26.974680236948721</v>
      </c>
      <c r="R577" s="344">
        <f t="shared" si="227"/>
        <v>-140.81008472326619</v>
      </c>
      <c r="S577" s="346">
        <f t="shared" si="228"/>
        <v>39.189915276733814</v>
      </c>
      <c r="U577" s="319">
        <f t="shared" si="234"/>
        <v>104710</v>
      </c>
      <c r="V577" s="319">
        <f t="shared" si="235"/>
        <v>10964184100</v>
      </c>
      <c r="X577" s="345">
        <f t="shared" si="229"/>
        <v>17.071471350656083</v>
      </c>
      <c r="Y577" s="346">
        <f t="shared" si="230"/>
        <v>-20.585547938510459</v>
      </c>
      <c r="AA577" s="345">
        <f t="shared" si="231"/>
        <v>4.8277983970494533</v>
      </c>
      <c r="AB577" s="346">
        <f t="shared" si="232"/>
        <v>-120.22453678475574</v>
      </c>
      <c r="AD577">
        <f t="shared" si="236"/>
        <v>0</v>
      </c>
      <c r="AE577">
        <f t="shared" si="239"/>
        <v>0</v>
      </c>
    </row>
    <row r="578" spans="1:31" x14ac:dyDescent="0.2">
      <c r="A578" s="347">
        <v>105930</v>
      </c>
      <c r="B578" s="364">
        <f t="shared" si="233"/>
        <v>105.93</v>
      </c>
      <c r="C578" s="337">
        <f t="shared" si="214"/>
        <v>117.21917303690341</v>
      </c>
      <c r="D578" s="338">
        <f t="shared" si="215"/>
        <v>1.5622651957160152</v>
      </c>
      <c r="E578" s="338">
        <f t="shared" si="216"/>
        <v>1.0348328431523359</v>
      </c>
      <c r="F578" s="339">
        <f t="shared" si="217"/>
        <v>0.26019572399974356</v>
      </c>
      <c r="G578" s="338">
        <f t="shared" si="218"/>
        <v>1</v>
      </c>
      <c r="H578" s="339">
        <f t="shared" si="219"/>
        <v>0</v>
      </c>
      <c r="I578" s="337">
        <f t="shared" si="220"/>
        <v>1661446.806568969</v>
      </c>
      <c r="J578" s="340">
        <f t="shared" si="221"/>
        <v>1.5707957249098432</v>
      </c>
      <c r="K578" s="348">
        <f t="shared" si="237"/>
        <v>164.57380966218952</v>
      </c>
      <c r="L578" s="349">
        <f t="shared" si="238"/>
        <v>1.5647199884289855</v>
      </c>
      <c r="M578" s="337">
        <f t="shared" si="222"/>
        <v>1.0672594852775441</v>
      </c>
      <c r="N578" s="340">
        <f t="shared" si="223"/>
        <v>0.35691464785971533</v>
      </c>
      <c r="O578" s="341">
        <f t="shared" si="224"/>
        <v>1.2575300662403226</v>
      </c>
      <c r="P578" s="342">
        <f t="shared" si="225"/>
        <v>0.80089668004283754</v>
      </c>
      <c r="Q578" s="343">
        <f t="shared" si="226"/>
        <v>-27.118546712954053</v>
      </c>
      <c r="R578" s="344">
        <f t="shared" si="227"/>
        <v>-141.28890214265772</v>
      </c>
      <c r="S578" s="346">
        <f t="shared" si="228"/>
        <v>38.711097857342281</v>
      </c>
      <c r="U578" s="319">
        <f t="shared" si="234"/>
        <v>105930</v>
      </c>
      <c r="V578" s="319">
        <f t="shared" si="235"/>
        <v>11221164900</v>
      </c>
      <c r="X578" s="345">
        <f t="shared" si="229"/>
        <v>17.059309560189064</v>
      </c>
      <c r="Y578" s="346">
        <f t="shared" si="230"/>
        <v>-20.797817050311455</v>
      </c>
      <c r="AA578" s="345">
        <f t="shared" si="231"/>
        <v>4.696093711511141</v>
      </c>
      <c r="AB578" s="346">
        <f t="shared" si="232"/>
        <v>-120.49108509234627</v>
      </c>
      <c r="AD578">
        <f t="shared" si="236"/>
        <v>0</v>
      </c>
      <c r="AE578">
        <f t="shared" si="239"/>
        <v>0</v>
      </c>
    </row>
    <row r="579" spans="1:31" x14ac:dyDescent="0.2">
      <c r="A579" s="347">
        <v>107150</v>
      </c>
      <c r="B579" s="364">
        <f t="shared" si="233"/>
        <v>107.15</v>
      </c>
      <c r="C579" s="337">
        <f t="shared" si="214"/>
        <v>118.56909319642877</v>
      </c>
      <c r="D579" s="338">
        <f t="shared" si="215"/>
        <v>1.5623623257535182</v>
      </c>
      <c r="E579" s="338">
        <f t="shared" si="216"/>
        <v>1.03562592069422</v>
      </c>
      <c r="F579" s="339">
        <f t="shared" si="217"/>
        <v>0.26305678532494647</v>
      </c>
      <c r="G579" s="338">
        <f t="shared" si="218"/>
        <v>1</v>
      </c>
      <c r="H579" s="339">
        <f t="shared" si="219"/>
        <v>0</v>
      </c>
      <c r="I579" s="337">
        <f t="shared" si="220"/>
        <v>1680581.7551577862</v>
      </c>
      <c r="J579" s="340">
        <f t="shared" si="221"/>
        <v>1.5707957317628507</v>
      </c>
      <c r="K579" s="348">
        <f t="shared" si="237"/>
        <v>166.46914315507635</v>
      </c>
      <c r="L579" s="349">
        <f t="shared" si="238"/>
        <v>1.5647891713822379</v>
      </c>
      <c r="M579" s="337">
        <f t="shared" si="222"/>
        <v>1.0687675027427772</v>
      </c>
      <c r="N579" s="340">
        <f t="shared" si="223"/>
        <v>0.36067962971425915</v>
      </c>
      <c r="O579" s="341">
        <f t="shared" si="224"/>
        <v>1.2630198133664048</v>
      </c>
      <c r="P579" s="342">
        <f t="shared" si="225"/>
        <v>0.80826944263332723</v>
      </c>
      <c r="Q579" s="343">
        <f t="shared" si="226"/>
        <v>-27.261453144392789</v>
      </c>
      <c r="R579" s="344">
        <f t="shared" si="227"/>
        <v>-141.76472279696054</v>
      </c>
      <c r="S579" s="346">
        <f t="shared" si="228"/>
        <v>38.235277203039459</v>
      </c>
      <c r="U579" s="319">
        <f t="shared" si="234"/>
        <v>107150</v>
      </c>
      <c r="V579" s="319">
        <f t="shared" si="235"/>
        <v>11481122500</v>
      </c>
      <c r="X579" s="345">
        <f t="shared" si="229"/>
        <v>17.047041594400394</v>
      </c>
      <c r="Y579" s="346">
        <f t="shared" si="230"/>
        <v>-21.009571122174904</v>
      </c>
      <c r="AA579" s="345">
        <f t="shared" si="231"/>
        <v>4.5654552458610747</v>
      </c>
      <c r="AB579" s="346">
        <f t="shared" si="232"/>
        <v>-120.75515167478562</v>
      </c>
      <c r="AD579">
        <f t="shared" si="236"/>
        <v>0</v>
      </c>
      <c r="AE579">
        <f t="shared" si="239"/>
        <v>0</v>
      </c>
    </row>
    <row r="580" spans="1:31" x14ac:dyDescent="0.2">
      <c r="A580" s="347">
        <v>108400</v>
      </c>
      <c r="B580" s="364">
        <f t="shared" si="233"/>
        <v>108.4</v>
      </c>
      <c r="C580" s="337">
        <f t="shared" si="214"/>
        <v>119.95220924774881</v>
      </c>
      <c r="D580" s="338">
        <f t="shared" si="215"/>
        <v>1.5624595767680978</v>
      </c>
      <c r="E580" s="338">
        <f t="shared" si="216"/>
        <v>1.0364472790223269</v>
      </c>
      <c r="F580" s="339">
        <f t="shared" si="217"/>
        <v>0.26598363464494351</v>
      </c>
      <c r="G580" s="338">
        <f t="shared" si="218"/>
        <v>1</v>
      </c>
      <c r="H580" s="339">
        <f t="shared" si="219"/>
        <v>0</v>
      </c>
      <c r="I580" s="337">
        <f t="shared" si="220"/>
        <v>1700187.2352692792</v>
      </c>
      <c r="J580" s="340">
        <f t="shared" si="221"/>
        <v>1.5707957386243827</v>
      </c>
      <c r="K580" s="348">
        <f t="shared" si="237"/>
        <v>168.41108401683209</v>
      </c>
      <c r="L580" s="349">
        <f t="shared" si="238"/>
        <v>1.5648584404480577</v>
      </c>
      <c r="M580" s="337">
        <f t="shared" si="222"/>
        <v>1.0703282709096806</v>
      </c>
      <c r="N580" s="340">
        <f t="shared" si="223"/>
        <v>0.36452613329665406</v>
      </c>
      <c r="O580" s="341">
        <f t="shared" si="224"/>
        <v>1.2686916260638206</v>
      </c>
      <c r="P580" s="342">
        <f t="shared" si="225"/>
        <v>0.81577659954813997</v>
      </c>
      <c r="Q580" s="343">
        <f t="shared" si="226"/>
        <v>-27.40689904375774</v>
      </c>
      <c r="R580" s="344">
        <f t="shared" si="227"/>
        <v>-142.24914715342521</v>
      </c>
      <c r="S580" s="346">
        <f t="shared" si="228"/>
        <v>37.750852846574787</v>
      </c>
      <c r="U580" s="319">
        <f t="shared" si="234"/>
        <v>108400</v>
      </c>
      <c r="V580" s="319">
        <f t="shared" si="235"/>
        <v>11750560000</v>
      </c>
      <c r="X580" s="345">
        <f t="shared" si="229"/>
        <v>17.034362867219475</v>
      </c>
      <c r="Y580" s="346">
        <f t="shared" si="230"/>
        <v>-21.225991111589924</v>
      </c>
      <c r="AA580" s="345">
        <f t="shared" si="231"/>
        <v>4.4326880736770411</v>
      </c>
      <c r="AB580" s="346">
        <f t="shared" si="232"/>
        <v>-121.02315604183532</v>
      </c>
      <c r="AD580">
        <f t="shared" si="236"/>
        <v>0</v>
      </c>
      <c r="AE580">
        <f t="shared" si="239"/>
        <v>0</v>
      </c>
    </row>
    <row r="581" spans="1:31" x14ac:dyDescent="0.2">
      <c r="A581" s="347">
        <v>109650</v>
      </c>
      <c r="B581" s="364">
        <f t="shared" si="233"/>
        <v>109.65</v>
      </c>
      <c r="C581" s="337">
        <f t="shared" si="214"/>
        <v>121.33532640768389</v>
      </c>
      <c r="D581" s="338">
        <f t="shared" si="215"/>
        <v>1.5625546106296424</v>
      </c>
      <c r="E581" s="338">
        <f t="shared" si="216"/>
        <v>1.037277501915749</v>
      </c>
      <c r="F581" s="339">
        <f t="shared" si="217"/>
        <v>0.26890582374321936</v>
      </c>
      <c r="G581" s="338">
        <f t="shared" si="218"/>
        <v>1</v>
      </c>
      <c r="H581" s="339">
        <f t="shared" si="219"/>
        <v>0</v>
      </c>
      <c r="I581" s="337">
        <f t="shared" si="220"/>
        <v>1719792.7153807727</v>
      </c>
      <c r="J581" s="340">
        <f t="shared" si="221"/>
        <v>1.570795745329473</v>
      </c>
      <c r="K581" s="348">
        <f t="shared" si="237"/>
        <v>170.35302566823523</v>
      </c>
      <c r="L581" s="349">
        <f t="shared" si="238"/>
        <v>1.5649261302468653</v>
      </c>
      <c r="M581" s="337">
        <f t="shared" si="222"/>
        <v>1.0719048289611521</v>
      </c>
      <c r="N581" s="340">
        <f t="shared" si="223"/>
        <v>0.36836137860735568</v>
      </c>
      <c r="O581" s="341">
        <f t="shared" si="224"/>
        <v>1.2744106939722066</v>
      </c>
      <c r="P581" s="342">
        <f t="shared" si="225"/>
        <v>0.823236497541882</v>
      </c>
      <c r="Q581" s="343">
        <f t="shared" si="226"/>
        <v>-27.551379185888536</v>
      </c>
      <c r="R581" s="344">
        <f t="shared" si="227"/>
        <v>-142.73044917560787</v>
      </c>
      <c r="S581" s="346">
        <f t="shared" si="228"/>
        <v>37.269550824392127</v>
      </c>
      <c r="U581" s="319">
        <f t="shared" si="234"/>
        <v>109650</v>
      </c>
      <c r="V581" s="319">
        <f t="shared" si="235"/>
        <v>12023122500</v>
      </c>
      <c r="X581" s="345">
        <f t="shared" si="229"/>
        <v>17.021574781850521</v>
      </c>
      <c r="Y581" s="346">
        <f t="shared" si="230"/>
        <v>-21.441856525922727</v>
      </c>
      <c r="AA581" s="345">
        <f t="shared" si="231"/>
        <v>4.3009960169151995</v>
      </c>
      <c r="AB581" s="346">
        <f t="shared" si="232"/>
        <v>-121.28859264968513</v>
      </c>
      <c r="AD581">
        <f t="shared" si="236"/>
        <v>0</v>
      </c>
      <c r="AE581">
        <f t="shared" si="239"/>
        <v>0</v>
      </c>
    </row>
    <row r="582" spans="1:31" x14ac:dyDescent="0.2">
      <c r="A582" s="347">
        <v>110925</v>
      </c>
      <c r="B582" s="364">
        <f t="shared" si="233"/>
        <v>110.925</v>
      </c>
      <c r="C582" s="337">
        <f t="shared" si="214"/>
        <v>122.74610701404774</v>
      </c>
      <c r="D582" s="338">
        <f t="shared" si="215"/>
        <v>1.5626493387832374</v>
      </c>
      <c r="E582" s="338">
        <f t="shared" si="216"/>
        <v>1.0381334394850141</v>
      </c>
      <c r="F582" s="339">
        <f t="shared" si="217"/>
        <v>0.27188161556705343</v>
      </c>
      <c r="G582" s="338">
        <f t="shared" si="218"/>
        <v>1</v>
      </c>
      <c r="H582" s="339">
        <f t="shared" si="219"/>
        <v>0</v>
      </c>
      <c r="I582" s="337">
        <f t="shared" si="220"/>
        <v>1739790.3050944956</v>
      </c>
      <c r="J582" s="340">
        <f t="shared" si="221"/>
        <v>1.5707957520129836</v>
      </c>
      <c r="K582" s="348">
        <f t="shared" si="237"/>
        <v>172.33380693847732</v>
      </c>
      <c r="L582" s="349">
        <f t="shared" si="238"/>
        <v>1.5649936022469824</v>
      </c>
      <c r="M582" s="337">
        <f t="shared" si="222"/>
        <v>1.0735291127645654</v>
      </c>
      <c r="N582" s="340">
        <f t="shared" si="223"/>
        <v>0.37226166525340687</v>
      </c>
      <c r="O582" s="341">
        <f t="shared" si="224"/>
        <v>1.2802924243384812</v>
      </c>
      <c r="P582" s="342">
        <f t="shared" si="225"/>
        <v>0.83079713865762461</v>
      </c>
      <c r="Q582" s="343">
        <f t="shared" si="226"/>
        <v>-27.697774803033184</v>
      </c>
      <c r="R582" s="344">
        <f t="shared" si="227"/>
        <v>-143.21817369950207</v>
      </c>
      <c r="S582" s="346">
        <f t="shared" si="228"/>
        <v>36.781826300497926</v>
      </c>
      <c r="U582" s="319">
        <f t="shared" si="234"/>
        <v>110925</v>
      </c>
      <c r="V582" s="319">
        <f t="shared" si="235"/>
        <v>12304355625</v>
      </c>
      <c r="X582" s="345">
        <f t="shared" si="229"/>
        <v>17.008419380949743</v>
      </c>
      <c r="Y582" s="346">
        <f t="shared" si="230"/>
        <v>-21.661461011978567</v>
      </c>
      <c r="AA582" s="345">
        <f t="shared" si="231"/>
        <v>4.1677558006713324</v>
      </c>
      <c r="AB582" s="346">
        <f t="shared" si="232"/>
        <v>-121.55671268752347</v>
      </c>
      <c r="AD582">
        <f t="shared" si="236"/>
        <v>0</v>
      </c>
      <c r="AE582">
        <f t="shared" si="239"/>
        <v>0</v>
      </c>
    </row>
    <row r="583" spans="1:31" x14ac:dyDescent="0.2">
      <c r="A583" s="347">
        <v>112200</v>
      </c>
      <c r="B583" s="364">
        <f t="shared" si="233"/>
        <v>112.2</v>
      </c>
      <c r="C583" s="337">
        <f t="shared" si="214"/>
        <v>124.15688869683297</v>
      </c>
      <c r="D583" s="338">
        <f t="shared" si="215"/>
        <v>1.5627419141655328</v>
      </c>
      <c r="E583" s="338">
        <f t="shared" si="216"/>
        <v>1.0389985548816636</v>
      </c>
      <c r="F583" s="339">
        <f t="shared" si="217"/>
        <v>0.27485247811509572</v>
      </c>
      <c r="G583" s="338">
        <f t="shared" si="218"/>
        <v>1</v>
      </c>
      <c r="H583" s="339">
        <f t="shared" si="219"/>
        <v>0</v>
      </c>
      <c r="I583" s="337">
        <f t="shared" si="220"/>
        <v>1759787.894808219</v>
      </c>
      <c r="J583" s="340">
        <f t="shared" si="221"/>
        <v>1.5707957585445962</v>
      </c>
      <c r="K583" s="348">
        <f t="shared" si="237"/>
        <v>174.31458897543405</v>
      </c>
      <c r="L583" s="349">
        <f t="shared" si="238"/>
        <v>1.5650595408436023</v>
      </c>
      <c r="M583" s="337">
        <f t="shared" si="222"/>
        <v>1.0751696778588762</v>
      </c>
      <c r="N583" s="340">
        <f t="shared" si="223"/>
        <v>0.37615010827040474</v>
      </c>
      <c r="O583" s="341">
        <f t="shared" si="224"/>
        <v>1.2862225108579874</v>
      </c>
      <c r="P583" s="342">
        <f t="shared" si="225"/>
        <v>0.83830908785645331</v>
      </c>
      <c r="Q583" s="343">
        <f t="shared" si="226"/>
        <v>-27.843206957783782</v>
      </c>
      <c r="R583" s="344">
        <f t="shared" si="227"/>
        <v>-143.70267672293286</v>
      </c>
      <c r="S583" s="346">
        <f t="shared" si="228"/>
        <v>36.297323277067136</v>
      </c>
      <c r="U583" s="319">
        <f t="shared" si="234"/>
        <v>112200</v>
      </c>
      <c r="V583" s="319">
        <f t="shared" si="235"/>
        <v>12588840000</v>
      </c>
      <c r="X583" s="345">
        <f t="shared" si="229"/>
        <v>16.995152448927907</v>
      </c>
      <c r="Y583" s="346">
        <f t="shared" si="230"/>
        <v>-21.880474756920432</v>
      </c>
      <c r="AA583" s="345">
        <f t="shared" si="231"/>
        <v>4.0355905779425676</v>
      </c>
      <c r="AB583" s="346">
        <f t="shared" si="232"/>
        <v>-121.82220196601243</v>
      </c>
      <c r="AD583">
        <f t="shared" si="236"/>
        <v>0</v>
      </c>
      <c r="AE583">
        <f t="shared" si="239"/>
        <v>0</v>
      </c>
    </row>
    <row r="584" spans="1:31" x14ac:dyDescent="0.2">
      <c r="A584" s="347">
        <v>113510</v>
      </c>
      <c r="B584" s="364">
        <f t="shared" si="233"/>
        <v>113.51</v>
      </c>
      <c r="C584" s="337">
        <f t="shared" si="214"/>
        <v>125.60639880295696</v>
      </c>
      <c r="D584" s="338">
        <f t="shared" si="215"/>
        <v>1.5628348648490531</v>
      </c>
      <c r="E584" s="338">
        <f t="shared" si="216"/>
        <v>1.0398969536623965</v>
      </c>
      <c r="F584" s="339">
        <f t="shared" si="217"/>
        <v>0.27789971753260728</v>
      </c>
      <c r="G584" s="338">
        <f t="shared" si="218"/>
        <v>1</v>
      </c>
      <c r="H584" s="339">
        <f t="shared" si="219"/>
        <v>0</v>
      </c>
      <c r="I584" s="337">
        <f t="shared" si="220"/>
        <v>1780334.4379650641</v>
      </c>
      <c r="J584" s="340">
        <f t="shared" si="221"/>
        <v>1.5707957651026783</v>
      </c>
      <c r="K584" s="348">
        <f t="shared" si="237"/>
        <v>176.34974619266734</v>
      </c>
      <c r="L584" s="349">
        <f t="shared" si="238"/>
        <v>1.5651257467069957</v>
      </c>
      <c r="M584" s="337">
        <f t="shared" si="222"/>
        <v>1.0768721576869222</v>
      </c>
      <c r="N584" s="340">
        <f t="shared" si="223"/>
        <v>0.38013289069117595</v>
      </c>
      <c r="O584" s="341">
        <f t="shared" si="224"/>
        <v>1.2923653285093246</v>
      </c>
      <c r="P584" s="342">
        <f t="shared" si="225"/>
        <v>0.84597679658757807</v>
      </c>
      <c r="Q584" s="343">
        <f t="shared" si="226"/>
        <v>-27.991648515045846</v>
      </c>
      <c r="R584" s="344">
        <f t="shared" si="227"/>
        <v>-144.19713947903421</v>
      </c>
      <c r="S584" s="346">
        <f t="shared" si="228"/>
        <v>35.802860520965794</v>
      </c>
      <c r="U584" s="319">
        <f t="shared" si="234"/>
        <v>113510</v>
      </c>
      <c r="V584" s="319">
        <f t="shared" si="235"/>
        <v>12884520100</v>
      </c>
      <c r="X584" s="345">
        <f t="shared" si="229"/>
        <v>16.981406355276501</v>
      </c>
      <c r="Y584" s="346">
        <f t="shared" si="230"/>
        <v>-22.104878439804889</v>
      </c>
      <c r="AA584" s="345">
        <f t="shared" si="231"/>
        <v>3.9008951143319077</v>
      </c>
      <c r="AB584" s="346">
        <f t="shared" si="232"/>
        <v>-122.09226103922934</v>
      </c>
      <c r="AD584">
        <f t="shared" si="236"/>
        <v>0</v>
      </c>
      <c r="AE584">
        <f t="shared" si="239"/>
        <v>0</v>
      </c>
    </row>
    <row r="585" spans="1:31" x14ac:dyDescent="0.2">
      <c r="A585" s="347">
        <v>114820</v>
      </c>
      <c r="B585" s="364">
        <f t="shared" si="233"/>
        <v>114.82</v>
      </c>
      <c r="C585" s="337">
        <f t="shared" si="214"/>
        <v>127.05590996953752</v>
      </c>
      <c r="D585" s="338">
        <f t="shared" si="215"/>
        <v>1.5629256946866434</v>
      </c>
      <c r="E585" s="338">
        <f t="shared" si="216"/>
        <v>1.0408049918589046</v>
      </c>
      <c r="F585" s="339">
        <f t="shared" si="217"/>
        <v>0.28094166809870164</v>
      </c>
      <c r="G585" s="338">
        <f t="shared" si="218"/>
        <v>1</v>
      </c>
      <c r="H585" s="339">
        <f t="shared" si="219"/>
        <v>0</v>
      </c>
      <c r="I585" s="337">
        <f t="shared" si="220"/>
        <v>1800880.9811219096</v>
      </c>
      <c r="J585" s="340">
        <f t="shared" si="221"/>
        <v>1.5707957715111158</v>
      </c>
      <c r="K585" s="348">
        <f t="shared" si="237"/>
        <v>178.38490416524212</v>
      </c>
      <c r="L585" s="349">
        <f t="shared" si="238"/>
        <v>1.5651904419115523</v>
      </c>
      <c r="M585" s="337">
        <f t="shared" si="222"/>
        <v>1.0785916653766412</v>
      </c>
      <c r="N585" s="340">
        <f t="shared" si="223"/>
        <v>0.38410303709417598</v>
      </c>
      <c r="O585" s="341">
        <f t="shared" si="224"/>
        <v>1.2985583417026938</v>
      </c>
      <c r="P585" s="342">
        <f t="shared" si="225"/>
        <v>0.85359364926344272</v>
      </c>
      <c r="Q585" s="343">
        <f t="shared" si="226"/>
        <v>-28.139114197403366</v>
      </c>
      <c r="R585" s="344">
        <f t="shared" si="227"/>
        <v>-144.68823246646002</v>
      </c>
      <c r="S585" s="346">
        <f t="shared" si="228"/>
        <v>35.311767533539978</v>
      </c>
      <c r="U585" s="319">
        <f t="shared" si="234"/>
        <v>114820</v>
      </c>
      <c r="V585" s="319">
        <f t="shared" si="235"/>
        <v>13183632400</v>
      </c>
      <c r="X585" s="345">
        <f t="shared" si="229"/>
        <v>16.967544956470803</v>
      </c>
      <c r="Y585" s="346">
        <f t="shared" si="230"/>
        <v>-22.328644678002131</v>
      </c>
      <c r="AA585" s="345">
        <f t="shared" si="231"/>
        <v>3.7672908307800834</v>
      </c>
      <c r="AB585" s="346">
        <f t="shared" si="232"/>
        <v>-122.35958778845793</v>
      </c>
      <c r="AD585">
        <f t="shared" si="236"/>
        <v>0</v>
      </c>
      <c r="AE585">
        <f t="shared" si="239"/>
        <v>0</v>
      </c>
    </row>
    <row r="586" spans="1:31" x14ac:dyDescent="0.2">
      <c r="A586" s="347">
        <v>116155</v>
      </c>
      <c r="B586" s="364">
        <f t="shared" si="233"/>
        <v>116.155</v>
      </c>
      <c r="C586" s="337">
        <f t="shared" si="214"/>
        <v>128.53308461682175</v>
      </c>
      <c r="D586" s="338">
        <f t="shared" si="215"/>
        <v>1.5630161502623181</v>
      </c>
      <c r="E586" s="338">
        <f t="shared" si="216"/>
        <v>1.041740250038022</v>
      </c>
      <c r="F586" s="339">
        <f t="shared" si="217"/>
        <v>0.28403618605494085</v>
      </c>
      <c r="G586" s="338">
        <f t="shared" si="218"/>
        <v>1</v>
      </c>
      <c r="H586" s="339">
        <f t="shared" si="219"/>
        <v>0</v>
      </c>
      <c r="I586" s="337">
        <f t="shared" si="220"/>
        <v>1821819.6338809847</v>
      </c>
      <c r="J586" s="340">
        <f t="shared" si="221"/>
        <v>1.5707957778931385</v>
      </c>
      <c r="K586" s="348">
        <f t="shared" si="237"/>
        <v>180.45890178106586</v>
      </c>
      <c r="L586" s="349">
        <f t="shared" si="238"/>
        <v>1.5652548704959557</v>
      </c>
      <c r="M586" s="337">
        <f t="shared" si="222"/>
        <v>1.0803614223166653</v>
      </c>
      <c r="N586" s="340">
        <f t="shared" si="223"/>
        <v>0.38813588282345968</v>
      </c>
      <c r="O586" s="341">
        <f t="shared" si="224"/>
        <v>1.3049207454838179</v>
      </c>
      <c r="P586" s="342">
        <f t="shared" si="225"/>
        <v>0.86130383832954482</v>
      </c>
      <c r="Q586" s="343">
        <f t="shared" si="226"/>
        <v>-28.288410482476969</v>
      </c>
      <c r="R586" s="344">
        <f t="shared" si="227"/>
        <v>-145.18524758337512</v>
      </c>
      <c r="S586" s="346">
        <f t="shared" si="228"/>
        <v>34.814752416624884</v>
      </c>
      <c r="U586" s="319">
        <f t="shared" si="234"/>
        <v>116155</v>
      </c>
      <c r="V586" s="319">
        <f t="shared" si="235"/>
        <v>13491984025</v>
      </c>
      <c r="X586" s="345">
        <f t="shared" si="229"/>
        <v>16.953301678961854</v>
      </c>
      <c r="Y586" s="346">
        <f t="shared" si="230"/>
        <v>-22.556018597673898</v>
      </c>
      <c r="AA586" s="345">
        <f t="shared" si="231"/>
        <v>3.6322378232154309</v>
      </c>
      <c r="AB586" s="346">
        <f t="shared" si="232"/>
        <v>-122.62922898570125</v>
      </c>
      <c r="AD586">
        <f t="shared" si="236"/>
        <v>0</v>
      </c>
      <c r="AE586">
        <f t="shared" si="239"/>
        <v>0</v>
      </c>
    </row>
    <row r="587" spans="1:31" x14ac:dyDescent="0.2">
      <c r="A587" s="347">
        <v>117490</v>
      </c>
      <c r="B587" s="364">
        <f t="shared" si="233"/>
        <v>117.49</v>
      </c>
      <c r="C587" s="337">
        <f t="shared" si="214"/>
        <v>130.01026029189239</v>
      </c>
      <c r="D587" s="338">
        <f t="shared" si="215"/>
        <v>1.5631045503274565</v>
      </c>
      <c r="E587" s="338">
        <f t="shared" si="216"/>
        <v>1.0426854660133111</v>
      </c>
      <c r="F587" s="339">
        <f t="shared" si="217"/>
        <v>0.28712512305723809</v>
      </c>
      <c r="G587" s="338">
        <f t="shared" si="218"/>
        <v>1</v>
      </c>
      <c r="H587" s="339">
        <f t="shared" si="219"/>
        <v>0</v>
      </c>
      <c r="I587" s="337">
        <f t="shared" si="220"/>
        <v>1842758.2866400597</v>
      </c>
      <c r="J587" s="340">
        <f t="shared" si="221"/>
        <v>1.5707957841301277</v>
      </c>
      <c r="K587" s="348">
        <f t="shared" si="237"/>
        <v>182.53290012895931</v>
      </c>
      <c r="L587" s="349">
        <f t="shared" si="238"/>
        <v>1.5653178349634342</v>
      </c>
      <c r="M587" s="337">
        <f t="shared" si="222"/>
        <v>1.0821486924496451</v>
      </c>
      <c r="N587" s="340">
        <f t="shared" si="223"/>
        <v>0.39215547250121752</v>
      </c>
      <c r="O587" s="341">
        <f t="shared" si="224"/>
        <v>1.3113343973791243</v>
      </c>
      <c r="P587" s="342">
        <f t="shared" si="225"/>
        <v>0.86896182192468607</v>
      </c>
      <c r="Q587" s="343">
        <f t="shared" si="226"/>
        <v>-28.436733714729115</v>
      </c>
      <c r="R587" s="344">
        <f t="shared" si="227"/>
        <v>-145.678797903766</v>
      </c>
      <c r="S587" s="346">
        <f t="shared" si="228"/>
        <v>34.321202096234003</v>
      </c>
      <c r="U587" s="319">
        <f t="shared" si="234"/>
        <v>117490</v>
      </c>
      <c r="V587" s="319">
        <f t="shared" si="235"/>
        <v>13803900100</v>
      </c>
      <c r="X587" s="345">
        <f t="shared" si="229"/>
        <v>16.938941243962141</v>
      </c>
      <c r="Y587" s="346">
        <f t="shared" si="230"/>
        <v>-22.782716880950165</v>
      </c>
      <c r="AA587" s="345">
        <f t="shared" si="231"/>
        <v>3.498275025962998</v>
      </c>
      <c r="AB587" s="346">
        <f t="shared" si="232"/>
        <v>-122.89608102281585</v>
      </c>
      <c r="AD587">
        <f t="shared" si="236"/>
        <v>0</v>
      </c>
      <c r="AE587">
        <f t="shared" si="239"/>
        <v>0</v>
      </c>
    </row>
    <row r="588" spans="1:31" x14ac:dyDescent="0.2">
      <c r="A588" s="347">
        <v>118860</v>
      </c>
      <c r="B588" s="364">
        <f t="shared" si="233"/>
        <v>118.86</v>
      </c>
      <c r="C588" s="337">
        <f t="shared" si="214"/>
        <v>131.52616445135888</v>
      </c>
      <c r="D588" s="338">
        <f t="shared" si="215"/>
        <v>1.5631932035774228</v>
      </c>
      <c r="E588" s="338">
        <f t="shared" si="216"/>
        <v>1.0436657873724207</v>
      </c>
      <c r="F588" s="339">
        <f t="shared" si="217"/>
        <v>0.29028919525041447</v>
      </c>
      <c r="G588" s="338">
        <f t="shared" si="218"/>
        <v>1</v>
      </c>
      <c r="H588" s="339">
        <f t="shared" si="219"/>
        <v>0</v>
      </c>
      <c r="I588" s="337">
        <f t="shared" si="220"/>
        <v>1864245.8928422569</v>
      </c>
      <c r="J588" s="340">
        <f t="shared" si="221"/>
        <v>1.5707957903849714</v>
      </c>
      <c r="K588" s="348">
        <f t="shared" si="237"/>
        <v>184.66127370061579</v>
      </c>
      <c r="L588" s="349">
        <f t="shared" si="238"/>
        <v>1.5653809797237941</v>
      </c>
      <c r="M588" s="337">
        <f t="shared" si="222"/>
        <v>1.0840009369297741</v>
      </c>
      <c r="N588" s="340">
        <f t="shared" si="223"/>
        <v>0.39626659566626227</v>
      </c>
      <c r="O588" s="341">
        <f t="shared" si="224"/>
        <v>1.3179690215605693</v>
      </c>
      <c r="P588" s="342">
        <f t="shared" si="225"/>
        <v>0.87676663416619849</v>
      </c>
      <c r="Q588" s="343">
        <f t="shared" si="226"/>
        <v>-28.587954069031603</v>
      </c>
      <c r="R588" s="344">
        <f t="shared" si="227"/>
        <v>-146.1817046165155</v>
      </c>
      <c r="S588" s="346">
        <f t="shared" si="228"/>
        <v>33.818295383484497</v>
      </c>
      <c r="U588" s="319">
        <f t="shared" si="234"/>
        <v>118860</v>
      </c>
      <c r="V588" s="319">
        <f t="shared" si="235"/>
        <v>14127699600</v>
      </c>
      <c r="X588" s="345">
        <f t="shared" si="229"/>
        <v>16.924083885524634</v>
      </c>
      <c r="Y588" s="346">
        <f t="shared" si="230"/>
        <v>-23.014649317739881</v>
      </c>
      <c r="AA588" s="345">
        <f t="shared" si="231"/>
        <v>3.3619120300980181</v>
      </c>
      <c r="AB588" s="346">
        <f t="shared" si="232"/>
        <v>-123.16705529877565</v>
      </c>
      <c r="AD588">
        <f t="shared" si="236"/>
        <v>0</v>
      </c>
      <c r="AE588">
        <f t="shared" si="239"/>
        <v>0</v>
      </c>
    </row>
    <row r="589" spans="1:31" x14ac:dyDescent="0.2">
      <c r="A589" s="347">
        <v>120230</v>
      </c>
      <c r="B589" s="364">
        <f t="shared" si="233"/>
        <v>120.23</v>
      </c>
      <c r="C589" s="337">
        <f t="shared" ref="C589:C613" si="240">SQRT(1+(A589/pole1)^2)</f>
        <v>133.04206962098527</v>
      </c>
      <c r="D589" s="338">
        <f t="shared" ref="D589:D613" si="241">ATAN(A589/pole1)</f>
        <v>1.5632798365660403</v>
      </c>
      <c r="E589" s="338">
        <f t="shared" ref="E589:E613" si="242">SQRT(1+(A589/Zero1)^2)</f>
        <v>1.0446565375669556</v>
      </c>
      <c r="F589" s="339">
        <f t="shared" ref="F589:F613" si="243">ATAN(A589/Zero1)</f>
        <v>0.29344729741112296</v>
      </c>
      <c r="G589" s="338">
        <f t="shared" ref="G589:G613" si="244">IF(VIN_nom&gt;Vout, 1, SQRT(1+(A589/z_RHP)^2))</f>
        <v>1</v>
      </c>
      <c r="H589" s="339">
        <f t="shared" ref="H589:H613" si="245">IF(VIN_nom&gt;Vout, 0, -ATAN(A589/z_RHP))</f>
        <v>0</v>
      </c>
      <c r="I589" s="337">
        <f t="shared" ref="I589:I613" si="246">SQRT(1+(A589/Pole2)^2)</f>
        <v>1885733.4990444542</v>
      </c>
      <c r="J589" s="340">
        <f t="shared" ref="J589:J613" si="247">ATAN(A589/Pole2)</f>
        <v>1.5707957964972694</v>
      </c>
      <c r="K589" s="348">
        <f t="shared" si="237"/>
        <v>186.78964799178556</v>
      </c>
      <c r="L589" s="349">
        <f t="shared" si="238"/>
        <v>1.5654426854786898</v>
      </c>
      <c r="M589" s="337">
        <f t="shared" ref="M589:M613" si="248">SQRT(1+(A589/pole4)^2)</f>
        <v>1.0858714397882214</v>
      </c>
      <c r="N589" s="340">
        <f t="shared" ref="N589:N613" si="249">ATAN(A589/pole4)</f>
        <v>0.4003636243832524</v>
      </c>
      <c r="O589" s="341">
        <f t="shared" ref="O589:O613" si="250">SQRT((1-(V589/pterm2))^2+(A589/pterm1)^2)</f>
        <v>1.3246566931350829</v>
      </c>
      <c r="P589" s="342">
        <f t="shared" ref="P589:P613" si="251">IF((ATAN((A589/pterm1)/(1-A589^2/pterm2))&gt;0),ATAN((A589/pterm1)/(1-A589^2/pterm2)),PI()+ATAN((A589/pterm1)/(1-A589^2/pterm2)))</f>
        <v>0.88451715417570664</v>
      </c>
      <c r="Q589" s="343">
        <f t="shared" ref="Q589:Q613" si="252">20*LOG10(((E589*K589*G589)/(C589*I589*O589*M589))*Adc)</f>
        <v>-28.738189876959961</v>
      </c>
      <c r="R589" s="344">
        <f t="shared" ref="R589:R613" si="253">((F589+L589+H589)-(D589+J589+P589+N589))*radconv</f>
        <v>-146.68100180710633</v>
      </c>
      <c r="S589" s="346">
        <f t="shared" ref="S589:S613" si="254">IF(R589&gt;0,R589,R589+180)</f>
        <v>33.318998192893673</v>
      </c>
      <c r="U589" s="319">
        <f t="shared" si="234"/>
        <v>120230</v>
      </c>
      <c r="V589" s="319">
        <f t="shared" si="235"/>
        <v>14455252900</v>
      </c>
      <c r="X589" s="345">
        <f t="shared" ref="X589:X613" si="255">20*LOG10((K589/(I589*M589))*AEA)</f>
        <v>16.90910593873982</v>
      </c>
      <c r="Y589" s="346">
        <f t="shared" ref="Y589:Y613" si="256">(L589-(J589+N589))*radconv</f>
        <v>-23.245856642913193</v>
      </c>
      <c r="AA589" s="345">
        <f t="shared" ref="AA589:AA613" si="257">20*LOG10((E589*G589/(C589*O589))*Acs*Am)</f>
        <v>3.2266541689544725</v>
      </c>
      <c r="AB589" s="346">
        <f t="shared" ref="AB589:AB613" si="258">(F589+H589-(D589+P589))*radconv</f>
        <v>-123.43514516419314</v>
      </c>
      <c r="AD589">
        <f t="shared" si="236"/>
        <v>0</v>
      </c>
      <c r="AE589">
        <f t="shared" si="239"/>
        <v>0</v>
      </c>
    </row>
    <row r="590" spans="1:31" x14ac:dyDescent="0.2">
      <c r="A590" s="347">
        <v>126030</v>
      </c>
      <c r="B590" s="364">
        <f t="shared" ref="B590:B613" si="259">A590/1000</f>
        <v>126.03</v>
      </c>
      <c r="C590" s="337">
        <f t="shared" si="240"/>
        <v>139.45978077176545</v>
      </c>
      <c r="D590" s="338">
        <f t="shared" si="241"/>
        <v>1.5636257392314303</v>
      </c>
      <c r="E590" s="338">
        <f t="shared" si="242"/>
        <v>1.0489658029752091</v>
      </c>
      <c r="F590" s="339">
        <f t="shared" si="243"/>
        <v>0.30675018145500621</v>
      </c>
      <c r="G590" s="338">
        <f t="shared" si="244"/>
        <v>1</v>
      </c>
      <c r="H590" s="339">
        <f t="shared" si="245"/>
        <v>0</v>
      </c>
      <c r="I590" s="337">
        <f t="shared" si="246"/>
        <v>1976702.9267617862</v>
      </c>
      <c r="J590" s="340">
        <f t="shared" si="247"/>
        <v>1.5707958209019846</v>
      </c>
      <c r="K590" s="348">
        <f t="shared" si="237"/>
        <v>195.80029110795124</v>
      </c>
      <c r="L590" s="349">
        <f t="shared" si="238"/>
        <v>1.5656890598867772</v>
      </c>
      <c r="M590" s="337">
        <f t="shared" si="248"/>
        <v>1.0939904572726529</v>
      </c>
      <c r="N590" s="340">
        <f t="shared" si="249"/>
        <v>0.4175511249705644</v>
      </c>
      <c r="O590" s="341">
        <f t="shared" si="250"/>
        <v>1.3535467426312251</v>
      </c>
      <c r="P590" s="342">
        <f t="shared" si="251"/>
        <v>0.91673645119610969</v>
      </c>
      <c r="Q590" s="343">
        <f t="shared" si="252"/>
        <v>-29.363745575409197</v>
      </c>
      <c r="R590" s="344">
        <f t="shared" si="253"/>
        <v>-148.7553076279622</v>
      </c>
      <c r="S590" s="346">
        <f t="shared" si="254"/>
        <v>31.244692372037804</v>
      </c>
      <c r="U590" s="319">
        <f t="shared" ref="U590:U613" si="260">IF(Q590&lt;0,A590,1000000000)</f>
        <v>126030</v>
      </c>
      <c r="V590" s="319">
        <f t="shared" ref="V590:V613" si="261">A590^2</f>
        <v>15883560900</v>
      </c>
      <c r="X590" s="345">
        <f t="shared" si="255"/>
        <v>16.844392283420721</v>
      </c>
      <c r="Y590" s="346">
        <f t="shared" si="256"/>
        <v>-24.216513072577662</v>
      </c>
      <c r="AA590" s="345">
        <f t="shared" si="257"/>
        <v>2.6658121258243335</v>
      </c>
      <c r="AB590" s="346">
        <f t="shared" si="258"/>
        <v>-124.53879455538451</v>
      </c>
      <c r="AD590">
        <f t="shared" ref="AD590:AD613" si="262">SUM((Q591&lt;0)*(Q590&gt;0))*A590</f>
        <v>0</v>
      </c>
      <c r="AE590">
        <f t="shared" si="239"/>
        <v>0</v>
      </c>
    </row>
    <row r="591" spans="1:31" x14ac:dyDescent="0.2">
      <c r="A591" s="347">
        <v>131830</v>
      </c>
      <c r="B591" s="364">
        <f t="shared" si="259"/>
        <v>131.83000000000001</v>
      </c>
      <c r="C591" s="337">
        <f t="shared" si="240"/>
        <v>145.87750714054184</v>
      </c>
      <c r="D591" s="338">
        <f t="shared" si="241"/>
        <v>1.5639412066892902</v>
      </c>
      <c r="E591" s="338">
        <f t="shared" si="242"/>
        <v>1.0534591626685519</v>
      </c>
      <c r="F591" s="339">
        <f t="shared" si="243"/>
        <v>0.31994190113019561</v>
      </c>
      <c r="G591" s="338">
        <f t="shared" si="244"/>
        <v>1</v>
      </c>
      <c r="H591" s="339">
        <f t="shared" si="245"/>
        <v>0</v>
      </c>
      <c r="I591" s="337">
        <f t="shared" si="246"/>
        <v>2067672.3544791194</v>
      </c>
      <c r="J591" s="340">
        <f t="shared" si="247"/>
        <v>1.5707958431592772</v>
      </c>
      <c r="K591" s="348">
        <f t="shared" si="237"/>
        <v>204.81094506349021</v>
      </c>
      <c r="L591" s="349">
        <f t="shared" si="238"/>
        <v>1.5659137558319487</v>
      </c>
      <c r="M591" s="337">
        <f t="shared" si="248"/>
        <v>1.1024278353079042</v>
      </c>
      <c r="N591" s="340">
        <f t="shared" si="249"/>
        <v>0.43448047672980766</v>
      </c>
      <c r="O591" s="341">
        <f t="shared" si="250"/>
        <v>1.3833462093899116</v>
      </c>
      <c r="P591" s="342">
        <f t="shared" si="251"/>
        <v>0.94801745323691089</v>
      </c>
      <c r="Q591" s="343">
        <f t="shared" si="252"/>
        <v>-29.973300186535727</v>
      </c>
      <c r="R591" s="344">
        <f t="shared" si="253"/>
        <v>-150.76692966975378</v>
      </c>
      <c r="S591" s="346">
        <f t="shared" si="254"/>
        <v>29.233070330246221</v>
      </c>
      <c r="U591" s="319">
        <f t="shared" si="260"/>
        <v>131830</v>
      </c>
      <c r="V591" s="319">
        <f t="shared" si="261"/>
        <v>17379148900</v>
      </c>
      <c r="X591" s="345">
        <f t="shared" si="255"/>
        <v>16.777649804386819</v>
      </c>
      <c r="Y591" s="346">
        <f t="shared" si="256"/>
        <v>-25.173620625285235</v>
      </c>
      <c r="AA591" s="345">
        <f t="shared" si="257"/>
        <v>2.1229999937317059</v>
      </c>
      <c r="AB591" s="346">
        <f t="shared" si="258"/>
        <v>-125.59330904446854</v>
      </c>
      <c r="AD591">
        <f t="shared" si="262"/>
        <v>0</v>
      </c>
      <c r="AE591">
        <f t="shared" si="239"/>
        <v>0</v>
      </c>
    </row>
    <row r="592" spans="1:31" x14ac:dyDescent="0.2">
      <c r="A592" s="347">
        <v>144540</v>
      </c>
      <c r="B592" s="364">
        <f t="shared" si="259"/>
        <v>144.54</v>
      </c>
      <c r="C592" s="337">
        <f t="shared" si="240"/>
        <v>159.94122418867693</v>
      </c>
      <c r="D592" s="338">
        <f t="shared" si="241"/>
        <v>1.5645439892853537</v>
      </c>
      <c r="E592" s="338">
        <f t="shared" si="242"/>
        <v>1.0639380178165623</v>
      </c>
      <c r="F592" s="339">
        <f t="shared" si="243"/>
        <v>0.34844618857667631</v>
      </c>
      <c r="G592" s="338">
        <f t="shared" si="244"/>
        <v>1</v>
      </c>
      <c r="H592" s="339">
        <f t="shared" si="245"/>
        <v>0</v>
      </c>
      <c r="I592" s="337">
        <f t="shared" si="246"/>
        <v>2267020.8762527956</v>
      </c>
      <c r="J592" s="340">
        <f t="shared" si="247"/>
        <v>1.5707958856873574</v>
      </c>
      <c r="K592" s="348">
        <f t="shared" si="237"/>
        <v>224.55673724236911</v>
      </c>
      <c r="L592" s="349">
        <f t="shared" si="238"/>
        <v>1.566343094540541</v>
      </c>
      <c r="M592" s="337">
        <f t="shared" si="248"/>
        <v>1.1219950800392406</v>
      </c>
      <c r="N592" s="340">
        <f t="shared" si="249"/>
        <v>0.47065930255745475</v>
      </c>
      <c r="O592" s="341">
        <f t="shared" si="250"/>
        <v>1.4516791751143425</v>
      </c>
      <c r="P592" s="342">
        <f t="shared" si="251"/>
        <v>1.0134310099261861</v>
      </c>
      <c r="Q592" s="343">
        <f t="shared" si="252"/>
        <v>-31.258397679415282</v>
      </c>
      <c r="R592" s="344">
        <f t="shared" si="253"/>
        <v>-154.9645090941514</v>
      </c>
      <c r="S592" s="346">
        <f t="shared" si="254"/>
        <v>25.035490905848604</v>
      </c>
      <c r="U592" s="319">
        <f t="shared" si="260"/>
        <v>144540</v>
      </c>
      <c r="V592" s="319">
        <f t="shared" si="261"/>
        <v>20891811600</v>
      </c>
      <c r="X592" s="345">
        <f t="shared" si="255"/>
        <v>16.624816750923955</v>
      </c>
      <c r="Y592" s="346">
        <f t="shared" si="256"/>
        <v>-27.221917795984407</v>
      </c>
      <c r="AA592" s="345">
        <f t="shared" si="257"/>
        <v>0.99073555431501703</v>
      </c>
      <c r="AB592" s="346">
        <f t="shared" si="258"/>
        <v>-127.74259129816699</v>
      </c>
      <c r="AD592">
        <f t="shared" si="262"/>
        <v>0</v>
      </c>
      <c r="AE592">
        <f t="shared" si="239"/>
        <v>0</v>
      </c>
    </row>
    <row r="593" spans="1:31" x14ac:dyDescent="0.2">
      <c r="A593" s="347">
        <v>158490</v>
      </c>
      <c r="B593" s="364">
        <f t="shared" si="259"/>
        <v>158.49</v>
      </c>
      <c r="C593" s="337">
        <f t="shared" si="240"/>
        <v>175.37706683574439</v>
      </c>
      <c r="D593" s="338">
        <f t="shared" si="241"/>
        <v>1.5650942960965719</v>
      </c>
      <c r="E593" s="338">
        <f t="shared" si="242"/>
        <v>1.0764134173640778</v>
      </c>
      <c r="F593" s="339">
        <f t="shared" si="243"/>
        <v>0.37906487092882779</v>
      </c>
      <c r="G593" s="338">
        <f t="shared" si="244"/>
        <v>1</v>
      </c>
      <c r="H593" s="339">
        <f t="shared" si="245"/>
        <v>0</v>
      </c>
      <c r="I593" s="337">
        <f t="shared" si="246"/>
        <v>2485818.0342970784</v>
      </c>
      <c r="J593" s="340">
        <f t="shared" si="247"/>
        <v>1.5707959245128365</v>
      </c>
      <c r="K593" s="348">
        <f t="shared" si="237"/>
        <v>246.22898780308742</v>
      </c>
      <c r="L593" s="349">
        <f t="shared" si="238"/>
        <v>1.5667350553828052</v>
      </c>
      <c r="M593" s="337">
        <f t="shared" si="248"/>
        <v>1.1450998008641584</v>
      </c>
      <c r="N593" s="340">
        <f t="shared" si="249"/>
        <v>0.50888901249058016</v>
      </c>
      <c r="O593" s="341">
        <f t="shared" si="250"/>
        <v>1.531191843210679</v>
      </c>
      <c r="P593" s="342">
        <f t="shared" si="251"/>
        <v>1.0805886287654185</v>
      </c>
      <c r="Q593" s="343">
        <f t="shared" si="252"/>
        <v>-32.597631344682966</v>
      </c>
      <c r="R593" s="344">
        <f t="shared" si="253"/>
        <v>-159.25751175910068</v>
      </c>
      <c r="S593" s="346">
        <f t="shared" si="254"/>
        <v>20.74248824089932</v>
      </c>
      <c r="U593" s="319">
        <f t="shared" si="260"/>
        <v>158490</v>
      </c>
      <c r="V593" s="319">
        <f t="shared" si="261"/>
        <v>25119080100</v>
      </c>
      <c r="X593" s="345">
        <f t="shared" si="255"/>
        <v>16.447754524788966</v>
      </c>
      <c r="Y593" s="346">
        <f t="shared" si="256"/>
        <v>-29.389863352179034</v>
      </c>
      <c r="AA593" s="345">
        <f t="shared" si="257"/>
        <v>-0.17143588481767735</v>
      </c>
      <c r="AB593" s="346">
        <f t="shared" si="258"/>
        <v>-129.86764840692163</v>
      </c>
      <c r="AD593">
        <f t="shared" si="262"/>
        <v>0</v>
      </c>
      <c r="AE593">
        <f t="shared" si="239"/>
        <v>0</v>
      </c>
    </row>
    <row r="594" spans="1:31" x14ac:dyDescent="0.2">
      <c r="A594" s="347">
        <v>173780</v>
      </c>
      <c r="B594" s="364">
        <f t="shared" si="259"/>
        <v>173.78</v>
      </c>
      <c r="C594" s="337">
        <f t="shared" si="240"/>
        <v>192.29568632998865</v>
      </c>
      <c r="D594" s="338">
        <f t="shared" si="241"/>
        <v>1.5655959786936489</v>
      </c>
      <c r="E594" s="338">
        <f t="shared" si="242"/>
        <v>1.0912178892792042</v>
      </c>
      <c r="F594" s="339">
        <f t="shared" si="243"/>
        <v>0.41178645105943507</v>
      </c>
      <c r="G594" s="338">
        <f t="shared" si="244"/>
        <v>1</v>
      </c>
      <c r="H594" s="339">
        <f t="shared" si="245"/>
        <v>0</v>
      </c>
      <c r="I594" s="337">
        <f t="shared" si="246"/>
        <v>2725632.2670208868</v>
      </c>
      <c r="J594" s="340">
        <f t="shared" si="247"/>
        <v>1.5707959599075465</v>
      </c>
      <c r="K594" s="348">
        <f t="shared" si="237"/>
        <v>269.9830534134137</v>
      </c>
      <c r="L594" s="349">
        <f t="shared" si="238"/>
        <v>1.5670923821439458</v>
      </c>
      <c r="M594" s="337">
        <f t="shared" si="248"/>
        <v>1.1722651178382657</v>
      </c>
      <c r="N594" s="340">
        <f t="shared" si="249"/>
        <v>0.54899507544706005</v>
      </c>
      <c r="O594" s="341">
        <f t="shared" si="250"/>
        <v>1.6234003865188353</v>
      </c>
      <c r="P594" s="342">
        <f t="shared" si="251"/>
        <v>1.1491147685286414</v>
      </c>
      <c r="Q594" s="343">
        <f t="shared" si="252"/>
        <v>-33.990501522976132</v>
      </c>
      <c r="R594" s="344">
        <f t="shared" si="253"/>
        <v>-163.61514306676037</v>
      </c>
      <c r="S594" s="346">
        <f t="shared" si="254"/>
        <v>16.384856933239632</v>
      </c>
      <c r="U594" s="319">
        <f t="shared" si="260"/>
        <v>173780</v>
      </c>
      <c r="V594" s="319">
        <f t="shared" si="261"/>
        <v>30199488400</v>
      </c>
      <c r="X594" s="345">
        <f t="shared" si="255"/>
        <v>16.244092412701409</v>
      </c>
      <c r="Y594" s="346">
        <f t="shared" si="256"/>
        <v>-31.667300207720736</v>
      </c>
      <c r="AA594" s="345">
        <f t="shared" si="257"/>
        <v>-1.3606439510232879</v>
      </c>
      <c r="AB594" s="346">
        <f t="shared" si="258"/>
        <v>-131.94784285903964</v>
      </c>
      <c r="AD594">
        <f t="shared" si="262"/>
        <v>0</v>
      </c>
      <c r="AE594">
        <f t="shared" si="239"/>
        <v>0</v>
      </c>
    </row>
    <row r="595" spans="1:31" x14ac:dyDescent="0.2">
      <c r="A595" s="347">
        <v>190550</v>
      </c>
      <c r="B595" s="364">
        <f t="shared" si="259"/>
        <v>190.55</v>
      </c>
      <c r="C595" s="337">
        <f t="shared" si="240"/>
        <v>210.85199481080454</v>
      </c>
      <c r="D595" s="338">
        <f t="shared" si="241"/>
        <v>1.5660536457984739</v>
      </c>
      <c r="E595" s="338">
        <f t="shared" si="242"/>
        <v>1.1087603025896673</v>
      </c>
      <c r="F595" s="339">
        <f t="shared" si="243"/>
        <v>0.44662913914353713</v>
      </c>
      <c r="G595" s="338">
        <f t="shared" si="244"/>
        <v>1</v>
      </c>
      <c r="H595" s="339">
        <f t="shared" si="245"/>
        <v>0</v>
      </c>
      <c r="I595" s="337">
        <f t="shared" si="246"/>
        <v>2988659.3881967091</v>
      </c>
      <c r="J595" s="340">
        <f t="shared" si="247"/>
        <v>1.5707959921967138</v>
      </c>
      <c r="K595" s="348">
        <f t="shared" si="237"/>
        <v>296.03643368743906</v>
      </c>
      <c r="L595" s="349">
        <f t="shared" si="238"/>
        <v>1.5674183577749163</v>
      </c>
      <c r="M595" s="337">
        <f t="shared" si="248"/>
        <v>1.2041233120412087</v>
      </c>
      <c r="N595" s="340">
        <f t="shared" si="249"/>
        <v>0.59082799988541967</v>
      </c>
      <c r="O595" s="341">
        <f t="shared" si="250"/>
        <v>1.7302279851490685</v>
      </c>
      <c r="P595" s="342">
        <f t="shared" si="251"/>
        <v>1.2187825016591511</v>
      </c>
      <c r="Q595" s="343">
        <f t="shared" si="252"/>
        <v>-35.438607353786942</v>
      </c>
      <c r="R595" s="344">
        <f t="shared" si="253"/>
        <v>-168.01486840499038</v>
      </c>
      <c r="S595" s="346">
        <f t="shared" si="254"/>
        <v>11.985131595009619</v>
      </c>
      <c r="U595" s="319">
        <f t="shared" si="260"/>
        <v>190550</v>
      </c>
      <c r="V595" s="319">
        <f t="shared" si="261"/>
        <v>36309302500</v>
      </c>
      <c r="X595" s="345">
        <f t="shared" si="255"/>
        <v>16.011179941407619</v>
      </c>
      <c r="Y595" s="346">
        <f t="shared" si="256"/>
        <v>-34.045475047600156</v>
      </c>
      <c r="AA595" s="345">
        <f t="shared" si="257"/>
        <v>-2.5758373105403018</v>
      </c>
      <c r="AB595" s="346">
        <f t="shared" si="258"/>
        <v>-133.96939335739015</v>
      </c>
      <c r="AD595">
        <f t="shared" si="262"/>
        <v>0</v>
      </c>
      <c r="AE595">
        <f t="shared" si="239"/>
        <v>0</v>
      </c>
    </row>
    <row r="596" spans="1:31" x14ac:dyDescent="0.2">
      <c r="A596" s="347">
        <v>208930</v>
      </c>
      <c r="B596" s="364">
        <f t="shared" si="259"/>
        <v>208.93</v>
      </c>
      <c r="C596" s="337">
        <f t="shared" si="240"/>
        <v>231.1898396214167</v>
      </c>
      <c r="D596" s="338">
        <f t="shared" si="241"/>
        <v>1.5664708637039746</v>
      </c>
      <c r="E596" s="338">
        <f t="shared" si="242"/>
        <v>1.1294814251067797</v>
      </c>
      <c r="F596" s="339">
        <f t="shared" si="243"/>
        <v>0.48352410722887018</v>
      </c>
      <c r="G596" s="338">
        <f t="shared" si="244"/>
        <v>1</v>
      </c>
      <c r="H596" s="339">
        <f t="shared" si="245"/>
        <v>0</v>
      </c>
      <c r="I596" s="337">
        <f t="shared" si="246"/>
        <v>3276938.3677561404</v>
      </c>
      <c r="J596" s="340">
        <f t="shared" si="247"/>
        <v>1.5707960216320014</v>
      </c>
      <c r="K596" s="348">
        <f t="shared" si="237"/>
        <v>324.59109280658004</v>
      </c>
      <c r="L596" s="349">
        <f t="shared" si="238"/>
        <v>1.5677155226568422</v>
      </c>
      <c r="M596" s="337">
        <f t="shared" si="248"/>
        <v>1.2413275316257988</v>
      </c>
      <c r="N596" s="340">
        <f t="shared" si="249"/>
        <v>0.63412712895546397</v>
      </c>
      <c r="O596" s="341">
        <f t="shared" si="250"/>
        <v>1.8537584726522887</v>
      </c>
      <c r="P596" s="342">
        <f t="shared" si="251"/>
        <v>1.2892894660432437</v>
      </c>
      <c r="Q596" s="343">
        <f t="shared" si="252"/>
        <v>-36.94091258850073</v>
      </c>
      <c r="R596" s="344">
        <f t="shared" si="253"/>
        <v>-172.42843150935391</v>
      </c>
      <c r="S596" s="346">
        <f t="shared" si="254"/>
        <v>7.5715684906460865</v>
      </c>
      <c r="U596" s="319">
        <f t="shared" si="260"/>
        <v>208930</v>
      </c>
      <c r="V596" s="319">
        <f t="shared" si="261"/>
        <v>43651744900</v>
      </c>
      <c r="X596" s="345">
        <f t="shared" si="255"/>
        <v>15.746863139912822</v>
      </c>
      <c r="Y596" s="346">
        <f t="shared" si="256"/>
        <v>-36.509307795685132</v>
      </c>
      <c r="AA596" s="345">
        <f t="shared" si="257"/>
        <v>-3.8138257437593004</v>
      </c>
      <c r="AB596" s="346">
        <f t="shared" si="258"/>
        <v>-135.91912371366877</v>
      </c>
      <c r="AD596">
        <f t="shared" si="262"/>
        <v>0</v>
      </c>
      <c r="AE596">
        <f t="shared" si="239"/>
        <v>0</v>
      </c>
    </row>
    <row r="597" spans="1:31" x14ac:dyDescent="0.2">
      <c r="A597" s="347">
        <v>229090</v>
      </c>
      <c r="B597" s="364">
        <f t="shared" si="259"/>
        <v>229.09</v>
      </c>
      <c r="C597" s="337">
        <f t="shared" si="240"/>
        <v>253.49732922319816</v>
      </c>
      <c r="D597" s="338">
        <f t="shared" si="241"/>
        <v>1.5668515018270108</v>
      </c>
      <c r="E597" s="338">
        <f t="shared" si="242"/>
        <v>1.1539092035687333</v>
      </c>
      <c r="F597" s="339">
        <f t="shared" si="243"/>
        <v>0.52240973467035967</v>
      </c>
      <c r="G597" s="338">
        <f t="shared" si="244"/>
        <v>1</v>
      </c>
      <c r="H597" s="339">
        <f t="shared" si="245"/>
        <v>0</v>
      </c>
      <c r="I597" s="337">
        <f t="shared" si="246"/>
        <v>3593135.5509943441</v>
      </c>
      <c r="J597" s="340">
        <f t="shared" si="247"/>
        <v>1.5707960484864427</v>
      </c>
      <c r="K597" s="348">
        <f t="shared" si="237"/>
        <v>355.91113806023816</v>
      </c>
      <c r="L597" s="349">
        <f t="shared" si="238"/>
        <v>1.5679866330011558</v>
      </c>
      <c r="M597" s="337">
        <f t="shared" si="248"/>
        <v>1.2846453300950575</v>
      </c>
      <c r="N597" s="340">
        <f t="shared" si="249"/>
        <v>0.6786434885316347</v>
      </c>
      <c r="O597" s="341">
        <f t="shared" si="250"/>
        <v>1.9966243503198995</v>
      </c>
      <c r="P597" s="342">
        <f t="shared" si="251"/>
        <v>1.360464466790301</v>
      </c>
      <c r="Q597" s="343">
        <f t="shared" si="252"/>
        <v>-38.497962909614678</v>
      </c>
      <c r="R597" s="344">
        <f t="shared" si="253"/>
        <v>-176.83535286902878</v>
      </c>
      <c r="S597" s="346">
        <f t="shared" si="254"/>
        <v>3.1646471309712183</v>
      </c>
      <c r="U597" s="319">
        <f t="shared" si="260"/>
        <v>229090</v>
      </c>
      <c r="V597" s="319">
        <f t="shared" si="261"/>
        <v>52482228100</v>
      </c>
      <c r="X597" s="345">
        <f t="shared" si="255"/>
        <v>15.448919110212419</v>
      </c>
      <c r="Y597" s="346">
        <f t="shared" si="256"/>
        <v>-39.044375381717884</v>
      </c>
      <c r="AA597" s="345">
        <f t="shared" si="257"/>
        <v>-5.0729320351728422</v>
      </c>
      <c r="AB597" s="346">
        <f t="shared" si="258"/>
        <v>-137.79097748731087</v>
      </c>
      <c r="AD597">
        <f t="shared" si="262"/>
        <v>0</v>
      </c>
      <c r="AE597">
        <f t="shared" si="239"/>
        <v>0</v>
      </c>
    </row>
    <row r="598" spans="1:31" x14ac:dyDescent="0.2">
      <c r="A598" s="347">
        <v>251190</v>
      </c>
      <c r="B598" s="364">
        <f t="shared" si="259"/>
        <v>251.19</v>
      </c>
      <c r="C598" s="337">
        <f t="shared" si="240"/>
        <v>277.95150719033427</v>
      </c>
      <c r="D598" s="338">
        <f t="shared" si="241"/>
        <v>1.5671985691593229</v>
      </c>
      <c r="E598" s="338">
        <f t="shared" si="242"/>
        <v>1.1826036805923756</v>
      </c>
      <c r="F598" s="339">
        <f t="shared" si="243"/>
        <v>0.56312349893870728</v>
      </c>
      <c r="G598" s="338">
        <f t="shared" si="244"/>
        <v>1</v>
      </c>
      <c r="H598" s="339">
        <f t="shared" si="245"/>
        <v>0</v>
      </c>
      <c r="I598" s="337">
        <f t="shared" si="246"/>
        <v>3939760.4393655919</v>
      </c>
      <c r="J598" s="340">
        <f t="shared" si="247"/>
        <v>1.5707960729723571</v>
      </c>
      <c r="K598" s="348">
        <f t="shared" si="237"/>
        <v>390.24514124029702</v>
      </c>
      <c r="L598" s="349">
        <f t="shared" si="238"/>
        <v>1.5682338321249589</v>
      </c>
      <c r="M598" s="337">
        <f t="shared" si="248"/>
        <v>1.3348540403380051</v>
      </c>
      <c r="N598" s="340">
        <f t="shared" si="249"/>
        <v>0.72402506996296701</v>
      </c>
      <c r="O598" s="341">
        <f t="shared" si="250"/>
        <v>2.1617566563655561</v>
      </c>
      <c r="P598" s="342">
        <f t="shared" si="251"/>
        <v>1.4320713407151986</v>
      </c>
      <c r="Q598" s="343">
        <f t="shared" si="252"/>
        <v>-40.107749389886898</v>
      </c>
      <c r="R598" s="344">
        <f t="shared" si="253"/>
        <v>-181.21129418682347</v>
      </c>
      <c r="S598" s="346">
        <f t="shared" si="254"/>
        <v>-1.2112941868234657</v>
      </c>
      <c r="U598" s="319">
        <f t="shared" si="260"/>
        <v>251190</v>
      </c>
      <c r="V598" s="319">
        <f t="shared" si="261"/>
        <v>63096416100</v>
      </c>
      <c r="X598" s="345">
        <f t="shared" si="255"/>
        <v>15.115902585687525</v>
      </c>
      <c r="Y598" s="346">
        <f t="shared" si="256"/>
        <v>-41.630386404763755</v>
      </c>
      <c r="AA598" s="345">
        <f t="shared" si="257"/>
        <v>-6.3497019909201722</v>
      </c>
      <c r="AB598" s="346">
        <f t="shared" si="258"/>
        <v>-139.58090778205968</v>
      </c>
      <c r="AD598">
        <f t="shared" si="262"/>
        <v>0</v>
      </c>
      <c r="AE598">
        <f t="shared" si="239"/>
        <v>0</v>
      </c>
    </row>
    <row r="599" spans="1:31" x14ac:dyDescent="0.2">
      <c r="A599" s="347">
        <v>275420</v>
      </c>
      <c r="B599" s="364">
        <f t="shared" si="259"/>
        <v>275.42</v>
      </c>
      <c r="C599" s="337">
        <f t="shared" si="240"/>
        <v>304.76261304736931</v>
      </c>
      <c r="D599" s="338">
        <f t="shared" si="241"/>
        <v>1.5675150785327336</v>
      </c>
      <c r="E599" s="338">
        <f t="shared" si="242"/>
        <v>1.2162027332937653</v>
      </c>
      <c r="F599" s="339">
        <f t="shared" si="243"/>
        <v>0.60547588802671393</v>
      </c>
      <c r="G599" s="338">
        <f t="shared" si="244"/>
        <v>1</v>
      </c>
      <c r="H599" s="339">
        <f t="shared" si="245"/>
        <v>0</v>
      </c>
      <c r="I599" s="337">
        <f t="shared" si="246"/>
        <v>4319793.0658468306</v>
      </c>
      <c r="J599" s="340">
        <f t="shared" si="247"/>
        <v>1.5707960953023263</v>
      </c>
      <c r="K599" s="348">
        <f t="shared" ref="K599:K613" si="263">SQRT(1+(A599/Zero2)^2)</f>
        <v>427.88828154921623</v>
      </c>
      <c r="L599" s="349">
        <f t="shared" ref="L599:L613" si="264">ATAN(A599/Zero2)</f>
        <v>1.5684592660399519</v>
      </c>
      <c r="M599" s="337">
        <f t="shared" si="248"/>
        <v>1.3928183798560956</v>
      </c>
      <c r="N599" s="340">
        <f t="shared" si="249"/>
        <v>0.76991663718756831</v>
      </c>
      <c r="O599" s="341">
        <f t="shared" si="250"/>
        <v>2.3527649274669833</v>
      </c>
      <c r="P599" s="342">
        <f t="shared" si="251"/>
        <v>1.5039512762620981</v>
      </c>
      <c r="Q599" s="343">
        <f t="shared" si="252"/>
        <v>-41.768921144579238</v>
      </c>
      <c r="R599" s="344">
        <f t="shared" si="253"/>
        <v>-185.53771061924624</v>
      </c>
      <c r="S599" s="346">
        <f t="shared" si="254"/>
        <v>-5.5377106192462406</v>
      </c>
      <c r="U599" s="319">
        <f t="shared" si="260"/>
        <v>275420</v>
      </c>
      <c r="V599" s="319">
        <f t="shared" si="261"/>
        <v>75856176400</v>
      </c>
      <c r="X599" s="345">
        <f t="shared" si="255"/>
        <v>14.7466836124654</v>
      </c>
      <c r="Y599" s="346">
        <f t="shared" si="256"/>
        <v>-44.246864392488831</v>
      </c>
      <c r="AA599" s="345">
        <f t="shared" si="257"/>
        <v>-7.6416547723903836</v>
      </c>
      <c r="AB599" s="346">
        <f t="shared" si="258"/>
        <v>-141.29084622675737</v>
      </c>
      <c r="AD599">
        <f t="shared" si="262"/>
        <v>0</v>
      </c>
      <c r="AE599">
        <f t="shared" si="239"/>
        <v>0</v>
      </c>
    </row>
    <row r="600" spans="1:31" x14ac:dyDescent="0.2">
      <c r="A600" s="347">
        <v>302000</v>
      </c>
      <c r="B600" s="364">
        <f t="shared" si="259"/>
        <v>302</v>
      </c>
      <c r="C600" s="337">
        <f t="shared" si="240"/>
        <v>334.17408235749627</v>
      </c>
      <c r="D600" s="338">
        <f t="shared" si="241"/>
        <v>1.567803870032801</v>
      </c>
      <c r="E600" s="338">
        <f t="shared" si="242"/>
        <v>1.2554259574158417</v>
      </c>
      <c r="F600" s="339">
        <f t="shared" si="243"/>
        <v>0.6492418431913719</v>
      </c>
      <c r="G600" s="338">
        <f t="shared" si="244"/>
        <v>1</v>
      </c>
      <c r="H600" s="339">
        <f t="shared" si="245"/>
        <v>0</v>
      </c>
      <c r="I600" s="337">
        <f t="shared" si="246"/>
        <v>4736683.9949376844</v>
      </c>
      <c r="J600" s="340">
        <f t="shared" si="247"/>
        <v>1.5707961156767387</v>
      </c>
      <c r="K600" s="348">
        <f t="shared" si="263"/>
        <v>469.18234566291312</v>
      </c>
      <c r="L600" s="349">
        <f t="shared" si="264"/>
        <v>1.5686649576878389</v>
      </c>
      <c r="M600" s="337">
        <f t="shared" si="248"/>
        <v>1.4594929853579728</v>
      </c>
      <c r="N600" s="340">
        <f t="shared" si="249"/>
        <v>0.81596002071853257</v>
      </c>
      <c r="O600" s="341">
        <f t="shared" si="250"/>
        <v>2.5740968180852692</v>
      </c>
      <c r="P600" s="342">
        <f t="shared" si="251"/>
        <v>1.575993426572158</v>
      </c>
      <c r="Q600" s="343">
        <f t="shared" si="252"/>
        <v>-43.480521331992762</v>
      </c>
      <c r="R600" s="344">
        <f t="shared" si="253"/>
        <v>-189.80067125563951</v>
      </c>
      <c r="S600" s="346">
        <f t="shared" si="254"/>
        <v>-9.8006712556395144</v>
      </c>
      <c r="U600" s="319">
        <f t="shared" si="260"/>
        <v>302000</v>
      </c>
      <c r="V600" s="319">
        <f t="shared" si="261"/>
        <v>91204000000</v>
      </c>
      <c r="X600" s="345">
        <f t="shared" si="255"/>
        <v>14.340529163821572</v>
      </c>
      <c r="Y600" s="346">
        <f t="shared" si="256"/>
        <v>-46.873171850379073</v>
      </c>
      <c r="AA600" s="345">
        <f t="shared" si="257"/>
        <v>-8.9471005111600839</v>
      </c>
      <c r="AB600" s="346">
        <f t="shared" si="258"/>
        <v>-142.92749940526045</v>
      </c>
      <c r="AD600">
        <f t="shared" si="262"/>
        <v>0</v>
      </c>
      <c r="AE600">
        <f t="shared" si="239"/>
        <v>0</v>
      </c>
    </row>
    <row r="601" spans="1:31" x14ac:dyDescent="0.2">
      <c r="A601" s="347">
        <v>331130</v>
      </c>
      <c r="B601" s="364">
        <f t="shared" si="259"/>
        <v>331.13</v>
      </c>
      <c r="C601" s="337">
        <f t="shared" si="240"/>
        <v>366.40722038117354</v>
      </c>
      <c r="D601" s="338">
        <f t="shared" si="241"/>
        <v>1.568067119547317</v>
      </c>
      <c r="E601" s="338">
        <f t="shared" si="242"/>
        <v>1.3009961156629355</v>
      </c>
      <c r="F601" s="339">
        <f t="shared" si="243"/>
        <v>0.69408113854468168</v>
      </c>
      <c r="G601" s="338">
        <f t="shared" si="244"/>
        <v>1</v>
      </c>
      <c r="H601" s="339">
        <f t="shared" si="245"/>
        <v>0</v>
      </c>
      <c r="I601" s="337">
        <f t="shared" si="246"/>
        <v>5193570.1034559915</v>
      </c>
      <c r="J601" s="340">
        <f t="shared" si="247"/>
        <v>1.5707961342491179</v>
      </c>
      <c r="K601" s="348">
        <f t="shared" si="263"/>
        <v>514.43804888591171</v>
      </c>
      <c r="L601" s="349">
        <f t="shared" si="264"/>
        <v>1.5688524569121427</v>
      </c>
      <c r="M601" s="337">
        <f t="shared" si="248"/>
        <v>1.5357897534031406</v>
      </c>
      <c r="N601" s="340">
        <f t="shared" si="249"/>
        <v>0.86172292704415898</v>
      </c>
      <c r="O601" s="341">
        <f t="shared" si="250"/>
        <v>2.8307781347425611</v>
      </c>
      <c r="P601" s="342">
        <f t="shared" si="251"/>
        <v>1.6479898751098483</v>
      </c>
      <c r="Q601" s="343">
        <f t="shared" si="252"/>
        <v>-45.238866080087746</v>
      </c>
      <c r="R601" s="344">
        <f t="shared" si="253"/>
        <v>-193.98302414822979</v>
      </c>
      <c r="S601" s="346">
        <f t="shared" si="254"/>
        <v>-13.983024148229788</v>
      </c>
      <c r="U601" s="319">
        <f t="shared" si="260"/>
        <v>331130</v>
      </c>
      <c r="V601" s="319">
        <f t="shared" si="261"/>
        <v>109647076900</v>
      </c>
      <c r="X601" s="345">
        <f t="shared" si="255"/>
        <v>13.897930771568664</v>
      </c>
      <c r="Y601" s="346">
        <f t="shared" si="256"/>
        <v>-49.484451393978183</v>
      </c>
      <c r="AA601" s="345">
        <f t="shared" si="257"/>
        <v>-10.262846867002162</v>
      </c>
      <c r="AB601" s="346">
        <f t="shared" si="258"/>
        <v>-144.4985727542516</v>
      </c>
      <c r="AD601">
        <f t="shared" si="262"/>
        <v>0</v>
      </c>
      <c r="AE601">
        <f t="shared" si="239"/>
        <v>0</v>
      </c>
    </row>
    <row r="602" spans="1:31" x14ac:dyDescent="0.2">
      <c r="A602" s="347">
        <v>363080</v>
      </c>
      <c r="B602" s="364">
        <f t="shared" si="259"/>
        <v>363.08</v>
      </c>
      <c r="C602" s="337">
        <f t="shared" si="240"/>
        <v>401.76078946183361</v>
      </c>
      <c r="D602" s="338">
        <f t="shared" si="241"/>
        <v>1.5683072809278311</v>
      </c>
      <c r="E602" s="338">
        <f t="shared" si="242"/>
        <v>1.3537695376434671</v>
      </c>
      <c r="F602" s="339">
        <f t="shared" si="243"/>
        <v>0.73968908901653452</v>
      </c>
      <c r="G602" s="338">
        <f t="shared" si="244"/>
        <v>1</v>
      </c>
      <c r="H602" s="339">
        <f t="shared" si="245"/>
        <v>0</v>
      </c>
      <c r="I602" s="337">
        <f t="shared" si="246"/>
        <v>5694686.1751058362</v>
      </c>
      <c r="J602" s="340">
        <f t="shared" si="247"/>
        <v>1.570796151192595</v>
      </c>
      <c r="K602" s="348">
        <f t="shared" si="263"/>
        <v>564.07485705156694</v>
      </c>
      <c r="L602" s="349">
        <f t="shared" si="264"/>
        <v>1.569023511518145</v>
      </c>
      <c r="M602" s="337">
        <f t="shared" si="248"/>
        <v>1.6228016952119515</v>
      </c>
      <c r="N602" s="340">
        <f t="shared" si="249"/>
        <v>0.906864474861379</v>
      </c>
      <c r="O602" s="341">
        <f t="shared" si="250"/>
        <v>3.129372616781998</v>
      </c>
      <c r="P602" s="342">
        <f t="shared" si="251"/>
        <v>1.7198584562957702</v>
      </c>
      <c r="Q602" s="343">
        <f t="shared" si="252"/>
        <v>-47.043267252987285</v>
      </c>
      <c r="R602" s="344">
        <f t="shared" si="253"/>
        <v>-198.07802812809649</v>
      </c>
      <c r="S602" s="346">
        <f t="shared" si="254"/>
        <v>-18.078028128096491</v>
      </c>
      <c r="U602" s="319">
        <f t="shared" si="260"/>
        <v>363080</v>
      </c>
      <c r="V602" s="319">
        <f t="shared" si="261"/>
        <v>131827086400</v>
      </c>
      <c r="X602" s="345">
        <f t="shared" si="255"/>
        <v>13.419254270487359</v>
      </c>
      <c r="Y602" s="346">
        <f t="shared" si="256"/>
        <v>-52.061071831336641</v>
      </c>
      <c r="AA602" s="345">
        <f t="shared" si="257"/>
        <v>-11.588571538820387</v>
      </c>
      <c r="AB602" s="346">
        <f t="shared" si="258"/>
        <v>-146.01695629675987</v>
      </c>
      <c r="AD602">
        <f t="shared" si="262"/>
        <v>0</v>
      </c>
      <c r="AE602">
        <f t="shared" ref="AE602:AE613" si="265">IF(AD602&gt;0,S602,0)</f>
        <v>0</v>
      </c>
    </row>
    <row r="603" spans="1:31" x14ac:dyDescent="0.2">
      <c r="A603" s="347">
        <v>398110</v>
      </c>
      <c r="B603" s="364">
        <f t="shared" si="259"/>
        <v>398.11</v>
      </c>
      <c r="C603" s="337">
        <f t="shared" si="240"/>
        <v>440.52248688292218</v>
      </c>
      <c r="D603" s="338">
        <f t="shared" si="241"/>
        <v>1.5685262931675137</v>
      </c>
      <c r="E603" s="338">
        <f t="shared" si="242"/>
        <v>1.4146092863167894</v>
      </c>
      <c r="F603" s="339">
        <f t="shared" si="243"/>
        <v>0.78567786509182436</v>
      </c>
      <c r="G603" s="338">
        <f t="shared" si="244"/>
        <v>1</v>
      </c>
      <c r="H603" s="339">
        <f t="shared" si="245"/>
        <v>0</v>
      </c>
      <c r="I603" s="337">
        <f t="shared" si="246"/>
        <v>6244110.1497504096</v>
      </c>
      <c r="J603" s="340">
        <f t="shared" si="247"/>
        <v>1.5707961666439743</v>
      </c>
      <c r="K603" s="348">
        <f t="shared" si="263"/>
        <v>618.49670037262331</v>
      </c>
      <c r="L603" s="349">
        <f t="shared" si="264"/>
        <v>1.5691795025902009</v>
      </c>
      <c r="M603" s="337">
        <f t="shared" si="248"/>
        <v>1.7215946686940082</v>
      </c>
      <c r="N603" s="340">
        <f t="shared" si="249"/>
        <v>0.9510154372208276</v>
      </c>
      <c r="O603" s="341">
        <f t="shared" si="250"/>
        <v>3.4775359024947416</v>
      </c>
      <c r="P603" s="342">
        <f t="shared" si="251"/>
        <v>1.7914199101199939</v>
      </c>
      <c r="Q603" s="343">
        <f t="shared" si="252"/>
        <v>-48.891040889783959</v>
      </c>
      <c r="R603" s="344">
        <f t="shared" si="253"/>
        <v>-202.07651017538859</v>
      </c>
      <c r="S603" s="346">
        <f t="shared" si="254"/>
        <v>-22.076510175388592</v>
      </c>
      <c r="U603" s="319">
        <f t="shared" si="260"/>
        <v>398110</v>
      </c>
      <c r="V603" s="319">
        <f t="shared" si="261"/>
        <v>158491572100</v>
      </c>
      <c r="X603" s="345">
        <f t="shared" si="255"/>
        <v>12.905942846294764</v>
      </c>
      <c r="Y603" s="346">
        <f t="shared" si="256"/>
        <v>-54.581798894082631</v>
      </c>
      <c r="AA603" s="345">
        <f t="shared" si="257"/>
        <v>-12.92303375142447</v>
      </c>
      <c r="AB603" s="346">
        <f t="shared" si="258"/>
        <v>-147.49471128130597</v>
      </c>
      <c r="AD603">
        <f t="shared" si="262"/>
        <v>0</v>
      </c>
      <c r="AE603">
        <f t="shared" si="265"/>
        <v>0</v>
      </c>
    </row>
    <row r="604" spans="1:31" x14ac:dyDescent="0.2">
      <c r="A604" s="347">
        <v>436520</v>
      </c>
      <c r="B604" s="364">
        <f t="shared" si="259"/>
        <v>436.52</v>
      </c>
      <c r="C604" s="337">
        <f t="shared" si="240"/>
        <v>483.02427122721656</v>
      </c>
      <c r="D604" s="338">
        <f t="shared" si="241"/>
        <v>1.568726035975327</v>
      </c>
      <c r="E604" s="338">
        <f t="shared" si="242"/>
        <v>1.4844582055076618</v>
      </c>
      <c r="F604" s="339">
        <f t="shared" si="243"/>
        <v>0.83166462068233271</v>
      </c>
      <c r="G604" s="338">
        <f t="shared" si="244"/>
        <v>1</v>
      </c>
      <c r="H604" s="339">
        <f t="shared" si="245"/>
        <v>0</v>
      </c>
      <c r="I604" s="337">
        <f t="shared" si="246"/>
        <v>6846547.3426164705</v>
      </c>
      <c r="J604" s="340">
        <f t="shared" si="247"/>
        <v>1.5707961807358759</v>
      </c>
      <c r="K604" s="348">
        <f t="shared" si="263"/>
        <v>678.1696522988351</v>
      </c>
      <c r="L604" s="349">
        <f t="shared" si="264"/>
        <v>1.5693217689773991</v>
      </c>
      <c r="M604" s="337">
        <f t="shared" si="248"/>
        <v>1.8333369753175268</v>
      </c>
      <c r="N604" s="340">
        <f t="shared" si="249"/>
        <v>0.99386627437636155</v>
      </c>
      <c r="O604" s="341">
        <f t="shared" si="250"/>
        <v>3.884745661953716</v>
      </c>
      <c r="P604" s="342">
        <f t="shared" si="251"/>
        <v>1.8625072494810446</v>
      </c>
      <c r="Q604" s="343">
        <f t="shared" si="252"/>
        <v>-50.780477961971052</v>
      </c>
      <c r="R604" s="344">
        <f t="shared" si="253"/>
        <v>-205.97313377455154</v>
      </c>
      <c r="S604" s="346">
        <f t="shared" si="254"/>
        <v>-25.973133774551542</v>
      </c>
      <c r="U604" s="319">
        <f t="shared" si="260"/>
        <v>436520</v>
      </c>
      <c r="V604" s="319">
        <f t="shared" si="261"/>
        <v>190549710400</v>
      </c>
      <c r="X604" s="345">
        <f t="shared" si="255"/>
        <v>12.359713167905245</v>
      </c>
      <c r="Y604" s="346">
        <f t="shared" si="256"/>
        <v>-57.028820558346702</v>
      </c>
      <c r="AA604" s="345">
        <f t="shared" si="257"/>
        <v>-14.26624114522204</v>
      </c>
      <c r="AB604" s="346">
        <f t="shared" si="258"/>
        <v>-148.94431321620485</v>
      </c>
      <c r="AD604">
        <f t="shared" si="262"/>
        <v>0</v>
      </c>
      <c r="AE604">
        <f t="shared" si="265"/>
        <v>0</v>
      </c>
    </row>
    <row r="605" spans="1:31" x14ac:dyDescent="0.2">
      <c r="A605" s="347">
        <v>478630</v>
      </c>
      <c r="B605" s="364">
        <f t="shared" si="259"/>
        <v>478.63</v>
      </c>
      <c r="C605" s="337">
        <f t="shared" si="240"/>
        <v>529.6202318167293</v>
      </c>
      <c r="D605" s="338">
        <f t="shared" si="241"/>
        <v>1.568908180281398</v>
      </c>
      <c r="E605" s="338">
        <f t="shared" si="242"/>
        <v>1.5643007116323484</v>
      </c>
      <c r="F605" s="339">
        <f t="shared" si="243"/>
        <v>0.87725648472592421</v>
      </c>
      <c r="G605" s="338">
        <f t="shared" si="244"/>
        <v>1</v>
      </c>
      <c r="H605" s="339">
        <f t="shared" si="245"/>
        <v>0</v>
      </c>
      <c r="I605" s="337">
        <f t="shared" si="246"/>
        <v>7507016.7566125616</v>
      </c>
      <c r="J605" s="340">
        <f t="shared" si="247"/>
        <v>1.5707961935861889</v>
      </c>
      <c r="K605" s="348">
        <f t="shared" si="263"/>
        <v>743.59085796225884</v>
      </c>
      <c r="L605" s="349">
        <f t="shared" si="264"/>
        <v>1.569451500818732</v>
      </c>
      <c r="M605" s="337">
        <f t="shared" si="248"/>
        <v>1.9592449232342211</v>
      </c>
      <c r="N605" s="340">
        <f t="shared" si="249"/>
        <v>1.0351456246904909</v>
      </c>
      <c r="O605" s="341">
        <f t="shared" si="250"/>
        <v>4.3624524725698048</v>
      </c>
      <c r="P605" s="342">
        <f t="shared" si="251"/>
        <v>1.9329104029930138</v>
      </c>
      <c r="Q605" s="343">
        <f t="shared" si="252"/>
        <v>-52.709637463087873</v>
      </c>
      <c r="R605" s="344">
        <f t="shared" si="253"/>
        <v>-209.76285225303107</v>
      </c>
      <c r="S605" s="346">
        <f t="shared" si="254"/>
        <v>-29.76285225303107</v>
      </c>
      <c r="U605" s="319">
        <f t="shared" si="260"/>
        <v>478630</v>
      </c>
      <c r="V605" s="319">
        <f t="shared" si="261"/>
        <v>229086676900</v>
      </c>
      <c r="X605" s="345">
        <f t="shared" si="255"/>
        <v>11.782782927643524</v>
      </c>
      <c r="Y605" s="346">
        <f t="shared" si="256"/>
        <v>-59.386520764374268</v>
      </c>
      <c r="AA605" s="345">
        <f t="shared" si="257"/>
        <v>-15.61847040607714</v>
      </c>
      <c r="AB605" s="346">
        <f t="shared" si="258"/>
        <v>-150.37633148865677</v>
      </c>
      <c r="AD605">
        <f t="shared" si="262"/>
        <v>0</v>
      </c>
      <c r="AE605">
        <f t="shared" si="265"/>
        <v>0</v>
      </c>
    </row>
    <row r="606" spans="1:31" x14ac:dyDescent="0.2">
      <c r="A606" s="347">
        <v>524810</v>
      </c>
      <c r="B606" s="364">
        <f t="shared" si="259"/>
        <v>524.80999999999995</v>
      </c>
      <c r="C606" s="337">
        <f t="shared" si="240"/>
        <v>580.71978459657544</v>
      </c>
      <c r="D606" s="338">
        <f t="shared" si="241"/>
        <v>1.5690743250296049</v>
      </c>
      <c r="E606" s="338">
        <f t="shared" si="242"/>
        <v>1.6552154812330901</v>
      </c>
      <c r="F606" s="339">
        <f t="shared" si="243"/>
        <v>0.92209637572958525</v>
      </c>
      <c r="G606" s="338">
        <f t="shared" si="244"/>
        <v>1</v>
      </c>
      <c r="H606" s="339">
        <f t="shared" si="245"/>
        <v>0</v>
      </c>
      <c r="I606" s="337">
        <f t="shared" si="246"/>
        <v>8231321.6138516851</v>
      </c>
      <c r="J606" s="340">
        <f t="shared" si="247"/>
        <v>1.5707962053077227</v>
      </c>
      <c r="K606" s="348">
        <f t="shared" si="263"/>
        <v>815.33514154045417</v>
      </c>
      <c r="L606" s="349">
        <f t="shared" si="264"/>
        <v>1.5695698369752336</v>
      </c>
      <c r="M606" s="337">
        <f t="shared" si="248"/>
        <v>2.100673955585632</v>
      </c>
      <c r="N606" s="340">
        <f t="shared" si="249"/>
        <v>1.0746526947455424</v>
      </c>
      <c r="O606" s="341">
        <f t="shared" si="250"/>
        <v>4.9248254155271871</v>
      </c>
      <c r="P606" s="342">
        <f t="shared" si="251"/>
        <v>2.0024204810456476</v>
      </c>
      <c r="Q606" s="343">
        <f t="shared" si="252"/>
        <v>-54.677594991128601</v>
      </c>
      <c r="R606" s="344">
        <f t="shared" si="253"/>
        <v>-213.44267813214603</v>
      </c>
      <c r="S606" s="346">
        <f t="shared" si="254"/>
        <v>-33.442678132146028</v>
      </c>
      <c r="U606" s="319">
        <f t="shared" si="260"/>
        <v>524810</v>
      </c>
      <c r="V606" s="319">
        <f t="shared" si="261"/>
        <v>275425536100</v>
      </c>
      <c r="X606" s="345">
        <f t="shared" si="255"/>
        <v>11.17738318753533</v>
      </c>
      <c r="Y606" s="346">
        <f t="shared" si="256"/>
        <v>-61.643329651298238</v>
      </c>
      <c r="AA606" s="345">
        <f t="shared" si="257"/>
        <v>-16.981028194009678</v>
      </c>
      <c r="AB606" s="346">
        <f t="shared" si="258"/>
        <v>-151.79934848084778</v>
      </c>
      <c r="AD606">
        <f t="shared" si="262"/>
        <v>0</v>
      </c>
      <c r="AE606">
        <f t="shared" si="265"/>
        <v>0</v>
      </c>
    </row>
    <row r="607" spans="1:31" x14ac:dyDescent="0.2">
      <c r="A607" s="347">
        <v>575440</v>
      </c>
      <c r="B607" s="364">
        <f t="shared" si="259"/>
        <v>575.44000000000005</v>
      </c>
      <c r="C607" s="337">
        <f t="shared" si="240"/>
        <v>636.7434109464607</v>
      </c>
      <c r="D607" s="338">
        <f t="shared" si="241"/>
        <v>1.5692258348292429</v>
      </c>
      <c r="E607" s="338">
        <f t="shared" si="242"/>
        <v>1.758296244113376</v>
      </c>
      <c r="F607" s="339">
        <f t="shared" si="243"/>
        <v>0.96583243642243854</v>
      </c>
      <c r="G607" s="338">
        <f t="shared" si="244"/>
        <v>1</v>
      </c>
      <c r="H607" s="339">
        <f t="shared" si="245"/>
        <v>0</v>
      </c>
      <c r="I607" s="337">
        <f t="shared" si="246"/>
        <v>9025421.98028774</v>
      </c>
      <c r="J607" s="340">
        <f t="shared" si="247"/>
        <v>1.570796215996753</v>
      </c>
      <c r="K607" s="348">
        <f t="shared" si="263"/>
        <v>893.99286309840875</v>
      </c>
      <c r="L607" s="349">
        <f t="shared" si="264"/>
        <v>1.5696777493992449</v>
      </c>
      <c r="M607" s="337">
        <f t="shared" si="248"/>
        <v>2.2590012383007574</v>
      </c>
      <c r="N607" s="340">
        <f t="shared" si="249"/>
        <v>1.1122182878781688</v>
      </c>
      <c r="O607" s="341">
        <f t="shared" si="250"/>
        <v>5.5887698231125285</v>
      </c>
      <c r="P607" s="342">
        <f t="shared" si="251"/>
        <v>2.070762991473734</v>
      </c>
      <c r="Q607" s="343">
        <f t="shared" si="252"/>
        <v>-56.682466696346538</v>
      </c>
      <c r="R607" s="344">
        <f t="shared" si="253"/>
        <v>-217.00737235431163</v>
      </c>
      <c r="S607" s="346">
        <f t="shared" si="254"/>
        <v>-37.007372354311627</v>
      </c>
      <c r="U607" s="319">
        <f t="shared" si="260"/>
        <v>575440</v>
      </c>
      <c r="V607" s="319">
        <f t="shared" si="261"/>
        <v>331131193600</v>
      </c>
      <c r="X607" s="345">
        <f t="shared" si="255"/>
        <v>10.54622572953015</v>
      </c>
      <c r="Y607" s="346">
        <f t="shared" si="256"/>
        <v>-63.789497281139177</v>
      </c>
      <c r="AA607" s="345">
        <f t="shared" si="257"/>
        <v>-18.354742441222424</v>
      </c>
      <c r="AB607" s="346">
        <f t="shared" si="258"/>
        <v>-153.21787507317248</v>
      </c>
      <c r="AD607">
        <f t="shared" si="262"/>
        <v>0</v>
      </c>
      <c r="AE607">
        <f t="shared" si="265"/>
        <v>0</v>
      </c>
    </row>
    <row r="608" spans="1:31" x14ac:dyDescent="0.2">
      <c r="A608" s="347">
        <v>630960</v>
      </c>
      <c r="B608" s="364">
        <f t="shared" si="259"/>
        <v>630.96</v>
      </c>
      <c r="C608" s="337">
        <f t="shared" si="240"/>
        <v>698.17798417437848</v>
      </c>
      <c r="D608" s="338">
        <f t="shared" si="241"/>
        <v>1.5693640267731528</v>
      </c>
      <c r="E608" s="338">
        <f t="shared" si="242"/>
        <v>1.8747489811063367</v>
      </c>
      <c r="F608" s="339">
        <f t="shared" si="243"/>
        <v>1.0081756609788364</v>
      </c>
      <c r="G608" s="338">
        <f t="shared" si="244"/>
        <v>1</v>
      </c>
      <c r="H608" s="339">
        <f t="shared" si="245"/>
        <v>0</v>
      </c>
      <c r="I608" s="337">
        <f t="shared" si="246"/>
        <v>9896218.9849199671</v>
      </c>
      <c r="J608" s="340">
        <f t="shared" si="247"/>
        <v>1.5707962257462029</v>
      </c>
      <c r="K608" s="348">
        <f t="shared" si="263"/>
        <v>980.24759754187073</v>
      </c>
      <c r="L608" s="349">
        <f t="shared" si="264"/>
        <v>1.569776176196253</v>
      </c>
      <c r="M608" s="337">
        <f t="shared" si="248"/>
        <v>2.435782324789304</v>
      </c>
      <c r="N608" s="340">
        <f t="shared" si="249"/>
        <v>1.1477438667379845</v>
      </c>
      <c r="O608" s="341">
        <f t="shared" si="250"/>
        <v>6.3751059960888261</v>
      </c>
      <c r="P608" s="342">
        <f t="shared" si="251"/>
        <v>2.137676538079246</v>
      </c>
      <c r="Q608" s="343">
        <f t="shared" si="252"/>
        <v>-58.723343710283935</v>
      </c>
      <c r="R608" s="344">
        <f t="shared" si="253"/>
        <v>-220.45289278005833</v>
      </c>
      <c r="S608" s="346">
        <f t="shared" si="254"/>
        <v>-40.452892780058335</v>
      </c>
      <c r="U608" s="319">
        <f t="shared" si="260"/>
        <v>630960</v>
      </c>
      <c r="V608" s="319">
        <f t="shared" si="261"/>
        <v>398110521600</v>
      </c>
      <c r="X608" s="345">
        <f t="shared" si="255"/>
        <v>9.8917847010568369</v>
      </c>
      <c r="Y608" s="346">
        <f t="shared" si="256"/>
        <v>-65.819324135427991</v>
      </c>
      <c r="AA608" s="345">
        <f t="shared" si="257"/>
        <v>-19.741178426686513</v>
      </c>
      <c r="AB608" s="346">
        <f t="shared" si="258"/>
        <v>-154.63356864463034</v>
      </c>
      <c r="AD608">
        <f t="shared" si="262"/>
        <v>0</v>
      </c>
      <c r="AE608">
        <f t="shared" si="265"/>
        <v>0</v>
      </c>
    </row>
    <row r="609" spans="1:31" x14ac:dyDescent="0.2">
      <c r="A609" s="347">
        <v>691830</v>
      </c>
      <c r="B609" s="364">
        <f t="shared" si="259"/>
        <v>691.83</v>
      </c>
      <c r="C609" s="337">
        <f t="shared" si="240"/>
        <v>765.53250830905949</v>
      </c>
      <c r="D609" s="338">
        <f t="shared" si="241"/>
        <v>1.5694900461686123</v>
      </c>
      <c r="E609" s="338">
        <f t="shared" si="242"/>
        <v>2.0058117791395209</v>
      </c>
      <c r="F609" s="339">
        <f t="shared" si="243"/>
        <v>1.0488695999067397</v>
      </c>
      <c r="G609" s="338">
        <f t="shared" si="244"/>
        <v>1</v>
      </c>
      <c r="H609" s="339">
        <f t="shared" si="245"/>
        <v>0</v>
      </c>
      <c r="I609" s="337">
        <f t="shared" si="246"/>
        <v>10850927.444429401</v>
      </c>
      <c r="J609" s="340">
        <f t="shared" si="247"/>
        <v>1.5707962346368756</v>
      </c>
      <c r="K609" s="348">
        <f t="shared" si="263"/>
        <v>1074.8139914457122</v>
      </c>
      <c r="L609" s="349">
        <f t="shared" si="264"/>
        <v>1.5698659331154032</v>
      </c>
      <c r="M609" s="337">
        <f t="shared" si="248"/>
        <v>2.6326311189632934</v>
      </c>
      <c r="N609" s="340">
        <f t="shared" si="249"/>
        <v>1.1811642140540466</v>
      </c>
      <c r="O609" s="341">
        <f t="shared" si="250"/>
        <v>7.3087223936502799</v>
      </c>
      <c r="P609" s="342">
        <f t="shared" si="251"/>
        <v>2.2028639976246742</v>
      </c>
      <c r="Q609" s="343">
        <f t="shared" si="252"/>
        <v>-60.798465049110185</v>
      </c>
      <c r="R609" s="344">
        <f t="shared" si="253"/>
        <v>-223.77319118797013</v>
      </c>
      <c r="S609" s="346">
        <f t="shared" si="254"/>
        <v>-43.773191187970127</v>
      </c>
      <c r="U609" s="319">
        <f t="shared" si="260"/>
        <v>691830</v>
      </c>
      <c r="V609" s="319">
        <f t="shared" si="261"/>
        <v>478628748900</v>
      </c>
      <c r="X609" s="345">
        <f t="shared" si="255"/>
        <v>9.2167532234562053</v>
      </c>
      <c r="Y609" s="346">
        <f t="shared" si="256"/>
        <v>-67.729026805430479</v>
      </c>
      <c r="AA609" s="345">
        <f t="shared" si="257"/>
        <v>-21.141268287912141</v>
      </c>
      <c r="AB609" s="346">
        <f t="shared" si="258"/>
        <v>-156.04416438253963</v>
      </c>
      <c r="AD609">
        <f t="shared" si="262"/>
        <v>0</v>
      </c>
      <c r="AE609">
        <f t="shared" si="265"/>
        <v>0</v>
      </c>
    </row>
    <row r="610" spans="1:31" x14ac:dyDescent="0.2">
      <c r="A610" s="347">
        <v>758580</v>
      </c>
      <c r="B610" s="364">
        <f t="shared" si="259"/>
        <v>758.58</v>
      </c>
      <c r="C610" s="337">
        <f t="shared" si="240"/>
        <v>839.39344462531085</v>
      </c>
      <c r="D610" s="338">
        <f t="shared" si="241"/>
        <v>1.5696049900708011</v>
      </c>
      <c r="E610" s="338">
        <f t="shared" si="242"/>
        <v>2.1528624050443566</v>
      </c>
      <c r="F610" s="339">
        <f t="shared" si="243"/>
        <v>1.0877288113827936</v>
      </c>
      <c r="G610" s="338">
        <f t="shared" si="244"/>
        <v>1</v>
      </c>
      <c r="H610" s="339">
        <f t="shared" si="245"/>
        <v>0</v>
      </c>
      <c r="I610" s="337">
        <f t="shared" si="246"/>
        <v>11897860.082383316</v>
      </c>
      <c r="J610" s="340">
        <f t="shared" si="247"/>
        <v>1.570796242746169</v>
      </c>
      <c r="K610" s="348">
        <f t="shared" si="263"/>
        <v>1178.5154420298002</v>
      </c>
      <c r="L610" s="349">
        <f t="shared" si="264"/>
        <v>1.5699478015364776</v>
      </c>
      <c r="M610" s="337">
        <f t="shared" si="248"/>
        <v>2.8513841059018086</v>
      </c>
      <c r="N610" s="340">
        <f t="shared" si="249"/>
        <v>1.212470516192113</v>
      </c>
      <c r="O610" s="341">
        <f t="shared" si="250"/>
        <v>8.4201036758166889</v>
      </c>
      <c r="P610" s="342">
        <f t="shared" si="251"/>
        <v>2.2660601786824239</v>
      </c>
      <c r="Q610" s="343">
        <f t="shared" si="252"/>
        <v>-62.906816189847092</v>
      </c>
      <c r="R610" s="344">
        <f t="shared" si="253"/>
        <v>-226.96321136955876</v>
      </c>
      <c r="S610" s="346">
        <f t="shared" si="254"/>
        <v>-46.963211369558763</v>
      </c>
      <c r="U610" s="319">
        <f t="shared" si="260"/>
        <v>758580</v>
      </c>
      <c r="V610" s="319">
        <f t="shared" si="261"/>
        <v>575443616400</v>
      </c>
      <c r="X610" s="345">
        <f t="shared" si="255"/>
        <v>8.5234383133026412</v>
      </c>
      <c r="Y610" s="346">
        <f t="shared" si="256"/>
        <v>-69.518055541772682</v>
      </c>
      <c r="AA610" s="345">
        <f t="shared" si="257"/>
        <v>-22.556304518495477</v>
      </c>
      <c r="AB610" s="346">
        <f t="shared" si="258"/>
        <v>-157.44515582778615</v>
      </c>
      <c r="AD610">
        <f t="shared" si="262"/>
        <v>0</v>
      </c>
      <c r="AE610">
        <f t="shared" si="265"/>
        <v>0</v>
      </c>
    </row>
    <row r="611" spans="1:31" x14ac:dyDescent="0.2">
      <c r="A611" s="347">
        <v>831760</v>
      </c>
      <c r="B611" s="364">
        <f t="shared" si="259"/>
        <v>831.76</v>
      </c>
      <c r="C611" s="337">
        <f t="shared" si="240"/>
        <v>920.36938510739924</v>
      </c>
      <c r="D611" s="338">
        <f t="shared" si="241"/>
        <v>1.569709806303303</v>
      </c>
      <c r="E611" s="338">
        <f t="shared" si="242"/>
        <v>2.317313764113742</v>
      </c>
      <c r="F611" s="339">
        <f t="shared" si="243"/>
        <v>1.1246036030851718</v>
      </c>
      <c r="G611" s="338">
        <f t="shared" si="244"/>
        <v>1</v>
      </c>
      <c r="H611" s="339">
        <f t="shared" si="245"/>
        <v>0</v>
      </c>
      <c r="I611" s="337">
        <f t="shared" si="246"/>
        <v>13045643.31003077</v>
      </c>
      <c r="J611" s="340">
        <f t="shared" si="247"/>
        <v>1.5707962501409536</v>
      </c>
      <c r="K611" s="348">
        <f t="shared" si="263"/>
        <v>1292.2064181750925</v>
      </c>
      <c r="L611" s="349">
        <f t="shared" si="264"/>
        <v>1.5700224565480481</v>
      </c>
      <c r="M611" s="337">
        <f t="shared" si="248"/>
        <v>3.0939430095381222</v>
      </c>
      <c r="N611" s="340">
        <f t="shared" si="249"/>
        <v>1.2416744529706141</v>
      </c>
      <c r="O611" s="341">
        <f t="shared" si="250"/>
        <v>9.7455075218844378</v>
      </c>
      <c r="P611" s="342">
        <f t="shared" si="251"/>
        <v>2.3269883104378146</v>
      </c>
      <c r="Q611" s="343">
        <f t="shared" si="252"/>
        <v>-65.046249331397917</v>
      </c>
      <c r="R611" s="344">
        <f t="shared" si="253"/>
        <v>-230.01635709820741</v>
      </c>
      <c r="S611" s="346">
        <f t="shared" si="254"/>
        <v>-50.016357098207408</v>
      </c>
      <c r="U611" s="319">
        <f t="shared" si="260"/>
        <v>831760</v>
      </c>
      <c r="V611" s="319">
        <f t="shared" si="261"/>
        <v>691824697600</v>
      </c>
      <c r="X611" s="345">
        <f t="shared" si="255"/>
        <v>7.8143060815784926</v>
      </c>
      <c r="Y611" s="346">
        <f t="shared" si="256"/>
        <v>-71.187040872862198</v>
      </c>
      <c r="AA611" s="345">
        <f t="shared" si="257"/>
        <v>-23.98660542832215</v>
      </c>
      <c r="AB611" s="346">
        <f t="shared" si="258"/>
        <v>-158.82931622534522</v>
      </c>
      <c r="AD611">
        <f t="shared" si="262"/>
        <v>0</v>
      </c>
      <c r="AE611">
        <f t="shared" si="265"/>
        <v>0</v>
      </c>
    </row>
    <row r="612" spans="1:31" x14ac:dyDescent="0.2">
      <c r="A612" s="347">
        <v>912010</v>
      </c>
      <c r="B612" s="364">
        <f t="shared" si="259"/>
        <v>912.01</v>
      </c>
      <c r="C612" s="337">
        <f t="shared" si="240"/>
        <v>1009.1685096118074</v>
      </c>
      <c r="D612" s="338">
        <f t="shared" si="241"/>
        <v>1.5698054118444917</v>
      </c>
      <c r="E612" s="338">
        <f t="shared" si="242"/>
        <v>2.5007729041129956</v>
      </c>
      <c r="F612" s="339">
        <f t="shared" si="243"/>
        <v>1.1594143642595278</v>
      </c>
      <c r="G612" s="338">
        <f t="shared" si="244"/>
        <v>1</v>
      </c>
      <c r="H612" s="339">
        <f t="shared" si="245"/>
        <v>0</v>
      </c>
      <c r="I612" s="337">
        <f t="shared" si="246"/>
        <v>14304315.133188847</v>
      </c>
      <c r="J612" s="340">
        <f t="shared" si="247"/>
        <v>1.5707962568859222</v>
      </c>
      <c r="K612" s="348">
        <f t="shared" si="263"/>
        <v>1416.8812110092872</v>
      </c>
      <c r="L612" s="349">
        <f t="shared" si="264"/>
        <v>1.5700905512681624</v>
      </c>
      <c r="M612" s="337">
        <f t="shared" si="248"/>
        <v>3.3625089336530225</v>
      </c>
      <c r="N612" s="340">
        <f t="shared" si="249"/>
        <v>1.2688312134060606</v>
      </c>
      <c r="O612" s="341">
        <f t="shared" si="250"/>
        <v>11.329308926496704</v>
      </c>
      <c r="P612" s="342">
        <f t="shared" si="251"/>
        <v>2.3854327802223989</v>
      </c>
      <c r="Q612" s="343">
        <f t="shared" si="252"/>
        <v>-67.21549392247934</v>
      </c>
      <c r="R612" s="344">
        <f t="shared" si="253"/>
        <v>-232.92801325773817</v>
      </c>
      <c r="S612" s="346">
        <f t="shared" si="254"/>
        <v>-52.928013257738172</v>
      </c>
      <c r="U612" s="319">
        <f t="shared" si="260"/>
        <v>912010</v>
      </c>
      <c r="V612" s="319">
        <f t="shared" si="261"/>
        <v>831762240100</v>
      </c>
      <c r="X612" s="345">
        <f t="shared" si="255"/>
        <v>7.0912829012935896</v>
      </c>
      <c r="Y612" s="346">
        <f t="shared" si="256"/>
        <v>-72.739107479223208</v>
      </c>
      <c r="AA612" s="345">
        <f t="shared" si="257"/>
        <v>-25.432826839118675</v>
      </c>
      <c r="AB612" s="346">
        <f t="shared" si="258"/>
        <v>-160.18890577851502</v>
      </c>
      <c r="AD612">
        <f t="shared" si="262"/>
        <v>0</v>
      </c>
      <c r="AE612">
        <f t="shared" si="265"/>
        <v>0</v>
      </c>
    </row>
    <row r="613" spans="1:31" x14ac:dyDescent="0.2">
      <c r="A613" s="347">
        <v>1000000</v>
      </c>
      <c r="B613" s="364">
        <f t="shared" si="259"/>
        <v>1000</v>
      </c>
      <c r="C613" s="337">
        <f t="shared" si="240"/>
        <v>1106.5321940079189</v>
      </c>
      <c r="D613" s="338">
        <f t="shared" si="241"/>
        <v>1.5698926024012143</v>
      </c>
      <c r="E613" s="338">
        <f t="shared" si="242"/>
        <v>2.7049116071069261</v>
      </c>
      <c r="F613" s="339">
        <f t="shared" si="243"/>
        <v>1.1921125183465748</v>
      </c>
      <c r="G613" s="338">
        <f t="shared" si="244"/>
        <v>1</v>
      </c>
      <c r="H613" s="339">
        <f t="shared" si="245"/>
        <v>0</v>
      </c>
      <c r="I613" s="337">
        <f t="shared" si="246"/>
        <v>15684384.089197312</v>
      </c>
      <c r="J613" s="340">
        <f t="shared" si="247"/>
        <v>1.570796263037213</v>
      </c>
      <c r="K613" s="348">
        <f t="shared" si="263"/>
        <v>1553.5807191151896</v>
      </c>
      <c r="L613" s="349">
        <f t="shared" si="264"/>
        <v>1.5701526524387792</v>
      </c>
      <c r="M613" s="337">
        <f t="shared" si="248"/>
        <v>3.6593880255828224</v>
      </c>
      <c r="N613" s="340">
        <f t="shared" si="249"/>
        <v>1.2940058132675367</v>
      </c>
      <c r="O613" s="341">
        <f t="shared" si="250"/>
        <v>13.224320308957454</v>
      </c>
      <c r="P613" s="342">
        <f t="shared" si="251"/>
        <v>2.4411928396832079</v>
      </c>
      <c r="Q613" s="343">
        <f t="shared" si="252"/>
        <v>-69.412224241653377</v>
      </c>
      <c r="R613" s="344">
        <f t="shared" si="253"/>
        <v>-235.69319929771518</v>
      </c>
      <c r="S613" s="346">
        <f t="shared" si="254"/>
        <v>-55.693199297715182</v>
      </c>
      <c r="U613" s="319">
        <f t="shared" si="260"/>
        <v>1000000</v>
      </c>
      <c r="V613" s="319">
        <f t="shared" si="261"/>
        <v>1000000000000</v>
      </c>
      <c r="X613" s="345">
        <f t="shared" si="255"/>
        <v>6.3563822221082846</v>
      </c>
      <c r="Y613" s="346">
        <f t="shared" si="256"/>
        <v>-74.177948021324369</v>
      </c>
      <c r="AA613" s="345">
        <f t="shared" si="257"/>
        <v>-26.8946564791074</v>
      </c>
      <c r="AB613" s="346">
        <f t="shared" si="258"/>
        <v>-161.51525127639079</v>
      </c>
      <c r="AD613">
        <f t="shared" si="262"/>
        <v>0</v>
      </c>
      <c r="AE613">
        <f t="shared" si="265"/>
        <v>0</v>
      </c>
    </row>
    <row r="614" spans="1:31" x14ac:dyDescent="0.2">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
      <c r="A616" s="319" t="s">
        <v>362</v>
      </c>
      <c r="G616" s="338"/>
      <c r="H616" s="339"/>
      <c r="Q616" s="343"/>
      <c r="R616" s="344"/>
      <c r="S616" s="353"/>
      <c r="AA616" s="345"/>
      <c r="AB616" s="346"/>
    </row>
    <row r="617" spans="1:31" x14ac:dyDescent="0.2">
      <c r="A617" s="354">
        <f>Q4*1000</f>
        <v>5957</v>
      </c>
      <c r="B617" s="354"/>
      <c r="C617" s="355">
        <f t="shared" ref="C617:C626" si="266">SQRT(1+(A617/pole1)^2)</f>
        <v>6.6670320953263014</v>
      </c>
      <c r="D617" s="348">
        <f t="shared" ref="D617:D626" si="267">ATAN(A617/pole1)</f>
        <v>1.4202363697918907</v>
      </c>
      <c r="E617" s="348">
        <f t="shared" ref="E617:E626" si="268">SQRT(1+(A617/Zero1)^2)</f>
        <v>1.0001120677334248</v>
      </c>
      <c r="F617" s="349">
        <f t="shared" ref="F617:F626" si="269">ATAN(A617/Zero1)</f>
        <v>1.4970455467009442E-2</v>
      </c>
      <c r="G617" s="338">
        <f>IF(VIN_nom&gt;Vout, 1, SQRT(1+(A617/z_RHP)^2))</f>
        <v>1</v>
      </c>
      <c r="H617" s="339">
        <f>IF(VIN_nom&gt;Vout, 0, -ATAN(A617/z_RHP))</f>
        <v>0</v>
      </c>
      <c r="I617" s="355">
        <f t="shared" ref="I617:I626" si="270">SQRT(1+(A617/Pole2)^2)</f>
        <v>93431.876024699697</v>
      </c>
      <c r="J617" s="356">
        <f t="shared" ref="J617:J626" si="271">ATAN(A617/Pole2)</f>
        <v>1.5707856238095499</v>
      </c>
      <c r="K617" s="348">
        <f t="shared" ref="K617:K626" si="272">SQRT(1+(A617/Zero2)^2)</f>
        <v>9.3085483712283903</v>
      </c>
      <c r="L617" s="349">
        <f t="shared" ref="L617:L626" si="273">ATAN(A617/Zero2)</f>
        <v>1.4631604757610606</v>
      </c>
      <c r="M617" s="355">
        <f t="shared" ref="M617:M626" si="274">SQRT(1+(A617/pole4)^2)</f>
        <v>1.0002198305567001</v>
      </c>
      <c r="N617" s="356">
        <f t="shared" ref="N617:N626" si="275">ATAN(A617/pole4)</f>
        <v>2.0966177192087938E-2</v>
      </c>
      <c r="O617" s="355">
        <f t="shared" ref="O617:O626" si="276">SQRT((1-(A617^2/(pole3^2)))^2+(A617/(Q*pole3))^2)</f>
        <v>1.000894379956105</v>
      </c>
      <c r="P617" s="420">
        <f t="shared" ref="P617:P626" si="277">ATAN((A617/(Q*pole3))/(1-A617^2/pole3^2))</f>
        <v>5.0750212151014031E-2</v>
      </c>
      <c r="Q617" s="343">
        <f>20*LOG10(((E617*K617*G617)/(C617*I617*O617*M617))*Adc)</f>
        <v>8.2690686829037657E-2</v>
      </c>
      <c r="R617" s="344">
        <f>((F617+L617+H617)-(D617+J617+P617+N617))*radconv</f>
        <v>-90.791319272078468</v>
      </c>
      <c r="S617" s="346">
        <f t="shared" ref="S617:S626" si="278">IF(R617&gt;0,R617,R617+180)</f>
        <v>89.208680727921532</v>
      </c>
      <c r="T617" s="319" t="s">
        <v>363</v>
      </c>
      <c r="X617" s="345">
        <f t="shared" ref="X617:X626" si="279">20*LOG10((K617/(I617*M617))*AEA)</f>
        <v>17.673053000732498</v>
      </c>
      <c r="Y617" s="346">
        <f t="shared" ref="Y617:Y626" si="280">(L617-(J617+N617))*radconv</f>
        <v>-7.3677402266980421</v>
      </c>
      <c r="AA617" s="345">
        <f>20*LOG10((E617*G617/(C617*O617))*Acs*Am)</f>
        <v>31.283587670750794</v>
      </c>
      <c r="AB617" s="346">
        <f>(F617+H617-(D617+P617))*radconv</f>
        <v>-83.423579045380407</v>
      </c>
    </row>
    <row r="618" spans="1:31" x14ac:dyDescent="0.2">
      <c r="A618" s="354">
        <f>A617</f>
        <v>5957</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
      <c r="A619" s="319">
        <f>A618</f>
        <v>5957</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
      <c r="A620" s="354">
        <v>1000000</v>
      </c>
      <c r="B620" s="354"/>
      <c r="C620" s="355"/>
      <c r="D620" s="348"/>
      <c r="E620" s="348"/>
      <c r="F620" s="349"/>
      <c r="G620" s="338"/>
      <c r="H620" s="339"/>
      <c r="I620" s="355"/>
      <c r="J620" s="356"/>
      <c r="K620" s="348"/>
      <c r="L620" s="349"/>
      <c r="M620" s="337"/>
      <c r="N620" s="340"/>
      <c r="O620" s="355"/>
      <c r="P620" s="342"/>
      <c r="Q620" s="343"/>
      <c r="R620" s="344">
        <f>R617</f>
        <v>-90.791319272078468</v>
      </c>
      <c r="S620" s="346"/>
      <c r="X620" s="345"/>
      <c r="Y620" s="346"/>
      <c r="AA620" s="345"/>
      <c r="AB620" s="346"/>
    </row>
    <row r="621" spans="1:31" x14ac:dyDescent="0.2">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
      <c r="A622" s="429">
        <f>pole1</f>
        <v>903.72463971154241</v>
      </c>
      <c r="B622" s="354"/>
      <c r="C622" s="355">
        <f t="shared" si="266"/>
        <v>1.4142135623730951</v>
      </c>
      <c r="D622" s="348">
        <f t="shared" si="267"/>
        <v>0.78539816339744828</v>
      </c>
      <c r="E622" s="348">
        <f t="shared" si="268"/>
        <v>1.0000025794161176</v>
      </c>
      <c r="F622" s="349">
        <f t="shared" si="269"/>
        <v>2.2713038428351863E-3</v>
      </c>
      <c r="G622" s="338">
        <f t="shared" ref="G622:G628" si="281">IF(VIN_nom&gt;Vout, 1, SQRT(1+(A622/z_RHP)^2))</f>
        <v>1</v>
      </c>
      <c r="H622" s="339">
        <f t="shared" ref="H622:H628" si="282">IF(VIN_nom&gt;Vout, 0, -ATAN(A622/z_RHP))</f>
        <v>0</v>
      </c>
      <c r="I622" s="355">
        <f t="shared" si="270"/>
        <v>14174.36439538221</v>
      </c>
      <c r="J622" s="356">
        <f t="shared" si="271"/>
        <v>1.5707257768941789</v>
      </c>
      <c r="K622" s="348">
        <f t="shared" si="272"/>
        <v>1.7237287920602868</v>
      </c>
      <c r="L622" s="349">
        <f t="shared" si="273"/>
        <v>0.95189862983844653</v>
      </c>
      <c r="M622" s="337">
        <f t="shared" si="274"/>
        <v>1.0000050600142554</v>
      </c>
      <c r="N622" s="340">
        <f t="shared" si="275"/>
        <v>3.181192518226432E-3</v>
      </c>
      <c r="O622" s="355">
        <f t="shared" si="276"/>
        <v>1.0000205916875713</v>
      </c>
      <c r="P622" s="342">
        <f t="shared" si="277"/>
        <v>7.7027099541623215E-3</v>
      </c>
      <c r="Q622" s="343">
        <f t="shared" ref="Q622:Q628" si="283">20*LOG10(((E622*K622*G622)/(C622*I622*O622*M622))*Adc)</f>
        <v>15.291111154265238</v>
      </c>
      <c r="R622" s="344">
        <f t="shared" ref="R622:R628" si="284">((F622+L622+H622)-(D622+J622+P622+N622))*radconv</f>
        <v>-80.949649419027025</v>
      </c>
      <c r="S622" s="346">
        <f t="shared" si="278"/>
        <v>99.050350580972975</v>
      </c>
      <c r="T622" s="319" t="s">
        <v>337</v>
      </c>
      <c r="X622" s="345">
        <f t="shared" si="279"/>
        <v>19.406487298559156</v>
      </c>
      <c r="Y622" s="346">
        <f t="shared" si="280"/>
        <v>-35.638452720250847</v>
      </c>
      <c r="AA622" s="345">
        <f t="shared" ref="AA622:AA628" si="285">20*LOG10((E622*G622/(C622*O622))*Acs*Am)</f>
        <v>44.758573840360334</v>
      </c>
      <c r="AB622" s="346">
        <f t="shared" ref="AB622:AB628" si="286">(F622+H622-(D622+P622))*radconv</f>
        <v>-45.3111966987762</v>
      </c>
    </row>
    <row r="623" spans="1:31" x14ac:dyDescent="0.2">
      <c r="A623" s="429">
        <f>Zero1</f>
        <v>397887.35818439093</v>
      </c>
      <c r="B623" s="354"/>
      <c r="C623" s="355">
        <f t="shared" si="266"/>
        <v>440.27612728193031</v>
      </c>
      <c r="D623" s="348">
        <f t="shared" si="267"/>
        <v>1.5685250229520615</v>
      </c>
      <c r="E623" s="348">
        <f t="shared" si="268"/>
        <v>1.4142135623730951</v>
      </c>
      <c r="F623" s="349">
        <f t="shared" si="269"/>
        <v>0.78539816339744828</v>
      </c>
      <c r="G623" s="338">
        <f t="shared" si="281"/>
        <v>1</v>
      </c>
      <c r="H623" s="339">
        <f t="shared" si="282"/>
        <v>0</v>
      </c>
      <c r="I623" s="355">
        <f t="shared" si="270"/>
        <v>6240618.1500000805</v>
      </c>
      <c r="J623" s="356">
        <f t="shared" si="271"/>
        <v>1.5707961665543602</v>
      </c>
      <c r="K623" s="348">
        <f t="shared" si="272"/>
        <v>618.15080886463306</v>
      </c>
      <c r="L623" s="349">
        <f t="shared" si="273"/>
        <v>1.5691785978817672</v>
      </c>
      <c r="M623" s="337">
        <f t="shared" si="274"/>
        <v>1.7209567747036361</v>
      </c>
      <c r="N623" s="340">
        <f t="shared" si="275"/>
        <v>0.95075091560756875</v>
      </c>
      <c r="O623" s="355">
        <f t="shared" si="276"/>
        <v>3.475253642012794</v>
      </c>
      <c r="P623" s="342">
        <f t="shared" si="277"/>
        <v>-1.3506061294960718</v>
      </c>
      <c r="Q623" s="343">
        <f t="shared" si="283"/>
        <v>-48.879690882171104</v>
      </c>
      <c r="R623" s="344">
        <f t="shared" si="284"/>
        <v>-22.052527586912522</v>
      </c>
      <c r="S623" s="346">
        <f t="shared" si="278"/>
        <v>157.94747241308747</v>
      </c>
      <c r="T623" s="319" t="s">
        <v>332</v>
      </c>
      <c r="X623" s="345">
        <f t="shared" si="279"/>
        <v>12.909161795281394</v>
      </c>
      <c r="Y623" s="346">
        <f t="shared" si="280"/>
        <v>-54.566694752876082</v>
      </c>
      <c r="AA623" s="345">
        <f t="shared" si="285"/>
        <v>-12.914902692798238</v>
      </c>
      <c r="AB623" s="346">
        <f t="shared" si="286"/>
        <v>32.514167165963585</v>
      </c>
    </row>
    <row r="624" spans="1:31" x14ac:dyDescent="0.2">
      <c r="A624" s="429">
        <f>Pole2</f>
        <v>6.3757683713494134E-2</v>
      </c>
      <c r="B624" s="354"/>
      <c r="C624" s="355">
        <f t="shared" si="266"/>
        <v>1.0000000024886442</v>
      </c>
      <c r="D624" s="348">
        <f t="shared" si="267"/>
        <v>7.0549900717617548E-5</v>
      </c>
      <c r="E624" s="348">
        <f t="shared" si="268"/>
        <v>1.0000000000000129</v>
      </c>
      <c r="F624" s="349">
        <f t="shared" si="269"/>
        <v>1.6024053642826893E-7</v>
      </c>
      <c r="G624" s="338">
        <f t="shared" si="281"/>
        <v>1</v>
      </c>
      <c r="H624" s="339">
        <f t="shared" si="282"/>
        <v>0</v>
      </c>
      <c r="I624" s="355">
        <f t="shared" si="270"/>
        <v>1.4142135623730951</v>
      </c>
      <c r="J624" s="356">
        <f t="shared" si="271"/>
        <v>0.78539816339744828</v>
      </c>
      <c r="K624" s="348">
        <f t="shared" si="272"/>
        <v>1.0000000049057174</v>
      </c>
      <c r="L624" s="349">
        <f t="shared" si="273"/>
        <v>9.9052687269185653E-5</v>
      </c>
      <c r="M624" s="337">
        <f t="shared" si="274"/>
        <v>1.0000000000000253</v>
      </c>
      <c r="N624" s="340">
        <f t="shared" si="275"/>
        <v>2.2443357378556125E-7</v>
      </c>
      <c r="O624" s="355">
        <f t="shared" si="276"/>
        <v>1.0000000000001026</v>
      </c>
      <c r="P624" s="342">
        <f t="shared" si="277"/>
        <v>5.4343123964676777E-7</v>
      </c>
      <c r="Q624" s="343">
        <f t="shared" si="283"/>
        <v>93.592004728119178</v>
      </c>
      <c r="R624" s="344">
        <f t="shared" si="284"/>
        <v>-44.99840177635101</v>
      </c>
      <c r="S624" s="346">
        <f t="shared" si="278"/>
        <v>135.00159822364898</v>
      </c>
      <c r="T624" s="319" t="s">
        <v>340</v>
      </c>
      <c r="W624" s="319">
        <f>Pole2</f>
        <v>6.3757683713494134E-2</v>
      </c>
      <c r="X624" s="345">
        <f t="shared" si="279"/>
        <v>94.696924486600722</v>
      </c>
      <c r="Y624" s="346">
        <f t="shared" si="280"/>
        <v>-44.994337609580128</v>
      </c>
      <c r="AA624" s="345">
        <f t="shared" si="285"/>
        <v>47.769030226172696</v>
      </c>
      <c r="AB624" s="346">
        <f t="shared" si="286"/>
        <v>-4.0641667708735205E-3</v>
      </c>
    </row>
    <row r="625" spans="1:28" x14ac:dyDescent="0.2">
      <c r="A625" s="429">
        <f>Zero2</f>
        <v>643.67444501236082</v>
      </c>
      <c r="B625" s="354"/>
      <c r="C625" s="355">
        <f t="shared" si="266"/>
        <v>1.2277192906186305</v>
      </c>
      <c r="D625" s="348">
        <f t="shared" si="267"/>
        <v>0.61889769695645003</v>
      </c>
      <c r="E625" s="348">
        <f t="shared" si="268"/>
        <v>1.0000013085248449</v>
      </c>
      <c r="F625" s="349">
        <f t="shared" si="269"/>
        <v>1.6177289131293409E-3</v>
      </c>
      <c r="G625" s="338">
        <f t="shared" si="281"/>
        <v>1</v>
      </c>
      <c r="H625" s="339">
        <f t="shared" si="282"/>
        <v>0</v>
      </c>
      <c r="I625" s="355">
        <f t="shared" si="270"/>
        <v>10095.637273501105</v>
      </c>
      <c r="J625" s="356">
        <f t="shared" si="271"/>
        <v>1.5706972741076275</v>
      </c>
      <c r="K625" s="348">
        <f t="shared" si="272"/>
        <v>1.4142135623730951</v>
      </c>
      <c r="L625" s="349">
        <f t="shared" si="273"/>
        <v>0.78539816339744828</v>
      </c>
      <c r="M625" s="337">
        <f t="shared" si="274"/>
        <v>1.0000025669213937</v>
      </c>
      <c r="N625" s="340">
        <f t="shared" si="275"/>
        <v>2.2657960644059741E-3</v>
      </c>
      <c r="O625" s="355">
        <f t="shared" si="276"/>
        <v>1.0000104460957735</v>
      </c>
      <c r="P625" s="342">
        <f t="shared" si="277"/>
        <v>5.4862548637418839E-3</v>
      </c>
      <c r="Q625" s="343">
        <f t="shared" si="283"/>
        <v>17.74784659346372</v>
      </c>
      <c r="R625" s="344">
        <f t="shared" si="284"/>
        <v>-80.806021539010345</v>
      </c>
      <c r="S625" s="346">
        <f t="shared" si="278"/>
        <v>99.193978460989655</v>
      </c>
      <c r="T625" s="319" t="s">
        <v>335</v>
      </c>
      <c r="W625" s="319">
        <f>Zero2</f>
        <v>643.67444501236082</v>
      </c>
      <c r="X625" s="345">
        <f t="shared" si="279"/>
        <v>20.634827293323003</v>
      </c>
      <c r="Y625" s="346">
        <f t="shared" si="280"/>
        <v>-45.124145302359715</v>
      </c>
      <c r="AA625" s="345">
        <f t="shared" si="285"/>
        <v>45.986969284794974</v>
      </c>
      <c r="AB625" s="346">
        <f t="shared" si="286"/>
        <v>-35.681876236650616</v>
      </c>
    </row>
    <row r="626" spans="1:28" x14ac:dyDescent="0.2">
      <c r="A626" s="429">
        <f>pole3</f>
        <v>300000</v>
      </c>
      <c r="B626" s="354"/>
      <c r="C626" s="355">
        <f t="shared" si="266"/>
        <v>331.96102884802309</v>
      </c>
      <c r="D626" s="348">
        <f t="shared" si="267"/>
        <v>1.5677839204413442</v>
      </c>
      <c r="E626" s="348">
        <f t="shared" si="268"/>
        <v>1.2523933935483529</v>
      </c>
      <c r="F626" s="349">
        <f t="shared" si="269"/>
        <v>0.64604487200071159</v>
      </c>
      <c r="G626" s="338">
        <f t="shared" si="281"/>
        <v>1</v>
      </c>
      <c r="H626" s="339">
        <f t="shared" si="282"/>
        <v>0</v>
      </c>
      <c r="I626" s="355">
        <f t="shared" si="270"/>
        <v>4705315.2267592903</v>
      </c>
      <c r="J626" s="356">
        <f t="shared" si="271"/>
        <v>1.5707961142692843</v>
      </c>
      <c r="K626" s="348">
        <f t="shared" si="272"/>
        <v>466.07519197290719</v>
      </c>
      <c r="L626" s="349">
        <f t="shared" si="273"/>
        <v>1.5686507486039221</v>
      </c>
      <c r="M626" s="337">
        <f t="shared" si="274"/>
        <v>1.4543730143811475</v>
      </c>
      <c r="N626" s="340">
        <f t="shared" si="275"/>
        <v>0.81264330486789083</v>
      </c>
      <c r="O626" s="355">
        <f t="shared" si="276"/>
        <v>2.5570152866066915</v>
      </c>
      <c r="P626" s="342" t="e">
        <f t="shared" si="277"/>
        <v>#DIV/0!</v>
      </c>
      <c r="Q626" s="343">
        <f t="shared" si="283"/>
        <v>-43.355459388495674</v>
      </c>
      <c r="R626" s="344" t="e">
        <f t="shared" si="284"/>
        <v>#DIV/0!</v>
      </c>
      <c r="S626" s="346" t="e">
        <f t="shared" si="278"/>
        <v>#DIV/0!</v>
      </c>
      <c r="T626" s="319" t="s">
        <v>333</v>
      </c>
      <c r="X626" s="345">
        <f t="shared" si="279"/>
        <v>14.371053514049919</v>
      </c>
      <c r="Y626" s="346">
        <f t="shared" si="280"/>
        <v>-46.683952069974943</v>
      </c>
      <c r="AA626" s="345">
        <f t="shared" si="285"/>
        <v>-8.852562917891337</v>
      </c>
      <c r="AB626" s="346" t="e">
        <f t="shared" si="286"/>
        <v>#DIV/0!</v>
      </c>
    </row>
    <row r="627" spans="1:28" ht="13.5" thickBot="1" x14ac:dyDescent="0.25">
      <c r="A627" s="406">
        <f>Fp2_u</f>
        <v>284082.64698583551</v>
      </c>
      <c r="C627" s="355">
        <f>SQRT(1+(A627/pole1)^2)</f>
        <v>314.34805688019645</v>
      </c>
      <c r="D627" s="348">
        <f>ATAN(A627/pole1)</f>
        <v>1.5676151342766702</v>
      </c>
      <c r="E627" s="348">
        <f>SQRT(1+(A627/Zero1)^2)</f>
        <v>1.2287245268030089</v>
      </c>
      <c r="F627" s="349">
        <f>ATAN(A627/Zero1)</f>
        <v>0.62004541118732781</v>
      </c>
      <c r="G627" s="338">
        <f t="shared" si="281"/>
        <v>1</v>
      </c>
      <c r="H627" s="339">
        <f t="shared" si="282"/>
        <v>0</v>
      </c>
      <c r="I627" s="355">
        <f>SQRT(1+(A627/Pole2)^2)</f>
        <v>4455661.3484017979</v>
      </c>
      <c r="J627" s="356">
        <f>ATAN(A627/Pole2)</f>
        <v>1.5707961023613228</v>
      </c>
      <c r="K627" s="348">
        <f>SQRT(1+(A627/Zero2)^2)</f>
        <v>441.34636446255718</v>
      </c>
      <c r="L627" s="349">
        <f>ATAN(A627/Zero2)</f>
        <v>1.5685305307304906</v>
      </c>
      <c r="M627" s="337">
        <f>SQRT(1+(A627/pole4)^2)</f>
        <v>1.4142135623730951</v>
      </c>
      <c r="N627" s="340">
        <f>ATAN(A627/pole4)</f>
        <v>0.78539816339744828</v>
      </c>
      <c r="O627" s="355">
        <f>SQRT((1-(A627^2/(pole3^2)))^2+(A627/(Q*pole3))^2)</f>
        <v>2.4235480959629325</v>
      </c>
      <c r="P627" s="342">
        <f>ATAN((A627/(Q*pole3))/(1-A627^2/pole3^2))</f>
        <v>1.5281597243576952</v>
      </c>
      <c r="Q627" s="343">
        <f t="shared" si="283"/>
        <v>-42.338805633770669</v>
      </c>
      <c r="R627" s="344">
        <f t="shared" si="284"/>
        <v>-186.97865646125612</v>
      </c>
      <c r="S627" s="346">
        <f>IF(R627&gt;0,R627,R627+180)</f>
        <v>-6.9786564612561222</v>
      </c>
      <c r="T627" s="319" t="s">
        <v>345</v>
      </c>
      <c r="X627" s="357"/>
      <c r="Y627" s="358"/>
      <c r="AA627" s="345">
        <f t="shared" si="285"/>
        <v>-8.0791276637047318</v>
      </c>
      <c r="AB627" s="346">
        <f t="shared" si="286"/>
        <v>-141.84884871705651</v>
      </c>
    </row>
    <row r="628" spans="1:28" x14ac:dyDescent="0.2">
      <c r="A628" s="406">
        <f>z_RHP</f>
        <v>0</v>
      </c>
      <c r="C628" s="355">
        <f>SQRT(1+(A628/pole1)^2)</f>
        <v>1</v>
      </c>
      <c r="D628" s="348">
        <f>ATAN(A628/pole1)</f>
        <v>0</v>
      </c>
      <c r="E628" s="348">
        <f>SQRT(1+(A628/Zero1)^2)</f>
        <v>1</v>
      </c>
      <c r="F628" s="349">
        <f>ATAN(A628/Zero1)</f>
        <v>0</v>
      </c>
      <c r="G628" s="338">
        <f t="shared" si="281"/>
        <v>1</v>
      </c>
      <c r="H628" s="339">
        <f t="shared" si="282"/>
        <v>0</v>
      </c>
      <c r="I628" s="355">
        <f>SQRT(1+(A628/Pole2)^2)</f>
        <v>1</v>
      </c>
      <c r="J628" s="356">
        <f>ATAN(A628/Pole2)</f>
        <v>0</v>
      </c>
      <c r="K628" s="348">
        <f>SQRT(1+(A628/Zero2)^2)</f>
        <v>1</v>
      </c>
      <c r="L628" s="349">
        <f>ATAN(A628/Zero2)</f>
        <v>0</v>
      </c>
      <c r="M628" s="337">
        <f>SQRT(1+(A628/pole4)^2)</f>
        <v>1</v>
      </c>
      <c r="N628" s="340">
        <f>ATAN(A628/pole4)</f>
        <v>0</v>
      </c>
      <c r="O628" s="355">
        <f>SQRT((1-(A628^2/(pole3^2)))^2+(A628/(Q*pole3))^2)</f>
        <v>1</v>
      </c>
      <c r="P628" s="342">
        <f>ATAN((A628/(Q*pole3))/(1-A628^2/pole3^2))</f>
        <v>0</v>
      </c>
      <c r="Q628" s="343">
        <f t="shared" si="283"/>
        <v>96.602304663765551</v>
      </c>
      <c r="R628" s="344">
        <f t="shared" si="284"/>
        <v>0</v>
      </c>
      <c r="S628" s="346">
        <f>IF(R628&gt;0,R628,R628+180)</f>
        <v>180</v>
      </c>
      <c r="T628" s="319" t="s">
        <v>439</v>
      </c>
      <c r="X628" s="353"/>
      <c r="Y628" s="353"/>
      <c r="AA628" s="345">
        <f t="shared" si="285"/>
        <v>47.769030247789566</v>
      </c>
      <c r="AB628" s="346">
        <f t="shared" si="286"/>
        <v>0</v>
      </c>
    </row>
    <row r="629" spans="1:28" x14ac:dyDescent="0.2">
      <c r="A629" s="406">
        <f>Fp2_u</f>
        <v>284082.64698583551</v>
      </c>
      <c r="Q629" s="343">
        <v>-25</v>
      </c>
    </row>
    <row r="631" spans="1:28" x14ac:dyDescent="0.2">
      <c r="D631" s="319" t="s">
        <v>364</v>
      </c>
      <c r="E631" s="319" t="s">
        <v>365</v>
      </c>
    </row>
    <row r="632" spans="1:28" x14ac:dyDescent="0.2">
      <c r="A632" s="319" t="s">
        <v>337</v>
      </c>
      <c r="B632" s="319" t="s">
        <v>436</v>
      </c>
      <c r="C632" s="359">
        <f>pole1</f>
        <v>903.72463971154241</v>
      </c>
      <c r="D632" s="359">
        <f>Q622</f>
        <v>15.291111154265238</v>
      </c>
      <c r="E632" s="359">
        <f>AA622</f>
        <v>44.758573840360334</v>
      </c>
    </row>
    <row r="633" spans="1:28" x14ac:dyDescent="0.2">
      <c r="A633" s="319" t="s">
        <v>332</v>
      </c>
      <c r="B633" s="319" t="s">
        <v>446</v>
      </c>
      <c r="C633" s="359">
        <f>Zero1</f>
        <v>397887.35818439093</v>
      </c>
      <c r="D633" s="359">
        <f>Q623</f>
        <v>-48.879690882171104</v>
      </c>
      <c r="E633" s="359">
        <f>AA623</f>
        <v>-12.914902692798238</v>
      </c>
    </row>
    <row r="634" spans="1:28" x14ac:dyDescent="0.2">
      <c r="A634" s="319" t="s">
        <v>340</v>
      </c>
      <c r="B634" s="319" t="s">
        <v>447</v>
      </c>
      <c r="C634" s="359">
        <f>Pole2</f>
        <v>6.3757683713494134E-2</v>
      </c>
      <c r="D634" s="359">
        <f>Q624</f>
        <v>93.592004728119178</v>
      </c>
      <c r="E634" s="359">
        <f>AA624</f>
        <v>47.769030226172696</v>
      </c>
    </row>
    <row r="635" spans="1:28" x14ac:dyDescent="0.2">
      <c r="A635" s="319" t="s">
        <v>335</v>
      </c>
      <c r="B635" s="319" t="s">
        <v>448</v>
      </c>
      <c r="C635" s="359">
        <f>Zero2</f>
        <v>643.67444501236082</v>
      </c>
      <c r="D635" s="359">
        <f>Q625</f>
        <v>17.74784659346372</v>
      </c>
      <c r="E635" s="359">
        <f>AA625</f>
        <v>45.986969284794974</v>
      </c>
    </row>
    <row r="636" spans="1:28" x14ac:dyDescent="0.2">
      <c r="A636" s="319" t="s">
        <v>333</v>
      </c>
      <c r="B636" s="319" t="s">
        <v>445</v>
      </c>
      <c r="C636" s="319">
        <f>pole3</f>
        <v>300000</v>
      </c>
      <c r="D636" s="359">
        <f>Q626</f>
        <v>-43.355459388495674</v>
      </c>
      <c r="E636" s="359">
        <f>AA626</f>
        <v>-8.852562917891337</v>
      </c>
    </row>
    <row r="637" spans="1:28" x14ac:dyDescent="0.2">
      <c r="C637" s="406"/>
      <c r="D637" s="359"/>
      <c r="E637" s="359"/>
    </row>
    <row r="639" spans="1:28" x14ac:dyDescent="0.2">
      <c r="A639" s="359">
        <f>Q4*1000</f>
        <v>5957</v>
      </c>
    </row>
    <row r="640" spans="1:28" x14ac:dyDescent="0.2">
      <c r="A640" s="359">
        <f>Q4*1000</f>
        <v>5957</v>
      </c>
    </row>
    <row r="687" spans="30:31" x14ac:dyDescent="0.2">
      <c r="AD687" t="s">
        <v>44</v>
      </c>
      <c r="AE687" s="4">
        <f>SUM(AE689:AE1306)</f>
        <v>0</v>
      </c>
    </row>
  </sheetData>
  <mergeCells count="20">
    <mergeCell ref="X10:Y10"/>
    <mergeCell ref="AA10:AB10"/>
    <mergeCell ref="C11:D11"/>
    <mergeCell ref="E11:F11"/>
    <mergeCell ref="I11:J11"/>
    <mergeCell ref="K11:L11"/>
    <mergeCell ref="M11:N11"/>
    <mergeCell ref="O11:P11"/>
    <mergeCell ref="B10:B11"/>
    <mergeCell ref="A2:D2"/>
    <mergeCell ref="J2:L2"/>
    <mergeCell ref="M2:O2"/>
    <mergeCell ref="A10:A12"/>
    <mergeCell ref="O10:P10"/>
    <mergeCell ref="P2:R2"/>
    <mergeCell ref="G11:H11"/>
    <mergeCell ref="E2:G2"/>
    <mergeCell ref="C10:H10"/>
    <mergeCell ref="I10:N10"/>
    <mergeCell ref="Q10:S10"/>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E687"/>
  <sheetViews>
    <sheetView zoomScaleNormal="100" workbookViewId="0">
      <pane ySplit="11" topLeftCell="A606" activePane="bottomLeft" state="frozen"/>
      <selection activeCell="A93" sqref="A93"/>
      <selection pane="bottomLeft" activeCell="F5" sqref="F5"/>
    </sheetView>
  </sheetViews>
  <sheetFormatPr defaultColWidth="9.140625" defaultRowHeight="12.75" x14ac:dyDescent="0.2"/>
  <cols>
    <col min="1" max="1" width="16.140625" style="319" customWidth="1"/>
    <col min="2" max="2" width="15.7109375" style="319" customWidth="1"/>
    <col min="3" max="3" width="10" style="319" customWidth="1"/>
    <col min="4" max="4" width="10.85546875" style="319" customWidth="1"/>
    <col min="5" max="5" width="10.140625" style="319" customWidth="1"/>
    <col min="6" max="8" width="11.85546875" style="319" customWidth="1"/>
    <col min="9" max="9" width="14.28515625" style="319" customWidth="1"/>
    <col min="10" max="10" width="11" style="319" customWidth="1"/>
    <col min="11" max="11" width="12" style="319" customWidth="1"/>
    <col min="12" max="12" width="11.42578125" style="319" customWidth="1"/>
    <col min="13" max="13" width="10.85546875" style="319" customWidth="1"/>
    <col min="14" max="14" width="11.42578125" style="319" customWidth="1"/>
    <col min="15" max="15" width="12.28515625" style="319" customWidth="1"/>
    <col min="16" max="16" width="12.140625" style="319" customWidth="1"/>
    <col min="17" max="17" width="9.42578125" style="319" customWidth="1"/>
    <col min="18" max="18" width="16.140625" style="319" bestFit="1" customWidth="1"/>
    <col min="19" max="19" width="15.28515625" style="359" customWidth="1"/>
    <col min="20" max="20" width="9.140625" style="319"/>
    <col min="21" max="21" width="13.42578125" style="319" bestFit="1" customWidth="1"/>
    <col min="22" max="22" width="9.28515625" style="319" bestFit="1" customWidth="1"/>
    <col min="23" max="23" width="9.140625" style="319"/>
    <col min="24" max="24" width="13.5703125" style="319" customWidth="1"/>
    <col min="25" max="25" width="10.5703125" style="319" customWidth="1"/>
    <col min="26" max="26" width="9.140625" style="319"/>
    <col min="27" max="27" width="9.28515625" style="319" bestFit="1" customWidth="1"/>
    <col min="28" max="28" width="11.28515625" style="319" bestFit="1" customWidth="1"/>
    <col min="29" max="29" width="9.140625" style="319"/>
    <col min="30" max="30" width="12.28515625" customWidth="1"/>
    <col min="31" max="31" width="8.85546875" customWidth="1"/>
    <col min="32" max="16384" width="9.140625" style="319"/>
  </cols>
  <sheetData>
    <row r="1" spans="1:31" ht="13.5" thickBot="1" x14ac:dyDescent="0.25"/>
    <row r="2" spans="1:31" x14ac:dyDescent="0.2">
      <c r="A2" s="733" t="s">
        <v>422</v>
      </c>
      <c r="B2" s="734"/>
      <c r="C2" s="735"/>
      <c r="D2" s="736"/>
      <c r="E2" s="733" t="s">
        <v>328</v>
      </c>
      <c r="F2" s="734"/>
      <c r="G2" s="734"/>
      <c r="H2" s="401"/>
      <c r="I2" s="417"/>
      <c r="J2" s="733" t="s">
        <v>420</v>
      </c>
      <c r="K2" s="735"/>
      <c r="L2" s="736"/>
      <c r="M2" s="733" t="s">
        <v>421</v>
      </c>
      <c r="N2" s="735"/>
      <c r="O2" s="736"/>
      <c r="P2" s="733" t="s">
        <v>329</v>
      </c>
      <c r="Q2" s="734"/>
      <c r="R2" s="742"/>
      <c r="AD2" s="114"/>
      <c r="AE2" s="114"/>
    </row>
    <row r="3" spans="1:31" x14ac:dyDescent="0.2">
      <c r="B3" s="320" t="s">
        <v>330</v>
      </c>
      <c r="C3" s="404">
        <f>Afb_Ch2</f>
        <v>1.2E-2</v>
      </c>
      <c r="D3" s="322" t="s">
        <v>28</v>
      </c>
      <c r="E3" s="323" t="s">
        <v>331</v>
      </c>
      <c r="F3" s="321">
        <f>Acs_Ch2</f>
        <v>16.666666666666668</v>
      </c>
      <c r="G3" s="322" t="s">
        <v>419</v>
      </c>
      <c r="H3" s="415" t="s">
        <v>347</v>
      </c>
      <c r="I3" s="427">
        <f>gm</f>
        <v>1.1999999999999999E-3</v>
      </c>
      <c r="J3" s="323" t="s">
        <v>438</v>
      </c>
      <c r="K3" s="324">
        <f>Fesr_Ch2</f>
        <v>397887.35818439093</v>
      </c>
      <c r="L3" s="322" t="s">
        <v>9</v>
      </c>
      <c r="M3" s="323" t="s">
        <v>333</v>
      </c>
      <c r="N3" s="324">
        <f>Fsw/2</f>
        <v>300000</v>
      </c>
      <c r="O3" s="322" t="s">
        <v>9</v>
      </c>
      <c r="P3" s="325" t="s">
        <v>334</v>
      </c>
      <c r="Q3" s="324">
        <f>Am_Ch2*Afb_Ch2*AEA</f>
        <v>68614.261320409147</v>
      </c>
      <c r="R3" s="322" t="s">
        <v>28</v>
      </c>
    </row>
    <row r="4" spans="1:31" x14ac:dyDescent="0.2">
      <c r="B4" s="320" t="s">
        <v>443</v>
      </c>
      <c r="C4" s="324">
        <f>Fz1_u_Ch2</f>
        <v>614.2132728996462</v>
      </c>
      <c r="D4" s="322" t="s">
        <v>9</v>
      </c>
      <c r="E4" s="323" t="s">
        <v>336</v>
      </c>
      <c r="F4" s="329">
        <f>Am_Ch2</f>
        <v>74.451238411902295</v>
      </c>
      <c r="G4" s="322" t="s">
        <v>28</v>
      </c>
      <c r="H4" s="416"/>
      <c r="I4" s="416"/>
      <c r="J4" s="323" t="s">
        <v>437</v>
      </c>
      <c r="K4" s="324">
        <f>Fp_dominant_Ch2</f>
        <v>178.14226092657441</v>
      </c>
      <c r="L4" s="322" t="s">
        <v>9</v>
      </c>
      <c r="M4" s="323" t="s">
        <v>338</v>
      </c>
      <c r="N4" s="402">
        <f>Q_Ch2*pole3</f>
        <v>667031.97449043544</v>
      </c>
      <c r="O4" s="322"/>
      <c r="P4" s="325" t="s">
        <v>339</v>
      </c>
      <c r="Q4" s="365">
        <f>AE7</f>
        <v>6.0256000000000007</v>
      </c>
      <c r="R4" s="322" t="s">
        <v>2</v>
      </c>
    </row>
    <row r="5" spans="1:31" x14ac:dyDescent="0.2">
      <c r="B5" s="320" t="s">
        <v>442</v>
      </c>
      <c r="C5" s="329">
        <f>Fp1_u_Ch2</f>
        <v>0.30311813891311201</v>
      </c>
      <c r="D5" s="322" t="s">
        <v>9</v>
      </c>
      <c r="E5" s="323" t="s">
        <v>27</v>
      </c>
      <c r="F5" s="404">
        <f>Q_Ch2</f>
        <v>2.2234399149681181</v>
      </c>
      <c r="G5" s="322"/>
      <c r="H5" s="416"/>
      <c r="I5" s="416"/>
      <c r="J5" s="323"/>
      <c r="K5" s="324"/>
      <c r="L5" s="322"/>
      <c r="M5" s="323" t="s">
        <v>341</v>
      </c>
      <c r="N5" s="321">
        <f>pole3^2</f>
        <v>90000000000</v>
      </c>
      <c r="O5" s="322"/>
      <c r="P5" s="325" t="s">
        <v>342</v>
      </c>
      <c r="Q5" s="329">
        <f>AE9</f>
        <v>85.104144792132715</v>
      </c>
      <c r="R5" s="388" t="s">
        <v>399</v>
      </c>
    </row>
    <row r="6" spans="1:31" x14ac:dyDescent="0.2">
      <c r="B6" s="320" t="s">
        <v>343</v>
      </c>
      <c r="C6" s="321">
        <f>AEA</f>
        <v>76800</v>
      </c>
      <c r="D6" s="322" t="s">
        <v>28</v>
      </c>
      <c r="E6" s="323" t="s">
        <v>371</v>
      </c>
      <c r="F6" s="404">
        <f>mc_Ch2</f>
        <v>3.9090909090909096</v>
      </c>
      <c r="G6" s="415"/>
      <c r="H6" s="418"/>
      <c r="I6" s="328"/>
      <c r="J6" s="326"/>
      <c r="K6" s="327"/>
      <c r="L6" s="328"/>
      <c r="M6" s="326"/>
      <c r="N6" s="430"/>
      <c r="O6" s="328"/>
      <c r="P6" s="400" t="s">
        <v>344</v>
      </c>
      <c r="Q6" s="327">
        <f>180/Pi</f>
        <v>57.295779578552292</v>
      </c>
      <c r="R6" s="328"/>
      <c r="AD6" s="5" t="s">
        <v>46</v>
      </c>
      <c r="AE6" s="5"/>
    </row>
    <row r="7" spans="1:31" ht="13.5" thickBot="1" x14ac:dyDescent="0.25">
      <c r="B7" s="396" t="s">
        <v>441</v>
      </c>
      <c r="C7" s="403">
        <f>Fp2_u_Ch2</f>
        <v>307740.92556956218</v>
      </c>
      <c r="D7" s="398" t="s">
        <v>9</v>
      </c>
      <c r="E7" s="397" t="s">
        <v>346</v>
      </c>
      <c r="F7" s="399">
        <f>k_Ch2</f>
        <v>0.64316100219514005</v>
      </c>
      <c r="G7" s="399"/>
      <c r="H7" s="419"/>
      <c r="I7" s="398"/>
      <c r="J7" s="397"/>
      <c r="K7" s="397"/>
      <c r="L7" s="398"/>
      <c r="M7" s="397"/>
      <c r="N7" s="397"/>
      <c r="O7" s="398"/>
      <c r="P7" s="397"/>
      <c r="Q7" s="397"/>
      <c r="R7" s="398"/>
      <c r="AD7" t="s">
        <v>43</v>
      </c>
      <c r="AE7">
        <f>SUM(AD12:AD613)/1000</f>
        <v>6.0256000000000007</v>
      </c>
    </row>
    <row r="8" spans="1:31" x14ac:dyDescent="0.2">
      <c r="B8" s="405"/>
      <c r="C8" s="406"/>
      <c r="F8" s="407"/>
      <c r="G8" s="407"/>
      <c r="H8" s="407"/>
    </row>
    <row r="9" spans="1:31" ht="13.5" thickBot="1" x14ac:dyDescent="0.25">
      <c r="AD9" t="s">
        <v>44</v>
      </c>
      <c r="AE9" s="4">
        <f>SUM(AE13:AE613)</f>
        <v>85.104144792132715</v>
      </c>
    </row>
    <row r="10" spans="1:31" ht="15" x14ac:dyDescent="0.25">
      <c r="A10" s="737" t="s">
        <v>450</v>
      </c>
      <c r="B10" s="731"/>
      <c r="C10" s="745" t="s">
        <v>348</v>
      </c>
      <c r="D10" s="746"/>
      <c r="E10" s="746"/>
      <c r="F10" s="746"/>
      <c r="G10" s="746"/>
      <c r="H10" s="747"/>
      <c r="I10" s="745" t="s">
        <v>349</v>
      </c>
      <c r="J10" s="746"/>
      <c r="K10" s="746"/>
      <c r="L10" s="746"/>
      <c r="M10" s="746"/>
      <c r="N10" s="747"/>
      <c r="O10" s="740" t="s">
        <v>350</v>
      </c>
      <c r="P10" s="741"/>
      <c r="Q10" s="740" t="s">
        <v>351</v>
      </c>
      <c r="R10" s="748"/>
      <c r="S10" s="749"/>
      <c r="X10" s="750" t="s">
        <v>352</v>
      </c>
      <c r="Y10" s="751"/>
      <c r="AA10" s="750" t="s">
        <v>353</v>
      </c>
      <c r="AB10" s="751"/>
    </row>
    <row r="11" spans="1:31" x14ac:dyDescent="0.2">
      <c r="A11" s="738"/>
      <c r="B11" s="732"/>
      <c r="C11" s="752" t="s">
        <v>437</v>
      </c>
      <c r="D11" s="753"/>
      <c r="E11" s="753" t="s">
        <v>438</v>
      </c>
      <c r="F11" s="754"/>
      <c r="G11" s="743" t="s">
        <v>439</v>
      </c>
      <c r="H11" s="744"/>
      <c r="I11" s="752" t="s">
        <v>337</v>
      </c>
      <c r="J11" s="753"/>
      <c r="K11" s="753" t="s">
        <v>332</v>
      </c>
      <c r="L11" s="754"/>
      <c r="M11" s="743" t="s">
        <v>340</v>
      </c>
      <c r="N11" s="744"/>
      <c r="O11" s="752" t="s">
        <v>333</v>
      </c>
      <c r="P11" s="754"/>
      <c r="Q11" s="323"/>
      <c r="R11" s="321"/>
      <c r="S11" s="366"/>
      <c r="X11" s="323"/>
      <c r="Y11" s="322"/>
      <c r="AA11" s="323"/>
      <c r="AB11" s="322"/>
    </row>
    <row r="12" spans="1:31" ht="13.5" thickBot="1" x14ac:dyDescent="0.25">
      <c r="A12" s="739"/>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
      <c r="A13" s="336">
        <v>1</v>
      </c>
      <c r="B13" s="364">
        <f>A13/1000</f>
        <v>1E-3</v>
      </c>
      <c r="C13" s="337">
        <f t="shared" ref="C13:C76" si="0">SQRT(1+(A13/pole1)^2)</f>
        <v>1.0000157555171649</v>
      </c>
      <c r="D13" s="338">
        <f t="shared" ref="D13:D76" si="1">ATAN(A13/pole1)</f>
        <v>5.6134321594239886E-3</v>
      </c>
      <c r="E13" s="338">
        <f t="shared" ref="E13:E76" si="2">SQRT(1+(A13/Zero1)^2)</f>
        <v>1.0000000000031584</v>
      </c>
      <c r="F13" s="339">
        <f t="shared" ref="F13:F76" si="3">ATAN(A13/Zero1)</f>
        <v>2.5132741199947084E-6</v>
      </c>
      <c r="G13" s="338">
        <f t="shared" ref="G13:G76" si="4">IF(VIN_nom&gt;Vout, 1, SQRT(1+(A13/z_RHP)^2))</f>
        <v>1</v>
      </c>
      <c r="H13" s="339">
        <f t="shared" ref="H13:H76" si="5">IF(VIN_nom&gt;Vout, 0, -ATAN(A13/z_RHP))</f>
        <v>0</v>
      </c>
      <c r="I13" s="337">
        <f t="shared" ref="I13:I76" si="6">SQRT(1+(A13/Pole2)^2)</f>
        <v>3.4472727811363186</v>
      </c>
      <c r="J13" s="340">
        <f t="shared" ref="J13:J76" si="7">ATAN(A13/Pole2)</f>
        <v>1.2764813151367267</v>
      </c>
      <c r="K13" s="338">
        <f t="shared" ref="K13:K76" si="8">SQRT(1+(A13/Zero2)^2)</f>
        <v>1.0000013253522579</v>
      </c>
      <c r="L13" s="339">
        <f t="shared" ref="L13:L76" si="9">ATAN(A13/Zero2)</f>
        <v>1.6280975364009003E-3</v>
      </c>
      <c r="M13" s="337">
        <f t="shared" ref="M13:M76" si="10">SQRT(1+(A13/pole4)^2)</f>
        <v>1.0000000000052796</v>
      </c>
      <c r="N13" s="340">
        <f t="shared" ref="N13:N76" si="11">ATAN(A13/pole4)</f>
        <v>3.2494865547885628E-6</v>
      </c>
      <c r="O13" s="341">
        <f t="shared" ref="O13:O76" si="12">SQRT((1-(V13/pterm2))^2+(A13/pterm1)^2)</f>
        <v>0.99999999999001266</v>
      </c>
      <c r="P13" s="342">
        <f t="shared" ref="P13:P76" si="13">IF((ATAN((A13/pterm1)/(1-A13^2/pterm2))&gt;0),ATAN((A13/pterm1)/(1-A13^2/pterm2)),PI()+ATAN((A13/pterm1)/(1-A13^2/pterm2)))</f>
        <v>1.4991785075584872E-6</v>
      </c>
      <c r="Q13" s="343">
        <f t="shared" ref="Q13:Q76" si="14">20*LOG10(((E13*K13*G13)/(C13*I13*O13*M13))*Adc)</f>
        <v>85.978649500916106</v>
      </c>
      <c r="R13" s="344">
        <f t="shared" ref="R13:R76" si="15">((F13+L13+H13)-(D13+J13+P13+N13))*radconv</f>
        <v>-73.365463000788637</v>
      </c>
      <c r="S13" s="600">
        <f t="shared" ref="S13:S76" si="16">IF(R13&gt;0,R13,R13+180)</f>
        <v>106.63453699921136</v>
      </c>
      <c r="U13" s="319">
        <f>IF(Q13&lt;0,A13,1000000000)</f>
        <v>1000000000</v>
      </c>
      <c r="V13" s="319">
        <f>A13^2</f>
        <v>1</v>
      </c>
      <c r="X13" s="345">
        <f t="shared" ref="X13:X76" si="17">20*LOG10((K13/(I13*M13))*AEA)</f>
        <v>86.957722906567213</v>
      </c>
      <c r="Y13" s="346">
        <f t="shared" ref="Y13:Y76" si="18">(L13-(J13+N13))*radconv</f>
        <v>-73.043895132501802</v>
      </c>
      <c r="AA13" s="345">
        <f t="shared" ref="AA13:AA76" si="19">20*LOG10((E13*G13/(C13*O13))*Acs*Am)</f>
        <v>47.76889339829853</v>
      </c>
      <c r="AB13" s="346">
        <f t="shared" ref="AB13:AB76" si="20">(F13+H13-(D13+P13))*radconv</f>
        <v>-0.32156786828683193</v>
      </c>
      <c r="AD13">
        <f>SUM((Q14&lt;0)*(Q13&gt;0))*A13</f>
        <v>0</v>
      </c>
      <c r="AE13">
        <f t="shared" ref="AE13:AE76" si="21">IF(AD13&gt;0,S11,0)</f>
        <v>0</v>
      </c>
    </row>
    <row r="14" spans="1:31" x14ac:dyDescent="0.2">
      <c r="A14" s="347">
        <v>1.0965</v>
      </c>
      <c r="B14" s="364">
        <f t="shared" ref="B14:B77" si="22">A14/1000</f>
        <v>1.0965E-3</v>
      </c>
      <c r="C14" s="337">
        <f t="shared" si="0"/>
        <v>1.0000189430211024</v>
      </c>
      <c r="D14" s="338">
        <f t="shared" si="1"/>
        <v>6.1551152833247804E-3</v>
      </c>
      <c r="E14" s="338">
        <f t="shared" si="2"/>
        <v>1.0000000000037972</v>
      </c>
      <c r="F14" s="339">
        <f t="shared" si="3"/>
        <v>2.7558050725730243E-6</v>
      </c>
      <c r="G14" s="338">
        <f t="shared" si="4"/>
        <v>1</v>
      </c>
      <c r="H14" s="339">
        <f t="shared" si="5"/>
        <v>0</v>
      </c>
      <c r="I14" s="337">
        <f t="shared" si="6"/>
        <v>3.753077852165783</v>
      </c>
      <c r="J14" s="340">
        <f t="shared" si="7"/>
        <v>1.3010904303902768</v>
      </c>
      <c r="K14" s="348">
        <f t="shared" si="8"/>
        <v>1.0000015934870414</v>
      </c>
      <c r="L14" s="349">
        <f t="shared" si="9"/>
        <v>1.7852086295462137E-3</v>
      </c>
      <c r="M14" s="337">
        <f t="shared" si="10"/>
        <v>1.0000000000063478</v>
      </c>
      <c r="N14" s="340">
        <f t="shared" si="11"/>
        <v>3.5630620073231225E-6</v>
      </c>
      <c r="O14" s="341">
        <f t="shared" si="12"/>
        <v>0.99999999998799216</v>
      </c>
      <c r="P14" s="342">
        <f t="shared" si="13"/>
        <v>1.6438492335413273E-6</v>
      </c>
      <c r="Q14" s="343">
        <f t="shared" si="14"/>
        <v>85.240385683627295</v>
      </c>
      <c r="R14" s="344">
        <f t="shared" si="15"/>
        <v>-74.797508157857521</v>
      </c>
      <c r="S14" s="346">
        <f t="shared" si="16"/>
        <v>105.20249184214248</v>
      </c>
      <c r="U14" s="319">
        <f t="shared" ref="U14:U77" si="23">IF(Q14&lt;0,A14,1000000000)</f>
        <v>1000000000</v>
      </c>
      <c r="V14" s="319">
        <f t="shared" ref="V14:V77" si="24">A14^2</f>
        <v>1.2023122500000001</v>
      </c>
      <c r="X14" s="345">
        <f t="shared" si="17"/>
        <v>86.219486775082416</v>
      </c>
      <c r="Y14" s="346">
        <f t="shared" si="18"/>
        <v>-74.444909739680213</v>
      </c>
      <c r="AA14" s="345">
        <f t="shared" si="19"/>
        <v>47.768865712494531</v>
      </c>
      <c r="AB14" s="346">
        <f t="shared" si="20"/>
        <v>-0.35259841817730081</v>
      </c>
      <c r="AD14">
        <f t="shared" ref="AD14:AD77" si="25">SUM((Q15&lt;0)*(Q14&gt;0))*A14</f>
        <v>0</v>
      </c>
      <c r="AE14">
        <f t="shared" si="21"/>
        <v>0</v>
      </c>
    </row>
    <row r="15" spans="1:31" x14ac:dyDescent="0.2">
      <c r="A15" s="347">
        <v>1.2022999999999999</v>
      </c>
      <c r="B15" s="364">
        <f t="shared" si="22"/>
        <v>1.2022999999999999E-3</v>
      </c>
      <c r="C15" s="337">
        <f t="shared" si="0"/>
        <v>1.0000227749185866</v>
      </c>
      <c r="D15" s="338">
        <f t="shared" si="1"/>
        <v>6.7489979030307705E-3</v>
      </c>
      <c r="E15" s="338">
        <f t="shared" si="2"/>
        <v>1.0000000000045652</v>
      </c>
      <c r="F15" s="339">
        <f t="shared" si="3"/>
        <v>3.0217094744668033E-6</v>
      </c>
      <c r="G15" s="338">
        <f t="shared" si="4"/>
        <v>1</v>
      </c>
      <c r="H15" s="339">
        <f t="shared" si="5"/>
        <v>0</v>
      </c>
      <c r="I15" s="337">
        <f t="shared" si="6"/>
        <v>4.0905560264044132</v>
      </c>
      <c r="J15" s="340">
        <f t="shared" si="7"/>
        <v>1.3238278535759207</v>
      </c>
      <c r="K15" s="348">
        <f t="shared" si="8"/>
        <v>1.0000019158296412</v>
      </c>
      <c r="L15" s="349">
        <f t="shared" si="9"/>
        <v>1.9574608974579737E-3</v>
      </c>
      <c r="M15" s="337">
        <f t="shared" si="10"/>
        <v>1.0000000000076317</v>
      </c>
      <c r="N15" s="340">
        <f t="shared" si="11"/>
        <v>3.9068576848161629E-6</v>
      </c>
      <c r="O15" s="341">
        <f t="shared" si="12"/>
        <v>0.9999999999855631</v>
      </c>
      <c r="P15" s="342">
        <f t="shared" si="13"/>
        <v>1.8024623196458903E-6</v>
      </c>
      <c r="Q15" s="343">
        <f t="shared" si="14"/>
        <v>84.492459759792311</v>
      </c>
      <c r="R15" s="344">
        <f t="shared" si="15"/>
        <v>-76.124437735288254</v>
      </c>
      <c r="S15" s="346">
        <f t="shared" si="16"/>
        <v>103.87556226471175</v>
      </c>
      <c r="U15" s="319">
        <f t="shared" si="23"/>
        <v>1000000000</v>
      </c>
      <c r="V15" s="319">
        <f t="shared" si="24"/>
        <v>1.4455252899999997</v>
      </c>
      <c r="X15" s="345">
        <f t="shared" si="17"/>
        <v>85.471594133964061</v>
      </c>
      <c r="Y15" s="346">
        <f t="shared" si="18"/>
        <v>-75.737818496776327</v>
      </c>
      <c r="AA15" s="345">
        <f t="shared" si="19"/>
        <v>47.768832429777888</v>
      </c>
      <c r="AB15" s="346">
        <f t="shared" si="20"/>
        <v>-0.38661923851192825</v>
      </c>
      <c r="AD15">
        <f t="shared" si="25"/>
        <v>0</v>
      </c>
      <c r="AE15">
        <f t="shared" si="21"/>
        <v>0</v>
      </c>
    </row>
    <row r="16" spans="1:31" x14ac:dyDescent="0.2">
      <c r="A16" s="347">
        <v>1.3183</v>
      </c>
      <c r="B16" s="364">
        <f t="shared" si="22"/>
        <v>1.3183000000000001E-3</v>
      </c>
      <c r="C16" s="337">
        <f t="shared" si="0"/>
        <v>1.0000273815887117</v>
      </c>
      <c r="D16" s="338">
        <f t="shared" si="1"/>
        <v>7.4001302601576528E-3</v>
      </c>
      <c r="E16" s="338">
        <f t="shared" si="2"/>
        <v>1.0000000000054889</v>
      </c>
      <c r="F16" s="339">
        <f t="shared" si="3"/>
        <v>3.3132492723838765E-6</v>
      </c>
      <c r="G16" s="338">
        <f t="shared" si="4"/>
        <v>1</v>
      </c>
      <c r="H16" s="339">
        <f t="shared" si="5"/>
        <v>0</v>
      </c>
      <c r="I16" s="337">
        <f t="shared" si="6"/>
        <v>4.4626142855820357</v>
      </c>
      <c r="J16" s="340">
        <f t="shared" si="7"/>
        <v>1.3447933998692145</v>
      </c>
      <c r="K16" s="348">
        <f t="shared" si="8"/>
        <v>1.000002303348297</v>
      </c>
      <c r="L16" s="349">
        <f t="shared" si="9"/>
        <v>2.146319582844012E-3</v>
      </c>
      <c r="M16" s="337">
        <f t="shared" si="10"/>
        <v>1.0000000000091753</v>
      </c>
      <c r="N16" s="340">
        <f t="shared" si="11"/>
        <v>4.283798125166637E-6</v>
      </c>
      <c r="O16" s="341">
        <f t="shared" si="12"/>
        <v>0.99999999998264277</v>
      </c>
      <c r="P16" s="342">
        <f t="shared" si="13"/>
        <v>1.9763670265294653E-6</v>
      </c>
      <c r="Q16" s="343">
        <f t="shared" si="14"/>
        <v>83.736282993940364</v>
      </c>
      <c r="R16" s="344">
        <f t="shared" si="15"/>
        <v>-77.352176241955902</v>
      </c>
      <c r="S16" s="346">
        <f t="shared" si="16"/>
        <v>102.6478237580441</v>
      </c>
      <c r="U16" s="319">
        <f t="shared" si="23"/>
        <v>1000000000</v>
      </c>
      <c r="V16" s="319">
        <f t="shared" si="24"/>
        <v>1.7379148900000001</v>
      </c>
      <c r="X16" s="345">
        <f t="shared" si="17"/>
        <v>84.715457380103615</v>
      </c>
      <c r="Y16" s="346">
        <f t="shared" si="18"/>
        <v>-76.928256607427826</v>
      </c>
      <c r="AA16" s="345">
        <f t="shared" si="19"/>
        <v>47.768792417786408</v>
      </c>
      <c r="AB16" s="346">
        <f t="shared" si="20"/>
        <v>-0.42391963452808679</v>
      </c>
      <c r="AD16">
        <f t="shared" si="25"/>
        <v>0</v>
      </c>
      <c r="AE16">
        <f t="shared" si="21"/>
        <v>0</v>
      </c>
    </row>
    <row r="17" spans="1:31" x14ac:dyDescent="0.2">
      <c r="A17" s="347">
        <v>1.4454</v>
      </c>
      <c r="B17" s="364">
        <f t="shared" si="22"/>
        <v>1.4454000000000001E-3</v>
      </c>
      <c r="C17" s="337">
        <f t="shared" si="0"/>
        <v>1.0000329158472061</v>
      </c>
      <c r="D17" s="338">
        <f t="shared" si="1"/>
        <v>8.1135620234222151E-3</v>
      </c>
      <c r="E17" s="338">
        <f t="shared" si="2"/>
        <v>1.0000000000065983</v>
      </c>
      <c r="F17" s="339">
        <f t="shared" si="3"/>
        <v>3.6326864130320209E-6</v>
      </c>
      <c r="G17" s="338">
        <f t="shared" si="4"/>
        <v>1</v>
      </c>
      <c r="H17" s="339">
        <f t="shared" si="5"/>
        <v>0</v>
      </c>
      <c r="I17" s="337">
        <f t="shared" si="6"/>
        <v>4.872165773164201</v>
      </c>
      <c r="J17" s="340">
        <f t="shared" si="7"/>
        <v>1.3640797097601012</v>
      </c>
      <c r="K17" s="348">
        <f t="shared" si="8"/>
        <v>1.0000027688989688</v>
      </c>
      <c r="L17" s="349">
        <f t="shared" si="9"/>
        <v>2.3532499144320552E-3</v>
      </c>
      <c r="M17" s="337">
        <f t="shared" si="10"/>
        <v>1.0000000000110298</v>
      </c>
      <c r="N17" s="340">
        <f t="shared" si="11"/>
        <v>4.6968078662733841E-6</v>
      </c>
      <c r="O17" s="341">
        <f t="shared" si="12"/>
        <v>0.99999999997913469</v>
      </c>
      <c r="P17" s="342">
        <f t="shared" si="13"/>
        <v>2.1669126148494933E-6</v>
      </c>
      <c r="Q17" s="343">
        <f t="shared" si="14"/>
        <v>82.973584865358418</v>
      </c>
      <c r="R17" s="344">
        <f t="shared" si="15"/>
        <v>-78.48623707550648</v>
      </c>
      <c r="S17" s="346">
        <f t="shared" si="16"/>
        <v>101.51376292449352</v>
      </c>
      <c r="U17" s="319">
        <f t="shared" si="23"/>
        <v>1000000000</v>
      </c>
      <c r="V17" s="319">
        <f t="shared" si="24"/>
        <v>2.0891811599999999</v>
      </c>
      <c r="X17" s="345">
        <f t="shared" si="17"/>
        <v>83.952807319990853</v>
      </c>
      <c r="Y17" s="346">
        <f t="shared" si="18"/>
        <v>-78.021448196868022</v>
      </c>
      <c r="AA17" s="345">
        <f t="shared" si="19"/>
        <v>47.768744349317203</v>
      </c>
      <c r="AB17" s="346">
        <f t="shared" si="20"/>
        <v>-0.46478887863845925</v>
      </c>
      <c r="AD17">
        <f t="shared" si="25"/>
        <v>0</v>
      </c>
      <c r="AE17">
        <f t="shared" si="21"/>
        <v>0</v>
      </c>
    </row>
    <row r="18" spans="1:31" x14ac:dyDescent="0.2">
      <c r="A18" s="347">
        <v>1.5849</v>
      </c>
      <c r="B18" s="364">
        <f t="shared" si="22"/>
        <v>1.5849E-3</v>
      </c>
      <c r="C18" s="337">
        <f t="shared" si="0"/>
        <v>1.0000395759384146</v>
      </c>
      <c r="D18" s="338">
        <f t="shared" si="1"/>
        <v>8.8965873509100034E-3</v>
      </c>
      <c r="E18" s="338">
        <f t="shared" si="2"/>
        <v>1.0000000000079332</v>
      </c>
      <c r="F18" s="339">
        <f t="shared" si="3"/>
        <v>3.9832881527669331E-6</v>
      </c>
      <c r="G18" s="338">
        <f t="shared" si="4"/>
        <v>1</v>
      </c>
      <c r="H18" s="339">
        <f t="shared" si="5"/>
        <v>0</v>
      </c>
      <c r="I18" s="337">
        <f t="shared" si="6"/>
        <v>5.3234225037874117</v>
      </c>
      <c r="J18" s="340">
        <f t="shared" si="7"/>
        <v>1.3818245494854562</v>
      </c>
      <c r="K18" s="348">
        <f t="shared" si="8"/>
        <v>1.0000033291596171</v>
      </c>
      <c r="L18" s="349">
        <f t="shared" si="9"/>
        <v>2.5803683384046567E-3</v>
      </c>
      <c r="M18" s="337">
        <f t="shared" si="10"/>
        <v>1.0000000000132618</v>
      </c>
      <c r="N18" s="340">
        <f t="shared" si="11"/>
        <v>5.1501112406569877E-6</v>
      </c>
      <c r="O18" s="341">
        <f t="shared" si="12"/>
        <v>0.99999999997491273</v>
      </c>
      <c r="P18" s="342">
        <f t="shared" si="13"/>
        <v>2.3760480166666703E-6</v>
      </c>
      <c r="Q18" s="343">
        <f t="shared" si="14"/>
        <v>82.204154292526482</v>
      </c>
      <c r="R18" s="344">
        <f t="shared" si="15"/>
        <v>-79.534810487423258</v>
      </c>
      <c r="S18" s="346">
        <f t="shared" si="16"/>
        <v>100.46518951257674</v>
      </c>
      <c r="U18" s="319">
        <f t="shared" si="23"/>
        <v>1000000000</v>
      </c>
      <c r="V18" s="319">
        <f t="shared" si="24"/>
        <v>2.51190801</v>
      </c>
      <c r="X18" s="345">
        <f t="shared" si="17"/>
        <v>83.183434593831166</v>
      </c>
      <c r="Y18" s="346">
        <f t="shared" si="18"/>
        <v>-79.025165667640763</v>
      </c>
      <c r="AA18" s="345">
        <f t="shared" si="19"/>
        <v>47.768686502644961</v>
      </c>
      <c r="AB18" s="346">
        <f t="shared" si="20"/>
        <v>-0.50964481978250831</v>
      </c>
      <c r="AD18">
        <f t="shared" si="25"/>
        <v>0</v>
      </c>
      <c r="AE18">
        <f t="shared" si="21"/>
        <v>0</v>
      </c>
    </row>
    <row r="19" spans="1:31" x14ac:dyDescent="0.2">
      <c r="A19" s="347">
        <v>1.7378</v>
      </c>
      <c r="B19" s="364">
        <f t="shared" si="22"/>
        <v>1.7378000000000001E-3</v>
      </c>
      <c r="C19" s="337">
        <f t="shared" si="0"/>
        <v>1.0000475800986837</v>
      </c>
      <c r="D19" s="338">
        <f t="shared" si="1"/>
        <v>9.7548154473114899E-3</v>
      </c>
      <c r="E19" s="338">
        <f t="shared" si="2"/>
        <v>1.0000000000095377</v>
      </c>
      <c r="F19" s="339">
        <f t="shared" si="3"/>
        <v>4.367567765708229E-6</v>
      </c>
      <c r="G19" s="338">
        <f t="shared" si="4"/>
        <v>1</v>
      </c>
      <c r="H19" s="339">
        <f t="shared" si="5"/>
        <v>0</v>
      </c>
      <c r="I19" s="337">
        <f t="shared" si="6"/>
        <v>5.8196379497078592</v>
      </c>
      <c r="J19" s="340">
        <f t="shared" si="7"/>
        <v>1.398107302937831</v>
      </c>
      <c r="K19" s="348">
        <f t="shared" si="8"/>
        <v>1.000004002490656</v>
      </c>
      <c r="L19" s="349">
        <f t="shared" si="9"/>
        <v>2.8293028491393115E-3</v>
      </c>
      <c r="M19" s="337">
        <f t="shared" si="10"/>
        <v>1.0000000000159441</v>
      </c>
      <c r="N19" s="340">
        <f t="shared" si="11"/>
        <v>5.6469577348714178E-6</v>
      </c>
      <c r="O19" s="341">
        <f t="shared" si="12"/>
        <v>0.99999999996983879</v>
      </c>
      <c r="P19" s="342">
        <f t="shared" si="13"/>
        <v>2.6052724104896688E-6</v>
      </c>
      <c r="Q19" s="343">
        <f t="shared" si="14"/>
        <v>81.429989999376659</v>
      </c>
      <c r="R19" s="344">
        <f t="shared" si="15"/>
        <v>-80.502673074343008</v>
      </c>
      <c r="S19" s="346">
        <f t="shared" si="16"/>
        <v>99.497326925656992</v>
      </c>
      <c r="U19" s="319">
        <f t="shared" si="23"/>
        <v>1000000000</v>
      </c>
      <c r="V19" s="319">
        <f t="shared" si="24"/>
        <v>3.0199488400000001</v>
      </c>
      <c r="X19" s="345">
        <f t="shared" si="17"/>
        <v>82.409339820846526</v>
      </c>
      <c r="Y19" s="346">
        <f t="shared" si="18"/>
        <v>-79.943864290730616</v>
      </c>
      <c r="AA19" s="345">
        <f t="shared" si="19"/>
        <v>47.768616982479777</v>
      </c>
      <c r="AB19" s="346">
        <f t="shared" si="20"/>
        <v>-0.55880878361239117</v>
      </c>
      <c r="AD19">
        <f t="shared" si="25"/>
        <v>0</v>
      </c>
      <c r="AE19">
        <f t="shared" si="21"/>
        <v>0</v>
      </c>
    </row>
    <row r="20" spans="1:31" x14ac:dyDescent="0.2">
      <c r="A20" s="347">
        <v>1.9055</v>
      </c>
      <c r="B20" s="364">
        <f t="shared" si="22"/>
        <v>1.9055000000000001E-3</v>
      </c>
      <c r="C20" s="337">
        <f t="shared" si="0"/>
        <v>1.0000572059982802</v>
      </c>
      <c r="D20" s="338">
        <f t="shared" si="1"/>
        <v>1.0696099411294676E-2</v>
      </c>
      <c r="E20" s="338">
        <f t="shared" si="2"/>
        <v>1.0000000000114675</v>
      </c>
      <c r="F20" s="339">
        <f t="shared" si="3"/>
        <v>4.7890438356233884E-6</v>
      </c>
      <c r="G20" s="338">
        <f t="shared" si="4"/>
        <v>1</v>
      </c>
      <c r="H20" s="339">
        <f t="shared" si="5"/>
        <v>0</v>
      </c>
      <c r="I20" s="337">
        <f t="shared" si="6"/>
        <v>6.3653686382118444</v>
      </c>
      <c r="J20" s="340">
        <f t="shared" si="7"/>
        <v>1.4130427337995126</v>
      </c>
      <c r="K20" s="348">
        <f t="shared" si="8"/>
        <v>1.0000048122532148</v>
      </c>
      <c r="L20" s="349">
        <f t="shared" si="9"/>
        <v>3.1023326439353193E-3</v>
      </c>
      <c r="M20" s="337">
        <f t="shared" si="10"/>
        <v>1.0000000000191698</v>
      </c>
      <c r="N20" s="340">
        <f t="shared" si="11"/>
        <v>6.1918966300922696E-6</v>
      </c>
      <c r="O20" s="341">
        <f t="shared" si="12"/>
        <v>0.99999999996373679</v>
      </c>
      <c r="P20" s="342">
        <f t="shared" si="13"/>
        <v>2.8566846462305748E-6</v>
      </c>
      <c r="Q20" s="343">
        <f t="shared" si="14"/>
        <v>80.651361571412423</v>
      </c>
      <c r="R20" s="344">
        <f t="shared" si="15"/>
        <v>-81.396719851243674</v>
      </c>
      <c r="S20" s="346">
        <f t="shared" si="16"/>
        <v>98.603280148756326</v>
      </c>
      <c r="U20" s="319">
        <f t="shared" si="23"/>
        <v>1000000000</v>
      </c>
      <c r="V20" s="319">
        <f t="shared" si="24"/>
        <v>3.63093025</v>
      </c>
      <c r="X20" s="345">
        <f t="shared" si="17"/>
        <v>81.630794997933762</v>
      </c>
      <c r="Y20" s="346">
        <f t="shared" si="18"/>
        <v>-80.783989213050049</v>
      </c>
      <c r="AA20" s="345">
        <f t="shared" si="19"/>
        <v>47.768533377428312</v>
      </c>
      <c r="AB20" s="346">
        <f t="shared" si="20"/>
        <v>-0.6127306381936406</v>
      </c>
      <c r="AD20">
        <f t="shared" si="25"/>
        <v>0</v>
      </c>
      <c r="AE20">
        <f t="shared" si="21"/>
        <v>0</v>
      </c>
    </row>
    <row r="21" spans="1:31" x14ac:dyDescent="0.2">
      <c r="A21" s="347">
        <v>2.0893000000000002</v>
      </c>
      <c r="B21" s="364">
        <f t="shared" si="22"/>
        <v>2.0893000000000001E-3</v>
      </c>
      <c r="C21" s="337">
        <f t="shared" si="0"/>
        <v>1.0000687737584881</v>
      </c>
      <c r="D21" s="338">
        <f t="shared" si="1"/>
        <v>1.1727729293818488E-2</v>
      </c>
      <c r="E21" s="338">
        <f t="shared" si="2"/>
        <v>1.0000000000137863</v>
      </c>
      <c r="F21" s="339">
        <f t="shared" si="3"/>
        <v>5.2509836188677394E-6</v>
      </c>
      <c r="G21" s="338">
        <f t="shared" si="4"/>
        <v>1</v>
      </c>
      <c r="H21" s="339">
        <f t="shared" si="5"/>
        <v>0</v>
      </c>
      <c r="I21" s="337">
        <f t="shared" si="6"/>
        <v>6.9648549388567336</v>
      </c>
      <c r="J21" s="340">
        <f t="shared" si="7"/>
        <v>1.4267203838187539</v>
      </c>
      <c r="K21" s="348">
        <f t="shared" si="8"/>
        <v>1.0000057853809645</v>
      </c>
      <c r="L21" s="349">
        <f t="shared" si="9"/>
        <v>3.4015740687350715E-3</v>
      </c>
      <c r="M21" s="337">
        <f t="shared" si="10"/>
        <v>1.0000000000230465</v>
      </c>
      <c r="N21" s="340">
        <f t="shared" si="11"/>
        <v>6.7891522588393321E-6</v>
      </c>
      <c r="O21" s="341">
        <f t="shared" si="12"/>
        <v>0.99999999995640354</v>
      </c>
      <c r="P21" s="342">
        <f t="shared" si="13"/>
        <v>3.1322336559511681E-6</v>
      </c>
      <c r="Q21" s="343">
        <f t="shared" si="14"/>
        <v>79.869499244132697</v>
      </c>
      <c r="R21" s="344">
        <f t="shared" si="15"/>
        <v>-82.222377780360532</v>
      </c>
      <c r="S21" s="346">
        <f t="shared" si="16"/>
        <v>97.777622219639468</v>
      </c>
      <c r="U21" s="319">
        <f t="shared" si="23"/>
        <v>1000000000</v>
      </c>
      <c r="V21" s="319">
        <f t="shared" si="24"/>
        <v>4.3651744900000002</v>
      </c>
      <c r="X21" s="345">
        <f t="shared" si="17"/>
        <v>80.849033140530139</v>
      </c>
      <c r="Y21" s="346">
        <f t="shared" si="18"/>
        <v>-81.550549783215828</v>
      </c>
      <c r="AA21" s="345">
        <f t="shared" si="19"/>
        <v>47.76843290755221</v>
      </c>
      <c r="AB21" s="346">
        <f t="shared" si="20"/>
        <v>-0.67182799714469754</v>
      </c>
      <c r="AD21">
        <f t="shared" si="25"/>
        <v>0</v>
      </c>
      <c r="AE21">
        <f t="shared" si="21"/>
        <v>0</v>
      </c>
    </row>
    <row r="22" spans="1:31" x14ac:dyDescent="0.2">
      <c r="A22" s="347">
        <v>2.2909000000000002</v>
      </c>
      <c r="B22" s="364">
        <f t="shared" si="22"/>
        <v>2.2909000000000002E-3</v>
      </c>
      <c r="C22" s="337">
        <f t="shared" si="0"/>
        <v>1.0000826856975065</v>
      </c>
      <c r="D22" s="338">
        <f t="shared" si="1"/>
        <v>1.2859237961189943E-2</v>
      </c>
      <c r="E22" s="338">
        <f t="shared" si="2"/>
        <v>1.0000000000165752</v>
      </c>
      <c r="F22" s="339">
        <f t="shared" si="3"/>
        <v>5.7576596814443777E-6</v>
      </c>
      <c r="G22" s="338">
        <f t="shared" si="4"/>
        <v>1</v>
      </c>
      <c r="H22" s="339">
        <f t="shared" si="5"/>
        <v>0</v>
      </c>
      <c r="I22" s="337">
        <f t="shared" si="6"/>
        <v>7.6236492679253196</v>
      </c>
      <c r="J22" s="340">
        <f t="shared" si="7"/>
        <v>1.4392464578882518</v>
      </c>
      <c r="K22" s="348">
        <f t="shared" si="8"/>
        <v>1.0000069557243692</v>
      </c>
      <c r="L22" s="349">
        <f t="shared" si="9"/>
        <v>3.7297946460692201E-3</v>
      </c>
      <c r="M22" s="337">
        <f t="shared" si="10"/>
        <v>1.0000000000277085</v>
      </c>
      <c r="N22" s="340">
        <f t="shared" si="11"/>
        <v>7.4442487482538092E-6</v>
      </c>
      <c r="O22" s="341">
        <f t="shared" si="12"/>
        <v>0.99999999994758415</v>
      </c>
      <c r="P22" s="342">
        <f t="shared" si="13"/>
        <v>3.4344680431169233E-6</v>
      </c>
      <c r="Q22" s="343">
        <f t="shared" si="14"/>
        <v>79.084371931614768</v>
      </c>
      <c r="R22" s="344">
        <f t="shared" si="15"/>
        <v>-82.986119797194846</v>
      </c>
      <c r="S22" s="346">
        <f t="shared" si="16"/>
        <v>97.013880202805154</v>
      </c>
      <c r="U22" s="319">
        <f t="shared" si="23"/>
        <v>1000000000</v>
      </c>
      <c r="V22" s="319">
        <f t="shared" si="24"/>
        <v>5.2482228100000006</v>
      </c>
      <c r="X22" s="345">
        <f t="shared" si="17"/>
        <v>80.064026656328039</v>
      </c>
      <c r="Y22" s="346">
        <f t="shared" si="18"/>
        <v>-82.249472842498378</v>
      </c>
      <c r="AA22" s="345">
        <f t="shared" si="19"/>
        <v>47.768312079236381</v>
      </c>
      <c r="AB22" s="346">
        <f t="shared" si="20"/>
        <v>-0.73664695469646269</v>
      </c>
      <c r="AD22">
        <f t="shared" si="25"/>
        <v>0</v>
      </c>
      <c r="AE22">
        <f t="shared" si="21"/>
        <v>0</v>
      </c>
    </row>
    <row r="23" spans="1:31" x14ac:dyDescent="0.2">
      <c r="A23" s="347">
        <v>2.5118999999999998</v>
      </c>
      <c r="B23" s="364">
        <f t="shared" si="22"/>
        <v>2.5118999999999996E-3</v>
      </c>
      <c r="C23" s="337">
        <f t="shared" si="0"/>
        <v>1.0000994075089065</v>
      </c>
      <c r="D23" s="338">
        <f t="shared" si="1"/>
        <v>1.4099593946456735E-2</v>
      </c>
      <c r="E23" s="338">
        <f t="shared" si="2"/>
        <v>1.0000000000199276</v>
      </c>
      <c r="F23" s="339">
        <f t="shared" si="3"/>
        <v>6.3130932619441298E-6</v>
      </c>
      <c r="G23" s="338">
        <f t="shared" si="4"/>
        <v>1</v>
      </c>
      <c r="H23" s="339">
        <f t="shared" si="5"/>
        <v>0</v>
      </c>
      <c r="I23" s="337">
        <f t="shared" si="6"/>
        <v>8.3469863390566879</v>
      </c>
      <c r="J23" s="340">
        <f t="shared" si="7"/>
        <v>1.4507041524178235</v>
      </c>
      <c r="K23" s="348">
        <f t="shared" si="8"/>
        <v>1.00000836246833</v>
      </c>
      <c r="L23" s="349">
        <f t="shared" si="9"/>
        <v>4.0895990157199273E-3</v>
      </c>
      <c r="M23" s="337">
        <f t="shared" si="10"/>
        <v>1.0000000000333122</v>
      </c>
      <c r="N23" s="340">
        <f t="shared" si="11"/>
        <v>8.162385276820849E-6</v>
      </c>
      <c r="O23" s="341">
        <f t="shared" si="12"/>
        <v>0.99999999993698341</v>
      </c>
      <c r="P23" s="342">
        <f t="shared" si="13"/>
        <v>3.7657864933433503E-6</v>
      </c>
      <c r="Q23" s="343">
        <f t="shared" si="14"/>
        <v>78.296903025903262</v>
      </c>
      <c r="R23" s="344">
        <f t="shared" si="15"/>
        <v>-83.693077534056584</v>
      </c>
      <c r="S23" s="346">
        <f t="shared" si="16"/>
        <v>96.306922465943416</v>
      </c>
      <c r="U23" s="319">
        <f t="shared" si="23"/>
        <v>1000000000</v>
      </c>
      <c r="V23" s="319">
        <f t="shared" si="24"/>
        <v>6.309641609999999</v>
      </c>
      <c r="X23" s="345">
        <f t="shared" si="17"/>
        <v>79.276702981080959</v>
      </c>
      <c r="Y23" s="346">
        <f t="shared" si="18"/>
        <v>-82.885376257080438</v>
      </c>
      <c r="AA23" s="345">
        <f t="shared" si="19"/>
        <v>47.768166848771955</v>
      </c>
      <c r="AB23" s="346">
        <f t="shared" si="20"/>
        <v>-0.80770127697614258</v>
      </c>
      <c r="AD23">
        <f t="shared" si="25"/>
        <v>0</v>
      </c>
      <c r="AE23">
        <f t="shared" si="21"/>
        <v>0</v>
      </c>
    </row>
    <row r="24" spans="1:31" x14ac:dyDescent="0.2">
      <c r="A24" s="347">
        <v>2.7542</v>
      </c>
      <c r="B24" s="364">
        <f t="shared" si="22"/>
        <v>2.7542000000000001E-3</v>
      </c>
      <c r="C24" s="337">
        <f t="shared" si="0"/>
        <v>1.0001195091292314</v>
      </c>
      <c r="D24" s="338">
        <f t="shared" si="1"/>
        <v>1.5459445553993515E-2</v>
      </c>
      <c r="E24" s="338">
        <f t="shared" si="2"/>
        <v>1.0000000000239575</v>
      </c>
      <c r="F24" s="339">
        <f t="shared" si="3"/>
        <v>6.9220595811934437E-6</v>
      </c>
      <c r="G24" s="338">
        <f t="shared" si="4"/>
        <v>1</v>
      </c>
      <c r="H24" s="339">
        <f t="shared" si="5"/>
        <v>0</v>
      </c>
      <c r="I24" s="337">
        <f t="shared" si="6"/>
        <v>9.1410889956902501</v>
      </c>
      <c r="J24" s="340">
        <f t="shared" si="7"/>
        <v>1.4611807869251137</v>
      </c>
      <c r="K24" s="348">
        <f t="shared" si="8"/>
        <v>1.0000100535715912</v>
      </c>
      <c r="L24" s="349">
        <f t="shared" si="9"/>
        <v>4.4840801427649801E-3</v>
      </c>
      <c r="M24" s="337">
        <f t="shared" si="10"/>
        <v>1.0000000000400489</v>
      </c>
      <c r="N24" s="340">
        <f t="shared" si="11"/>
        <v>8.94973586899121E-6</v>
      </c>
      <c r="O24" s="341">
        <f t="shared" si="12"/>
        <v>0.99999999992423971</v>
      </c>
      <c r="P24" s="342">
        <f t="shared" si="13"/>
        <v>4.12903744579935E-6</v>
      </c>
      <c r="Q24" s="343">
        <f t="shared" si="14"/>
        <v>77.507378444453522</v>
      </c>
      <c r="R24" s="344">
        <f t="shared" si="15"/>
        <v>-84.34868716318573</v>
      </c>
      <c r="S24" s="346">
        <f t="shared" si="16"/>
        <v>95.65131283681427</v>
      </c>
      <c r="U24" s="319">
        <f t="shared" si="23"/>
        <v>1000000000</v>
      </c>
      <c r="V24" s="319">
        <f t="shared" si="24"/>
        <v>7.5856176399999997</v>
      </c>
      <c r="X24" s="345">
        <f t="shared" si="17"/>
        <v>78.487352980831844</v>
      </c>
      <c r="Y24" s="346">
        <f t="shared" si="18"/>
        <v>-83.463086206698108</v>
      </c>
      <c r="AA24" s="345">
        <f t="shared" si="19"/>
        <v>47.76799226757133</v>
      </c>
      <c r="AB24" s="346">
        <f t="shared" si="20"/>
        <v>-0.88560095648761505</v>
      </c>
      <c r="AD24">
        <f t="shared" si="25"/>
        <v>0</v>
      </c>
      <c r="AE24">
        <f t="shared" si="21"/>
        <v>0</v>
      </c>
    </row>
    <row r="25" spans="1:31" x14ac:dyDescent="0.2">
      <c r="A25" s="347">
        <v>3.02</v>
      </c>
      <c r="B25" s="364">
        <f t="shared" si="22"/>
        <v>3.0200000000000001E-3</v>
      </c>
      <c r="C25" s="337">
        <f t="shared" si="0"/>
        <v>1.000143687427721</v>
      </c>
      <c r="D25" s="338">
        <f t="shared" si="1"/>
        <v>1.6951119418266321E-2</v>
      </c>
      <c r="E25" s="338">
        <f t="shared" si="2"/>
        <v>1.0000000000288047</v>
      </c>
      <c r="F25" s="339">
        <f t="shared" si="3"/>
        <v>7.5900878422542472E-6</v>
      </c>
      <c r="G25" s="338">
        <f t="shared" si="4"/>
        <v>1</v>
      </c>
      <c r="H25" s="339">
        <f t="shared" si="5"/>
        <v>0</v>
      </c>
      <c r="I25" s="337">
        <f t="shared" si="6"/>
        <v>10.013171469580882</v>
      </c>
      <c r="J25" s="340">
        <f t="shared" si="7"/>
        <v>1.4707611088732961</v>
      </c>
      <c r="K25" s="348">
        <f t="shared" si="8"/>
        <v>1.0000120876776866</v>
      </c>
      <c r="L25" s="349">
        <f t="shared" si="9"/>
        <v>4.9168192823715344E-3</v>
      </c>
      <c r="M25" s="337">
        <f t="shared" si="10"/>
        <v>1.0000000000481519</v>
      </c>
      <c r="N25" s="340">
        <f t="shared" si="11"/>
        <v>9.8134493951809775E-6</v>
      </c>
      <c r="O25" s="341">
        <f t="shared" si="12"/>
        <v>0.99999999990891131</v>
      </c>
      <c r="P25" s="342">
        <f t="shared" si="13"/>
        <v>4.5275190932075908E-6</v>
      </c>
      <c r="Q25" s="343">
        <f t="shared" si="14"/>
        <v>76.71571180795641</v>
      </c>
      <c r="R25" s="344">
        <f t="shared" si="15"/>
        <v>-84.958305711649345</v>
      </c>
      <c r="S25" s="346">
        <f t="shared" si="16"/>
        <v>95.041694288350655</v>
      </c>
      <c r="U25" s="319">
        <f t="shared" si="23"/>
        <v>1000000000</v>
      </c>
      <c r="V25" s="319">
        <f t="shared" si="24"/>
        <v>9.1204000000000001</v>
      </c>
      <c r="X25" s="345">
        <f t="shared" si="17"/>
        <v>77.695896326558483</v>
      </c>
      <c r="Y25" s="346">
        <f t="shared" si="18"/>
        <v>-83.987253582114633</v>
      </c>
      <c r="AA25" s="345">
        <f t="shared" si="19"/>
        <v>47.767782285347565</v>
      </c>
      <c r="AB25" s="346">
        <f t="shared" si="20"/>
        <v>-0.9710521295347152</v>
      </c>
      <c r="AD25">
        <f t="shared" si="25"/>
        <v>0</v>
      </c>
      <c r="AE25">
        <f t="shared" si="21"/>
        <v>0</v>
      </c>
    </row>
    <row r="26" spans="1:31" x14ac:dyDescent="0.2">
      <c r="A26" s="347">
        <v>3.3113000000000001</v>
      </c>
      <c r="B26" s="364">
        <f t="shared" si="22"/>
        <v>3.3113000000000001E-3</v>
      </c>
      <c r="C26" s="337">
        <f t="shared" si="0"/>
        <v>1.0001727410813983</v>
      </c>
      <c r="D26" s="338">
        <f t="shared" si="1"/>
        <v>1.8585812805944769E-2</v>
      </c>
      <c r="E26" s="338">
        <f t="shared" si="2"/>
        <v>1.0000000000346296</v>
      </c>
      <c r="F26" s="339">
        <f t="shared" si="3"/>
        <v>8.3222045933638715E-6</v>
      </c>
      <c r="G26" s="338">
        <f t="shared" si="4"/>
        <v>1</v>
      </c>
      <c r="H26" s="339">
        <f t="shared" si="5"/>
        <v>0</v>
      </c>
      <c r="I26" s="337">
        <f t="shared" si="6"/>
        <v>10.969798327905433</v>
      </c>
      <c r="J26" s="340">
        <f t="shared" si="7"/>
        <v>1.4795102173818853</v>
      </c>
      <c r="K26" s="348">
        <f t="shared" si="8"/>
        <v>1.0000145320041336</v>
      </c>
      <c r="L26" s="349">
        <f t="shared" si="9"/>
        <v>5.3910719070113869E-3</v>
      </c>
      <c r="M26" s="337">
        <f t="shared" si="10"/>
        <v>1.000000000057889</v>
      </c>
      <c r="N26" s="340">
        <f t="shared" si="11"/>
        <v>1.0760024828493984E-5</v>
      </c>
      <c r="O26" s="341">
        <f t="shared" si="12"/>
        <v>0.99999999989049171</v>
      </c>
      <c r="P26" s="342">
        <f t="shared" si="13"/>
        <v>4.9642297925909939E-6</v>
      </c>
      <c r="Q26" s="343">
        <f t="shared" si="14"/>
        <v>75.922940918357128</v>
      </c>
      <c r="R26" s="344">
        <f t="shared" si="15"/>
        <v>-85.526118371696697</v>
      </c>
      <c r="S26" s="346">
        <f t="shared" si="16"/>
        <v>94.473881628303303</v>
      </c>
      <c r="U26" s="319">
        <f t="shared" si="23"/>
        <v>1000000000</v>
      </c>
      <c r="V26" s="319">
        <f t="shared" si="24"/>
        <v>10.964707690000001</v>
      </c>
      <c r="X26" s="345">
        <f t="shared" si="17"/>
        <v>76.903377753657921</v>
      </c>
      <c r="Y26" s="346">
        <f t="shared" si="18"/>
        <v>-84.461422135663071</v>
      </c>
      <c r="AA26" s="345">
        <f t="shared" si="19"/>
        <v>47.767529968648844</v>
      </c>
      <c r="AB26" s="346">
        <f t="shared" si="20"/>
        <v>-1.0646962360336305</v>
      </c>
      <c r="AD26">
        <f t="shared" si="25"/>
        <v>0</v>
      </c>
      <c r="AE26">
        <f t="shared" si="21"/>
        <v>0</v>
      </c>
    </row>
    <row r="27" spans="1:31" x14ac:dyDescent="0.2">
      <c r="A27" s="347">
        <v>3.6307999999999998</v>
      </c>
      <c r="B27" s="364">
        <f t="shared" si="22"/>
        <v>3.6308E-3</v>
      </c>
      <c r="C27" s="337">
        <f t="shared" si="0"/>
        <v>1.0002076804628854</v>
      </c>
      <c r="D27" s="338">
        <f t="shared" si="1"/>
        <v>2.0378642084723404E-2</v>
      </c>
      <c r="E27" s="338">
        <f t="shared" si="2"/>
        <v>1.0000000000416347</v>
      </c>
      <c r="F27" s="339">
        <f t="shared" si="3"/>
        <v>9.1251956746427164E-6</v>
      </c>
      <c r="G27" s="338">
        <f t="shared" si="4"/>
        <v>1</v>
      </c>
      <c r="H27" s="339">
        <f t="shared" si="5"/>
        <v>0</v>
      </c>
      <c r="I27" s="337">
        <f t="shared" si="6"/>
        <v>12.019838155664054</v>
      </c>
      <c r="J27" s="340">
        <f t="shared" si="7"/>
        <v>1.4875042570466674</v>
      </c>
      <c r="K27" s="348">
        <f t="shared" si="8"/>
        <v>1.0000174715916099</v>
      </c>
      <c r="L27" s="349">
        <f t="shared" si="9"/>
        <v>5.9112329058062345E-3</v>
      </c>
      <c r="M27" s="337">
        <f t="shared" si="10"/>
        <v>1.0000000000695992</v>
      </c>
      <c r="N27" s="340">
        <f t="shared" si="11"/>
        <v>1.1798235782620409E-5</v>
      </c>
      <c r="O27" s="341">
        <f t="shared" si="12"/>
        <v>0.99999999986833976</v>
      </c>
      <c r="P27" s="342">
        <f t="shared" si="13"/>
        <v>5.4432173259304868E-6</v>
      </c>
      <c r="Q27" s="343">
        <f t="shared" si="14"/>
        <v>75.128663497441252</v>
      </c>
      <c r="R27" s="344">
        <f t="shared" si="15"/>
        <v>-86.057102548588944</v>
      </c>
      <c r="S27" s="346">
        <f t="shared" si="16"/>
        <v>93.942897451411056</v>
      </c>
      <c r="U27" s="319">
        <f t="shared" si="23"/>
        <v>1000000000</v>
      </c>
      <c r="V27" s="319">
        <f t="shared" si="24"/>
        <v>13.182708639999998</v>
      </c>
      <c r="X27" s="345">
        <f t="shared" si="17"/>
        <v>76.109403754386335</v>
      </c>
      <c r="Y27" s="346">
        <f t="shared" si="18"/>
        <v>-84.889703325412299</v>
      </c>
      <c r="AA27" s="345">
        <f t="shared" si="19"/>
        <v>47.767226547004562</v>
      </c>
      <c r="AB27" s="346">
        <f t="shared" si="20"/>
        <v>-1.1673992231766406</v>
      </c>
      <c r="AD27">
        <f t="shared" si="25"/>
        <v>0</v>
      </c>
      <c r="AE27">
        <f t="shared" si="21"/>
        <v>0</v>
      </c>
    </row>
    <row r="28" spans="1:31" x14ac:dyDescent="0.2">
      <c r="A28" s="347">
        <v>3.9811000000000001</v>
      </c>
      <c r="B28" s="364">
        <f t="shared" si="22"/>
        <v>3.9811000000000004E-3</v>
      </c>
      <c r="C28" s="337">
        <f t="shared" si="0"/>
        <v>1.0002496824649754</v>
      </c>
      <c r="D28" s="338">
        <f t="shared" si="1"/>
        <v>2.2344150238064433E-2</v>
      </c>
      <c r="E28" s="338">
        <f t="shared" si="2"/>
        <v>1.000000000050056</v>
      </c>
      <c r="F28" s="339">
        <f t="shared" si="3"/>
        <v>1.0005595598798108E-5</v>
      </c>
      <c r="G28" s="338">
        <f t="shared" si="4"/>
        <v>1</v>
      </c>
      <c r="H28" s="339">
        <f t="shared" si="5"/>
        <v>0</v>
      </c>
      <c r="I28" s="337">
        <f t="shared" si="6"/>
        <v>13.171837682422963</v>
      </c>
      <c r="J28" s="340">
        <f t="shared" si="7"/>
        <v>1.4948036556126636</v>
      </c>
      <c r="K28" s="348">
        <f t="shared" si="8"/>
        <v>1.000021005509597</v>
      </c>
      <c r="L28" s="349">
        <f t="shared" si="9"/>
        <v>6.4815340638972752E-3</v>
      </c>
      <c r="M28" s="337">
        <f t="shared" si="10"/>
        <v>1.0000000000836771</v>
      </c>
      <c r="N28" s="340">
        <f t="shared" si="11"/>
        <v>1.2936530922592624E-5</v>
      </c>
      <c r="O28" s="341">
        <f t="shared" si="12"/>
        <v>0.99999999984170895</v>
      </c>
      <c r="P28" s="342">
        <f t="shared" si="13"/>
        <v>5.9683795573594246E-6</v>
      </c>
      <c r="Q28" s="343">
        <f t="shared" si="14"/>
        <v>74.333374446974105</v>
      </c>
      <c r="R28" s="344">
        <f t="shared" si="15"/>
        <v>-86.55531161823545</v>
      </c>
      <c r="S28" s="346">
        <f t="shared" si="16"/>
        <v>93.44468838176455</v>
      </c>
      <c r="U28" s="319">
        <f t="shared" si="23"/>
        <v>1000000000</v>
      </c>
      <c r="V28" s="319">
        <f t="shared" si="24"/>
        <v>15.849157210000001</v>
      </c>
      <c r="X28" s="345">
        <f t="shared" si="17"/>
        <v>75.314479444959929</v>
      </c>
      <c r="Y28" s="346">
        <f t="shared" si="18"/>
        <v>-85.275317426765668</v>
      </c>
      <c r="AA28" s="345">
        <f t="shared" si="19"/>
        <v>47.766861805963821</v>
      </c>
      <c r="AB28" s="346">
        <f t="shared" si="20"/>
        <v>-1.2799941914697752</v>
      </c>
      <c r="AD28">
        <f t="shared" si="25"/>
        <v>0</v>
      </c>
      <c r="AE28">
        <f t="shared" si="21"/>
        <v>0</v>
      </c>
    </row>
    <row r="29" spans="1:31" x14ac:dyDescent="0.2">
      <c r="A29" s="347">
        <v>4.3651999999999997</v>
      </c>
      <c r="B29" s="364">
        <f t="shared" si="22"/>
        <v>4.3651999999999996E-3</v>
      </c>
      <c r="C29" s="337">
        <f t="shared" si="0"/>
        <v>1.0003001782348819</v>
      </c>
      <c r="D29" s="338">
        <f t="shared" si="1"/>
        <v>2.4499108757957393E-2</v>
      </c>
      <c r="E29" s="338">
        <f t="shared" si="2"/>
        <v>1.0000000000601807</v>
      </c>
      <c r="F29" s="339">
        <f t="shared" si="3"/>
        <v>1.097094418818384E-5</v>
      </c>
      <c r="G29" s="338">
        <f t="shared" si="4"/>
        <v>1</v>
      </c>
      <c r="H29" s="339">
        <f t="shared" si="5"/>
        <v>0</v>
      </c>
      <c r="I29" s="337">
        <f t="shared" si="6"/>
        <v>14.43566384554474</v>
      </c>
      <c r="J29" s="340">
        <f t="shared" si="7"/>
        <v>1.5014679237938098</v>
      </c>
      <c r="K29" s="348">
        <f t="shared" si="8"/>
        <v>1.0000252542467376</v>
      </c>
      <c r="L29" s="349">
        <f t="shared" si="9"/>
        <v>7.1068579932611576E-3</v>
      </c>
      <c r="M29" s="337">
        <f t="shared" si="10"/>
        <v>1.0000000001006022</v>
      </c>
      <c r="N29" s="340">
        <f t="shared" si="11"/>
        <v>1.4184658708061622E-5</v>
      </c>
      <c r="O29" s="341">
        <f t="shared" si="12"/>
        <v>0.99999999980969156</v>
      </c>
      <c r="P29" s="342">
        <f t="shared" si="13"/>
        <v>6.5442140224186276E-6</v>
      </c>
      <c r="Q29" s="343">
        <f t="shared" si="14"/>
        <v>73.53716506771714</v>
      </c>
      <c r="R29" s="344">
        <f t="shared" si="15"/>
        <v>-87.024836860268522</v>
      </c>
      <c r="S29" s="346">
        <f t="shared" si="16"/>
        <v>92.975163139731478</v>
      </c>
      <c r="U29" s="319">
        <f t="shared" si="23"/>
        <v>1000000000</v>
      </c>
      <c r="V29" s="319">
        <f t="shared" si="24"/>
        <v>19.054971039999998</v>
      </c>
      <c r="X29" s="345">
        <f t="shared" si="17"/>
        <v>74.518708545470119</v>
      </c>
      <c r="Y29" s="346">
        <f t="shared" si="18"/>
        <v>-85.621394957957449</v>
      </c>
      <c r="AA29" s="345">
        <f t="shared" si="19"/>
        <v>47.766423326196666</v>
      </c>
      <c r="AB29" s="346">
        <f t="shared" si="20"/>
        <v>-1.4034419023110754</v>
      </c>
      <c r="AD29">
        <f t="shared" si="25"/>
        <v>0</v>
      </c>
      <c r="AE29">
        <f t="shared" si="21"/>
        <v>0</v>
      </c>
    </row>
    <row r="30" spans="1:31" x14ac:dyDescent="0.2">
      <c r="A30" s="347">
        <v>4.7862999999999998</v>
      </c>
      <c r="B30" s="364">
        <f t="shared" si="22"/>
        <v>4.7862999999999994E-3</v>
      </c>
      <c r="C30" s="337">
        <f t="shared" si="0"/>
        <v>1.0003608756347879</v>
      </c>
      <c r="D30" s="338">
        <f t="shared" si="1"/>
        <v>2.6861390216365803E-2</v>
      </c>
      <c r="E30" s="338">
        <f t="shared" si="2"/>
        <v>1.0000000000723519</v>
      </c>
      <c r="F30" s="339">
        <f t="shared" si="3"/>
        <v>1.2029283919975773E-5</v>
      </c>
      <c r="G30" s="338">
        <f t="shared" si="4"/>
        <v>1</v>
      </c>
      <c r="H30" s="339">
        <f t="shared" si="5"/>
        <v>0</v>
      </c>
      <c r="I30" s="337">
        <f t="shared" si="6"/>
        <v>15.821846571084809</v>
      </c>
      <c r="J30" s="340">
        <f t="shared" si="7"/>
        <v>1.5075504230497037</v>
      </c>
      <c r="K30" s="348">
        <f t="shared" si="8"/>
        <v>1.0000303616136528</v>
      </c>
      <c r="L30" s="349">
        <f t="shared" si="9"/>
        <v>7.7924123970860544E-3</v>
      </c>
      <c r="M30" s="337">
        <f t="shared" si="10"/>
        <v>1.0000000001209481</v>
      </c>
      <c r="N30" s="340">
        <f t="shared" si="11"/>
        <v>1.5553017495985168E-5</v>
      </c>
      <c r="O30" s="341">
        <f t="shared" si="12"/>
        <v>0.99999999977120324</v>
      </c>
      <c r="P30" s="342">
        <f t="shared" si="13"/>
        <v>7.1755180923561453E-6</v>
      </c>
      <c r="Q30" s="343">
        <f t="shared" si="14"/>
        <v>72.740274224746827</v>
      </c>
      <c r="R30" s="344">
        <f t="shared" si="15"/>
        <v>-87.469461714496077</v>
      </c>
      <c r="S30" s="346">
        <f t="shared" si="16"/>
        <v>92.530538285503923</v>
      </c>
      <c r="U30" s="319">
        <f t="shared" si="23"/>
        <v>1000000000</v>
      </c>
      <c r="V30" s="319">
        <f t="shared" si="24"/>
        <v>22.908667689999998</v>
      </c>
      <c r="X30" s="345">
        <f t="shared" si="17"/>
        <v>73.722344738777011</v>
      </c>
      <c r="Y30" s="346">
        <f t="shared" si="18"/>
        <v>-85.930695521782681</v>
      </c>
      <c r="AA30" s="345">
        <f t="shared" si="19"/>
        <v>47.765896289919461</v>
      </c>
      <c r="AB30" s="346">
        <f t="shared" si="20"/>
        <v>-1.5387661927133909</v>
      </c>
      <c r="AD30">
        <f t="shared" si="25"/>
        <v>0</v>
      </c>
      <c r="AE30">
        <f t="shared" si="21"/>
        <v>0</v>
      </c>
    </row>
    <row r="31" spans="1:31" x14ac:dyDescent="0.2">
      <c r="A31" s="347">
        <v>5.2481</v>
      </c>
      <c r="B31" s="364">
        <f t="shared" si="22"/>
        <v>5.2481000000000003E-3</v>
      </c>
      <c r="C31" s="337">
        <f t="shared" si="0"/>
        <v>1.0004338564789805</v>
      </c>
      <c r="D31" s="338">
        <f t="shared" si="1"/>
        <v>2.9451644351201185E-2</v>
      </c>
      <c r="E31" s="338">
        <f t="shared" si="2"/>
        <v>1.0000000000869869</v>
      </c>
      <c r="F31" s="339">
        <f t="shared" si="3"/>
        <v>1.3189913908407101E-5</v>
      </c>
      <c r="G31" s="338">
        <f t="shared" si="4"/>
        <v>1</v>
      </c>
      <c r="H31" s="339">
        <f t="shared" si="5"/>
        <v>0</v>
      </c>
      <c r="I31" s="337">
        <f t="shared" si="6"/>
        <v>17.342566276124298</v>
      </c>
      <c r="J31" s="340">
        <f t="shared" si="7"/>
        <v>1.5131027330074731</v>
      </c>
      <c r="K31" s="348">
        <f t="shared" si="8"/>
        <v>1.0000365029435705</v>
      </c>
      <c r="L31" s="349">
        <f t="shared" si="9"/>
        <v>8.5442183045355315E-3</v>
      </c>
      <c r="M31" s="337">
        <f t="shared" si="10"/>
        <v>1.000000000145413</v>
      </c>
      <c r="N31" s="340">
        <f t="shared" si="11"/>
        <v>1.7053630386592669E-5</v>
      </c>
      <c r="O31" s="341">
        <f t="shared" si="12"/>
        <v>0.99999999972492304</v>
      </c>
      <c r="P31" s="342">
        <f t="shared" si="13"/>
        <v>7.8678387276816056E-6</v>
      </c>
      <c r="Q31" s="343">
        <f t="shared" si="14"/>
        <v>71.942570031474844</v>
      </c>
      <c r="R31" s="344">
        <f t="shared" si="15"/>
        <v>-87.892980113027065</v>
      </c>
      <c r="S31" s="346">
        <f t="shared" si="16"/>
        <v>92.107019886972935</v>
      </c>
      <c r="U31" s="319">
        <f t="shared" si="23"/>
        <v>1000000000</v>
      </c>
      <c r="V31" s="319">
        <f t="shared" si="24"/>
        <v>27.542553609999999</v>
      </c>
      <c r="X31" s="345">
        <f t="shared" si="17"/>
        <v>72.925274196742848</v>
      </c>
      <c r="Y31" s="346">
        <f t="shared" si="18"/>
        <v>-86.205830122501183</v>
      </c>
      <c r="AA31" s="345">
        <f t="shared" si="19"/>
        <v>47.765262638681634</v>
      </c>
      <c r="AB31" s="346">
        <f t="shared" si="20"/>
        <v>-1.6871499905258824</v>
      </c>
      <c r="AD31">
        <f t="shared" si="25"/>
        <v>0</v>
      </c>
      <c r="AE31">
        <f t="shared" si="21"/>
        <v>0</v>
      </c>
    </row>
    <row r="32" spans="1:31" x14ac:dyDescent="0.2">
      <c r="A32" s="347">
        <v>5.7544000000000004</v>
      </c>
      <c r="B32" s="364">
        <f t="shared" si="22"/>
        <v>5.7544000000000007E-3</v>
      </c>
      <c r="C32" s="337">
        <f t="shared" si="0"/>
        <v>1.000521582406301</v>
      </c>
      <c r="D32" s="338">
        <f t="shared" si="1"/>
        <v>3.229104520822583E-2</v>
      </c>
      <c r="E32" s="338">
        <f t="shared" si="2"/>
        <v>1.0000000001045803</v>
      </c>
      <c r="F32" s="339">
        <f t="shared" si="3"/>
        <v>1.4462384595119682E-5</v>
      </c>
      <c r="G32" s="338">
        <f t="shared" si="4"/>
        <v>1</v>
      </c>
      <c r="H32" s="339">
        <f t="shared" si="5"/>
        <v>0</v>
      </c>
      <c r="I32" s="337">
        <f t="shared" si="6"/>
        <v>19.010337022648979</v>
      </c>
      <c r="J32" s="340">
        <f t="shared" si="7"/>
        <v>1.5181690770740934</v>
      </c>
      <c r="K32" s="348">
        <f t="shared" si="8"/>
        <v>1.000043885613616</v>
      </c>
      <c r="L32" s="349">
        <f t="shared" si="9"/>
        <v>9.3684586480683955E-3</v>
      </c>
      <c r="M32" s="337">
        <f t="shared" si="10"/>
        <v>1.0000000001748233</v>
      </c>
      <c r="N32" s="340">
        <f t="shared" si="11"/>
        <v>1.8698845428761794E-5</v>
      </c>
      <c r="O32" s="341">
        <f t="shared" si="12"/>
        <v>0.99999999966928788</v>
      </c>
      <c r="P32" s="342">
        <f t="shared" si="13"/>
        <v>8.626872806765186E-6</v>
      </c>
      <c r="Q32" s="343">
        <f t="shared" si="14"/>
        <v>71.144343472322689</v>
      </c>
      <c r="R32" s="344">
        <f t="shared" si="15"/>
        <v>-88.298785284661406</v>
      </c>
      <c r="S32" s="346">
        <f t="shared" si="16"/>
        <v>91.701214715338594</v>
      </c>
      <c r="U32" s="319">
        <f t="shared" si="23"/>
        <v>1000000000</v>
      </c>
      <c r="V32" s="319">
        <f t="shared" si="24"/>
        <v>33.113119360000006</v>
      </c>
      <c r="X32" s="345">
        <f t="shared" si="17"/>
        <v>72.127809250840471</v>
      </c>
      <c r="Y32" s="346">
        <f t="shared" si="18"/>
        <v>-86.448979026246974</v>
      </c>
      <c r="AA32" s="345">
        <f t="shared" si="19"/>
        <v>47.764501025431862</v>
      </c>
      <c r="AB32" s="346">
        <f t="shared" si="20"/>
        <v>-1.8498062584144206</v>
      </c>
      <c r="AD32">
        <f t="shared" si="25"/>
        <v>0</v>
      </c>
      <c r="AE32">
        <f t="shared" si="21"/>
        <v>0</v>
      </c>
    </row>
    <row r="33" spans="1:31" x14ac:dyDescent="0.2">
      <c r="A33" s="347">
        <v>6.3095999999999997</v>
      </c>
      <c r="B33" s="364">
        <f t="shared" si="22"/>
        <v>6.3095999999999994E-3</v>
      </c>
      <c r="C33" s="337">
        <f t="shared" si="0"/>
        <v>1.0006270520597973</v>
      </c>
      <c r="D33" s="338">
        <f t="shared" si="1"/>
        <v>3.5404083750990648E-2</v>
      </c>
      <c r="E33" s="338">
        <f t="shared" si="2"/>
        <v>1.0000000001257341</v>
      </c>
      <c r="F33" s="339">
        <f t="shared" si="3"/>
        <v>1.5857754386222758E-5</v>
      </c>
      <c r="G33" s="338">
        <f t="shared" si="4"/>
        <v>1</v>
      </c>
      <c r="H33" s="339">
        <f t="shared" si="5"/>
        <v>0</v>
      </c>
      <c r="I33" s="337">
        <f t="shared" si="6"/>
        <v>20.839652959110776</v>
      </c>
      <c r="J33" s="340">
        <f t="shared" si="7"/>
        <v>1.5227924484531374</v>
      </c>
      <c r="K33" s="348">
        <f t="shared" si="8"/>
        <v>1.0000527623109008</v>
      </c>
      <c r="L33" s="349">
        <f t="shared" si="9"/>
        <v>1.0272291966316719E-2</v>
      </c>
      <c r="M33" s="337">
        <f t="shared" si="10"/>
        <v>1.0000000002101856</v>
      </c>
      <c r="N33" s="340">
        <f t="shared" si="11"/>
        <v>2.050296036329313E-5</v>
      </c>
      <c r="O33" s="341">
        <f t="shared" si="12"/>
        <v>0.99999999960239327</v>
      </c>
      <c r="P33" s="342">
        <f t="shared" si="13"/>
        <v>9.4592167150951258E-6</v>
      </c>
      <c r="Q33" s="343">
        <f t="shared" si="14"/>
        <v>70.345491676223176</v>
      </c>
      <c r="R33" s="344">
        <f t="shared" si="15"/>
        <v>-88.690334196857307</v>
      </c>
      <c r="S33" s="346">
        <f t="shared" si="16"/>
        <v>91.309665803142693</v>
      </c>
      <c r="U33" s="319">
        <f t="shared" si="23"/>
        <v>1000000000</v>
      </c>
      <c r="V33" s="319">
        <f t="shared" si="24"/>
        <v>39.811052159999996</v>
      </c>
      <c r="X33" s="345">
        <f t="shared" si="17"/>
        <v>71.329873025918729</v>
      </c>
      <c r="Y33" s="346">
        <f t="shared" si="18"/>
        <v>-86.662196227283985</v>
      </c>
      <c r="AA33" s="345">
        <f t="shared" si="19"/>
        <v>47.763585454254098</v>
      </c>
      <c r="AB33" s="346">
        <f t="shared" si="20"/>
        <v>-2.028137969573335</v>
      </c>
      <c r="AD33">
        <f t="shared" si="25"/>
        <v>0</v>
      </c>
      <c r="AE33">
        <f t="shared" si="21"/>
        <v>0</v>
      </c>
    </row>
    <row r="34" spans="1:31" x14ac:dyDescent="0.2">
      <c r="A34" s="347">
        <v>6.9183000000000003</v>
      </c>
      <c r="B34" s="364">
        <f t="shared" si="22"/>
        <v>6.9183000000000005E-3</v>
      </c>
      <c r="C34" s="337">
        <f t="shared" si="0"/>
        <v>1.0007538261606097</v>
      </c>
      <c r="D34" s="338">
        <f t="shared" si="1"/>
        <v>3.8816308946741401E-2</v>
      </c>
      <c r="E34" s="338">
        <f t="shared" si="2"/>
        <v>1.000000000151164</v>
      </c>
      <c r="F34" s="339">
        <f t="shared" si="3"/>
        <v>1.7387584342643752E-5</v>
      </c>
      <c r="G34" s="338">
        <f t="shared" si="4"/>
        <v>1</v>
      </c>
      <c r="H34" s="339">
        <f t="shared" si="5"/>
        <v>0</v>
      </c>
      <c r="I34" s="337">
        <f t="shared" si="6"/>
        <v>22.845670814963043</v>
      </c>
      <c r="J34" s="340">
        <f t="shared" si="7"/>
        <v>1.5270103677559546</v>
      </c>
      <c r="K34" s="348">
        <f t="shared" si="8"/>
        <v>1.0000634331994525</v>
      </c>
      <c r="L34" s="349">
        <f t="shared" si="9"/>
        <v>1.1263200832063572E-2</v>
      </c>
      <c r="M34" s="337">
        <f t="shared" si="10"/>
        <v>1.0000000002526961</v>
      </c>
      <c r="N34" s="340">
        <f t="shared" si="11"/>
        <v>2.2480922828285618E-5</v>
      </c>
      <c r="O34" s="341">
        <f t="shared" si="12"/>
        <v>0.99999999952197705</v>
      </c>
      <c r="P34" s="342">
        <f t="shared" si="13"/>
        <v>1.0371766673878308E-5</v>
      </c>
      <c r="Q34" s="343">
        <f t="shared" si="14"/>
        <v>69.546215325436592</v>
      </c>
      <c r="R34" s="344">
        <f t="shared" si="15"/>
        <v>-89.070812339608224</v>
      </c>
      <c r="S34" s="346">
        <f t="shared" si="16"/>
        <v>90.929187660391776</v>
      </c>
      <c r="U34" s="319">
        <f t="shared" si="23"/>
        <v>1000000000</v>
      </c>
      <c r="V34" s="319">
        <f t="shared" si="24"/>
        <v>47.862874890000008</v>
      </c>
      <c r="X34" s="345">
        <f t="shared" si="17"/>
        <v>70.531697060313263</v>
      </c>
      <c r="Y34" s="346">
        <f t="shared" si="18"/>
        <v>-86.847203634885446</v>
      </c>
      <c r="AA34" s="345">
        <f t="shared" si="19"/>
        <v>47.762485069072973</v>
      </c>
      <c r="AB34" s="346">
        <f t="shared" si="20"/>
        <v>-2.2236087047227695</v>
      </c>
      <c r="AD34">
        <f t="shared" si="25"/>
        <v>0</v>
      </c>
      <c r="AE34">
        <f t="shared" si="21"/>
        <v>0</v>
      </c>
    </row>
    <row r="35" spans="1:31" x14ac:dyDescent="0.2">
      <c r="A35" s="347">
        <v>7.5857999999999999</v>
      </c>
      <c r="B35" s="364">
        <f t="shared" si="22"/>
        <v>7.5858000000000002E-3</v>
      </c>
      <c r="C35" s="337">
        <f t="shared" si="0"/>
        <v>1.0009062376864988</v>
      </c>
      <c r="D35" s="338">
        <f t="shared" si="1"/>
        <v>4.2557110484184209E-2</v>
      </c>
      <c r="E35" s="338">
        <f t="shared" si="2"/>
        <v>1.0000000001817408</v>
      </c>
      <c r="F35" s="339">
        <f t="shared" si="3"/>
        <v>1.9065194817186049E-5</v>
      </c>
      <c r="G35" s="338">
        <f t="shared" si="4"/>
        <v>1</v>
      </c>
      <c r="H35" s="339">
        <f t="shared" si="5"/>
        <v>0</v>
      </c>
      <c r="I35" s="337">
        <f t="shared" si="6"/>
        <v>25.045857380134162</v>
      </c>
      <c r="J35" s="340">
        <f t="shared" si="7"/>
        <v>1.5308589484628945</v>
      </c>
      <c r="K35" s="348">
        <f t="shared" si="8"/>
        <v>1.0000762636920888</v>
      </c>
      <c r="L35" s="349">
        <f t="shared" si="9"/>
        <v>1.2349805311165869E-2</v>
      </c>
      <c r="M35" s="337">
        <f t="shared" si="10"/>
        <v>1.0000000003038101</v>
      </c>
      <c r="N35" s="340">
        <f t="shared" si="11"/>
        <v>2.4649955102409237E-5</v>
      </c>
      <c r="O35" s="341">
        <f t="shared" si="12"/>
        <v>0.99999999942528472</v>
      </c>
      <c r="P35" s="342">
        <f t="shared" si="13"/>
        <v>1.1372468329300403E-5</v>
      </c>
      <c r="Q35" s="343">
        <f t="shared" si="14"/>
        <v>68.746364260627104</v>
      </c>
      <c r="R35" s="344">
        <f t="shared" si="15"/>
        <v>-89.443479553472628</v>
      </c>
      <c r="S35" s="346">
        <f t="shared" si="16"/>
        <v>90.556520446527372</v>
      </c>
      <c r="U35" s="319">
        <f t="shared" si="23"/>
        <v>1000000000</v>
      </c>
      <c r="V35" s="319">
        <f t="shared" si="24"/>
        <v>57.544361639999998</v>
      </c>
      <c r="X35" s="345">
        <f t="shared" si="17"/>
        <v>69.733168726184715</v>
      </c>
      <c r="Y35" s="346">
        <f t="shared" si="18"/>
        <v>-87.005577492431925</v>
      </c>
      <c r="AA35" s="345">
        <f t="shared" si="19"/>
        <v>47.761162338392033</v>
      </c>
      <c r="AB35" s="346">
        <f t="shared" si="20"/>
        <v>-2.4379020610407069</v>
      </c>
      <c r="AD35">
        <f t="shared" si="25"/>
        <v>0</v>
      </c>
      <c r="AE35">
        <f t="shared" si="21"/>
        <v>0</v>
      </c>
    </row>
    <row r="36" spans="1:31" x14ac:dyDescent="0.2">
      <c r="A36" s="347">
        <v>8.3176000000000005</v>
      </c>
      <c r="B36" s="364">
        <f t="shared" si="22"/>
        <v>8.3176000000000014E-3</v>
      </c>
      <c r="C36" s="337">
        <f t="shared" si="0"/>
        <v>1.0010894207578311</v>
      </c>
      <c r="D36" s="338">
        <f t="shared" si="1"/>
        <v>4.6656888989283343E-2</v>
      </c>
      <c r="E36" s="338">
        <f t="shared" si="2"/>
        <v>1.0000000002184972</v>
      </c>
      <c r="F36" s="339">
        <f t="shared" si="3"/>
        <v>2.0904408817466969E-5</v>
      </c>
      <c r="G36" s="338">
        <f t="shared" si="4"/>
        <v>1</v>
      </c>
      <c r="H36" s="339">
        <f t="shared" si="5"/>
        <v>0</v>
      </c>
      <c r="I36" s="337">
        <f t="shared" si="6"/>
        <v>27.458341693119884</v>
      </c>
      <c r="J36" s="340">
        <f t="shared" si="7"/>
        <v>1.5343694661302671</v>
      </c>
      <c r="K36" s="348">
        <f t="shared" si="8"/>
        <v>1.0000916870000061</v>
      </c>
      <c r="L36" s="349">
        <f t="shared" si="9"/>
        <v>1.35410483443907E-2</v>
      </c>
      <c r="M36" s="337">
        <f t="shared" si="10"/>
        <v>1.0000000003652545</v>
      </c>
      <c r="N36" s="340">
        <f t="shared" si="11"/>
        <v>2.7027929361623104E-5</v>
      </c>
      <c r="O36" s="341">
        <f t="shared" si="12"/>
        <v>0.99999999930905092</v>
      </c>
      <c r="P36" s="342">
        <f t="shared" si="13"/>
        <v>1.246956716327825E-5</v>
      </c>
      <c r="Q36" s="343">
        <f t="shared" si="14"/>
        <v>67.94614065591378</v>
      </c>
      <c r="R36" s="344">
        <f t="shared" si="15"/>
        <v>-89.811357935063938</v>
      </c>
      <c r="S36" s="346">
        <f t="shared" si="16"/>
        <v>90.188642064936062</v>
      </c>
      <c r="U36" s="319">
        <f t="shared" si="23"/>
        <v>1000000000</v>
      </c>
      <c r="V36" s="319">
        <f t="shared" si="24"/>
        <v>69.182469760000004</v>
      </c>
      <c r="X36" s="345">
        <f t="shared" si="17"/>
        <v>68.934534642016771</v>
      </c>
      <c r="Y36" s="346">
        <f t="shared" si="18"/>
        <v>-87.138598388541183</v>
      </c>
      <c r="AA36" s="345">
        <f t="shared" si="19"/>
        <v>47.759572817846667</v>
      </c>
      <c r="AB36" s="346">
        <f t="shared" si="20"/>
        <v>-2.6727595465227632</v>
      </c>
      <c r="AD36">
        <f t="shared" si="25"/>
        <v>0</v>
      </c>
      <c r="AE36">
        <f t="shared" si="21"/>
        <v>0</v>
      </c>
    </row>
    <row r="37" spans="1:31" x14ac:dyDescent="0.2">
      <c r="A37" s="347">
        <v>9.1201000000000008</v>
      </c>
      <c r="B37" s="364">
        <f t="shared" si="22"/>
        <v>9.1201000000000008E-3</v>
      </c>
      <c r="C37" s="337">
        <f t="shared" si="0"/>
        <v>1.0013096371740295</v>
      </c>
      <c r="D37" s="338">
        <f t="shared" si="1"/>
        <v>5.1150942870138709E-2</v>
      </c>
      <c r="E37" s="338">
        <f t="shared" si="2"/>
        <v>1.0000000002626932</v>
      </c>
      <c r="F37" s="339">
        <f t="shared" si="3"/>
        <v>2.2921311297797821E-5</v>
      </c>
      <c r="G37" s="338">
        <f t="shared" si="4"/>
        <v>1</v>
      </c>
      <c r="H37" s="339">
        <f t="shared" si="5"/>
        <v>0</v>
      </c>
      <c r="I37" s="337">
        <f t="shared" si="6"/>
        <v>30.104222403468935</v>
      </c>
      <c r="J37" s="340">
        <f t="shared" si="7"/>
        <v>1.5375722832326615</v>
      </c>
      <c r="K37" s="348">
        <f t="shared" si="8"/>
        <v>1.000110231793816</v>
      </c>
      <c r="L37" s="349">
        <f t="shared" si="9"/>
        <v>1.4847334366455545E-2</v>
      </c>
      <c r="M37" s="337">
        <f t="shared" si="10"/>
        <v>1.0000000004391356</v>
      </c>
      <c r="N37" s="340">
        <f t="shared" si="11"/>
        <v>2.9635642319755445E-5</v>
      </c>
      <c r="O37" s="341">
        <f t="shared" si="12"/>
        <v>0.9999999991692905</v>
      </c>
      <c r="P37" s="342">
        <f t="shared" si="13"/>
        <v>1.3672657918426489E-5</v>
      </c>
      <c r="Q37" s="343">
        <f t="shared" si="14"/>
        <v>67.145329060981553</v>
      </c>
      <c r="R37" s="344">
        <f t="shared" si="15"/>
        <v>-90.177614265347628</v>
      </c>
      <c r="S37" s="346">
        <f t="shared" si="16"/>
        <v>89.822385734652372</v>
      </c>
      <c r="U37" s="319">
        <f t="shared" si="23"/>
        <v>1000000000</v>
      </c>
      <c r="V37" s="319">
        <f t="shared" si="24"/>
        <v>83.176224010000013</v>
      </c>
      <c r="X37" s="345">
        <f t="shared" si="17"/>
        <v>68.13563352930133</v>
      </c>
      <c r="Y37" s="346">
        <f t="shared" si="18"/>
        <v>-87.247411026230466</v>
      </c>
      <c r="AA37" s="345">
        <f t="shared" si="19"/>
        <v>47.757662335629867</v>
      </c>
      <c r="AB37" s="346">
        <f t="shared" si="20"/>
        <v>-2.9302032391171657</v>
      </c>
      <c r="AD37">
        <f t="shared" si="25"/>
        <v>0</v>
      </c>
      <c r="AE37">
        <f t="shared" si="21"/>
        <v>0</v>
      </c>
    </row>
    <row r="38" spans="1:31" x14ac:dyDescent="0.2">
      <c r="A38" s="347">
        <v>10</v>
      </c>
      <c r="B38" s="364">
        <f t="shared" si="22"/>
        <v>0.01</v>
      </c>
      <c r="C38" s="337">
        <f t="shared" si="0"/>
        <v>1.0015743248789086</v>
      </c>
      <c r="D38" s="338">
        <f t="shared" si="1"/>
        <v>5.6076059671716805E-2</v>
      </c>
      <c r="E38" s="338">
        <f t="shared" si="2"/>
        <v>1.0000000003158274</v>
      </c>
      <c r="F38" s="339">
        <f t="shared" si="3"/>
        <v>2.5132741194708266E-5</v>
      </c>
      <c r="G38" s="338">
        <f t="shared" si="4"/>
        <v>1</v>
      </c>
      <c r="H38" s="339">
        <f t="shared" si="5"/>
        <v>0</v>
      </c>
      <c r="I38" s="337">
        <f t="shared" si="6"/>
        <v>33.005589871358644</v>
      </c>
      <c r="J38" s="340">
        <f t="shared" si="7"/>
        <v>1.5404937913485124</v>
      </c>
      <c r="K38" s="348">
        <f t="shared" si="8"/>
        <v>1.0001325265319685</v>
      </c>
      <c r="L38" s="349">
        <f t="shared" si="9"/>
        <v>1.62795514407169E-2</v>
      </c>
      <c r="M38" s="337">
        <f t="shared" si="10"/>
        <v>1.0000000005279581</v>
      </c>
      <c r="N38" s="340">
        <f t="shared" si="11"/>
        <v>3.2494865536562721E-5</v>
      </c>
      <c r="O38" s="341">
        <f t="shared" si="12"/>
        <v>0.99999999900126568</v>
      </c>
      <c r="P38" s="342">
        <f t="shared" si="13"/>
        <v>1.4991785090963915E-5</v>
      </c>
      <c r="Q38" s="343">
        <f t="shared" si="14"/>
        <v>66.344025250247469</v>
      </c>
      <c r="R38" s="344">
        <f t="shared" si="15"/>
        <v>-90.545245459499668</v>
      </c>
      <c r="S38" s="346">
        <f t="shared" si="16"/>
        <v>89.454754540500332</v>
      </c>
      <c r="U38" s="319">
        <f t="shared" si="23"/>
        <v>1000000000</v>
      </c>
      <c r="V38" s="319">
        <f t="shared" si="24"/>
        <v>100</v>
      </c>
      <c r="X38" s="345">
        <f t="shared" si="17"/>
        <v>67.336625454442455</v>
      </c>
      <c r="Y38" s="346">
        <f t="shared" si="18"/>
        <v>-87.332904938900896</v>
      </c>
      <c r="AA38" s="345">
        <f t="shared" si="19"/>
        <v>47.755366599754652</v>
      </c>
      <c r="AB38" s="346">
        <f t="shared" si="20"/>
        <v>-3.2123405205987954</v>
      </c>
      <c r="AD38">
        <f t="shared" si="25"/>
        <v>0</v>
      </c>
      <c r="AE38">
        <f t="shared" si="21"/>
        <v>0</v>
      </c>
    </row>
    <row r="39" spans="1:31" x14ac:dyDescent="0.2">
      <c r="A39" s="347">
        <v>10.965</v>
      </c>
      <c r="B39" s="364">
        <f t="shared" si="22"/>
        <v>1.0964999999999999E-2</v>
      </c>
      <c r="C39" s="337">
        <f t="shared" si="0"/>
        <v>1.0018925292187189</v>
      </c>
      <c r="D39" s="338">
        <f t="shared" si="1"/>
        <v>6.1474373662902253E-2</v>
      </c>
      <c r="E39" s="338">
        <f t="shared" si="2"/>
        <v>1.0000000003797229</v>
      </c>
      <c r="F39" s="339">
        <f t="shared" si="3"/>
        <v>2.7558050718823716E-5</v>
      </c>
      <c r="G39" s="338">
        <f t="shared" si="4"/>
        <v>1</v>
      </c>
      <c r="H39" s="339">
        <f t="shared" si="5"/>
        <v>0</v>
      </c>
      <c r="I39" s="337">
        <f t="shared" si="6"/>
        <v>36.187834094371169</v>
      </c>
      <c r="J39" s="340">
        <f t="shared" si="7"/>
        <v>1.5431592123320799</v>
      </c>
      <c r="K39" s="348">
        <f t="shared" si="8"/>
        <v>1.0001593361371077</v>
      </c>
      <c r="L39" s="349">
        <f t="shared" si="9"/>
        <v>1.7850209147994581E-2</v>
      </c>
      <c r="M39" s="337">
        <f t="shared" si="10"/>
        <v>1.0000000006347705</v>
      </c>
      <c r="N39" s="340">
        <f t="shared" si="11"/>
        <v>3.5630620058303831E-5</v>
      </c>
      <c r="O39" s="341">
        <f t="shared" si="12"/>
        <v>0.99999999879920953</v>
      </c>
      <c r="P39" s="342">
        <f t="shared" si="13"/>
        <v>1.643849235568801E-5</v>
      </c>
      <c r="Q39" s="343">
        <f t="shared" si="14"/>
        <v>65.54199714207067</v>
      </c>
      <c r="R39" s="344">
        <f t="shared" si="15"/>
        <v>-90.917394979124012</v>
      </c>
      <c r="S39" s="346">
        <f t="shared" si="16"/>
        <v>89.082605020875988</v>
      </c>
      <c r="U39" s="319">
        <f t="shared" si="23"/>
        <v>1000000000</v>
      </c>
      <c r="V39" s="319">
        <f t="shared" si="24"/>
        <v>120.23122499999999</v>
      </c>
      <c r="X39" s="345">
        <f t="shared" si="17"/>
        <v>66.537356449049426</v>
      </c>
      <c r="Y39" s="346">
        <f t="shared" si="18"/>
        <v>-87.395809919769775</v>
      </c>
      <c r="AA39" s="345">
        <f t="shared" si="19"/>
        <v>47.752607496970896</v>
      </c>
      <c r="AB39" s="346">
        <f t="shared" si="20"/>
        <v>-3.5215850593542224</v>
      </c>
      <c r="AD39">
        <f t="shared" si="25"/>
        <v>0</v>
      </c>
      <c r="AE39">
        <f t="shared" si="21"/>
        <v>0</v>
      </c>
    </row>
    <row r="40" spans="1:31" x14ac:dyDescent="0.2">
      <c r="A40" s="347">
        <v>12.023</v>
      </c>
      <c r="B40" s="364">
        <f t="shared" si="22"/>
        <v>1.2022999999999999E-2</v>
      </c>
      <c r="C40" s="337">
        <f t="shared" si="0"/>
        <v>1.0022749301399336</v>
      </c>
      <c r="D40" s="338">
        <f t="shared" si="1"/>
        <v>6.738880826480137E-2</v>
      </c>
      <c r="E40" s="338">
        <f t="shared" si="2"/>
        <v>1.0000000004565364</v>
      </c>
      <c r="F40" s="339">
        <f t="shared" si="3"/>
        <v>3.0217094735563201E-5</v>
      </c>
      <c r="G40" s="338">
        <f t="shared" si="4"/>
        <v>1</v>
      </c>
      <c r="H40" s="339">
        <f t="shared" si="5"/>
        <v>0</v>
      </c>
      <c r="I40" s="337">
        <f t="shared" si="6"/>
        <v>39.677006698027846</v>
      </c>
      <c r="J40" s="340">
        <f t="shared" si="7"/>
        <v>1.5455901435914472</v>
      </c>
      <c r="K40" s="348">
        <f t="shared" si="8"/>
        <v>1.0001915647991044</v>
      </c>
      <c r="L40" s="349">
        <f t="shared" si="9"/>
        <v>1.957213443694646E-2</v>
      </c>
      <c r="M40" s="337">
        <f t="shared" si="10"/>
        <v>1.0000000007631769</v>
      </c>
      <c r="N40" s="340">
        <f t="shared" si="11"/>
        <v>3.9068576828482914E-5</v>
      </c>
      <c r="O40" s="341">
        <f t="shared" si="12"/>
        <v>0.99999999855630428</v>
      </c>
      <c r="P40" s="342">
        <f t="shared" si="13"/>
        <v>1.8024623223186988E-5</v>
      </c>
      <c r="Q40" s="343">
        <f t="shared" si="14"/>
        <v>64.739436239780744</v>
      </c>
      <c r="R40" s="344">
        <f t="shared" si="15"/>
        <v>-91.297025677224966</v>
      </c>
      <c r="S40" s="346">
        <f t="shared" si="16"/>
        <v>88.702974322775034</v>
      </c>
      <c r="U40" s="319">
        <f t="shared" si="23"/>
        <v>1000000000</v>
      </c>
      <c r="V40" s="319">
        <f t="shared" si="24"/>
        <v>144.55252899999999</v>
      </c>
      <c r="X40" s="345">
        <f t="shared" si="17"/>
        <v>65.738110129521658</v>
      </c>
      <c r="Y40" s="346">
        <f t="shared" si="18"/>
        <v>-87.436629949983882</v>
      </c>
      <c r="AA40" s="345">
        <f t="shared" si="19"/>
        <v>47.749292914208723</v>
      </c>
      <c r="AB40" s="346">
        <f t="shared" si="20"/>
        <v>-3.8603957272410914</v>
      </c>
      <c r="AD40">
        <f t="shared" si="25"/>
        <v>0</v>
      </c>
      <c r="AE40">
        <f t="shared" si="21"/>
        <v>0</v>
      </c>
    </row>
    <row r="41" spans="1:31" x14ac:dyDescent="0.2">
      <c r="A41" s="347">
        <v>13.183</v>
      </c>
      <c r="B41" s="364">
        <f t="shared" si="22"/>
        <v>1.3183E-2</v>
      </c>
      <c r="C41" s="337">
        <f t="shared" si="0"/>
        <v>1.0027344577292221</v>
      </c>
      <c r="D41" s="338">
        <f t="shared" si="1"/>
        <v>7.3868006403617806E-2</v>
      </c>
      <c r="E41" s="338">
        <f t="shared" si="2"/>
        <v>1.0000000005488809</v>
      </c>
      <c r="F41" s="339">
        <f t="shared" si="3"/>
        <v>3.3132492711836135E-5</v>
      </c>
      <c r="G41" s="338">
        <f t="shared" si="4"/>
        <v>1</v>
      </c>
      <c r="H41" s="339">
        <f t="shared" si="5"/>
        <v>0</v>
      </c>
      <c r="I41" s="337">
        <f t="shared" si="6"/>
        <v>43.502788717369441</v>
      </c>
      <c r="J41" s="340">
        <f t="shared" si="7"/>
        <v>1.5478072698238876</v>
      </c>
      <c r="K41" s="348">
        <f t="shared" si="8"/>
        <v>1.000230308573953</v>
      </c>
      <c r="L41" s="349">
        <f t="shared" si="9"/>
        <v>2.1459933874026841E-2</v>
      </c>
      <c r="M41" s="337">
        <f t="shared" si="10"/>
        <v>1.0000000009175463</v>
      </c>
      <c r="N41" s="340">
        <f t="shared" si="11"/>
        <v>4.2837981225724523E-5</v>
      </c>
      <c r="O41" s="341">
        <f t="shared" si="12"/>
        <v>0.99999999826428476</v>
      </c>
      <c r="P41" s="342">
        <f t="shared" si="13"/>
        <v>1.9763670300529471E-5</v>
      </c>
      <c r="Q41" s="343">
        <f t="shared" si="14"/>
        <v>63.936227316942734</v>
      </c>
      <c r="R41" s="344">
        <f t="shared" si="15"/>
        <v>-91.687273992130301</v>
      </c>
      <c r="S41" s="346">
        <f t="shared" si="16"/>
        <v>88.312726007869699</v>
      </c>
      <c r="U41" s="319">
        <f t="shared" si="23"/>
        <v>1000000000</v>
      </c>
      <c r="V41" s="319">
        <f t="shared" si="24"/>
        <v>173.79148899999998</v>
      </c>
      <c r="X41" s="345">
        <f t="shared" si="17"/>
        <v>64.938882637068303</v>
      </c>
      <c r="Y41" s="346">
        <f t="shared" si="18"/>
        <v>-87.45571495642362</v>
      </c>
      <c r="AA41" s="345">
        <f t="shared" si="19"/>
        <v>47.745311483824075</v>
      </c>
      <c r="AB41" s="346">
        <f t="shared" si="20"/>
        <v>-4.2315590357066721</v>
      </c>
      <c r="AD41">
        <f t="shared" si="25"/>
        <v>0</v>
      </c>
      <c r="AE41">
        <f t="shared" si="21"/>
        <v>0</v>
      </c>
    </row>
    <row r="42" spans="1:31" x14ac:dyDescent="0.2">
      <c r="A42" s="347">
        <v>14.454000000000001</v>
      </c>
      <c r="B42" s="364">
        <f t="shared" si="22"/>
        <v>1.4454E-2</v>
      </c>
      <c r="C42" s="337">
        <f t="shared" si="0"/>
        <v>1.0032862392091897</v>
      </c>
      <c r="D42" s="338">
        <f t="shared" si="1"/>
        <v>8.0960050649592566E-2</v>
      </c>
      <c r="E42" s="338">
        <f t="shared" si="2"/>
        <v>1.0000000006598204</v>
      </c>
      <c r="F42" s="339">
        <f t="shared" si="3"/>
        <v>3.6326864114500532E-5</v>
      </c>
      <c r="G42" s="338">
        <f t="shared" si="4"/>
        <v>1</v>
      </c>
      <c r="H42" s="339">
        <f t="shared" si="5"/>
        <v>0</v>
      </c>
      <c r="I42" s="337">
        <f t="shared" si="6"/>
        <v>47.694862743478694</v>
      </c>
      <c r="J42" s="340">
        <f t="shared" si="7"/>
        <v>1.5498281716627058</v>
      </c>
      <c r="K42" s="348">
        <f t="shared" si="8"/>
        <v>1.0002768519567244</v>
      </c>
      <c r="L42" s="349">
        <f t="shared" si="9"/>
        <v>2.352820007163928E-2</v>
      </c>
      <c r="M42" s="337">
        <f t="shared" si="10"/>
        <v>1.0000000011030001</v>
      </c>
      <c r="N42" s="340">
        <f t="shared" si="11"/>
        <v>4.6968078628542013E-5</v>
      </c>
      <c r="O42" s="341">
        <f t="shared" si="12"/>
        <v>0.99999999791346317</v>
      </c>
      <c r="P42" s="342">
        <f t="shared" si="13"/>
        <v>2.1669126194935065E-5</v>
      </c>
      <c r="Q42" s="343">
        <f t="shared" si="14"/>
        <v>63.132763052732706</v>
      </c>
      <c r="R42" s="344">
        <f t="shared" si="15"/>
        <v>-92.091067205879227</v>
      </c>
      <c r="S42" s="346">
        <f t="shared" si="16"/>
        <v>87.908932794120773</v>
      </c>
      <c r="U42" s="319">
        <f t="shared" si="23"/>
        <v>1000000000</v>
      </c>
      <c r="V42" s="319">
        <f t="shared" si="24"/>
        <v>208.91811600000003</v>
      </c>
      <c r="X42" s="345">
        <f t="shared" si="17"/>
        <v>64.140196697573103</v>
      </c>
      <c r="Y42" s="346">
        <f t="shared" si="18"/>
        <v>-87.453237815712711</v>
      </c>
      <c r="AA42" s="345">
        <f t="shared" si="19"/>
        <v>47.740533159109248</v>
      </c>
      <c r="AB42" s="346">
        <f t="shared" si="20"/>
        <v>-4.6378293901665248</v>
      </c>
      <c r="AD42">
        <f t="shared" si="25"/>
        <v>0</v>
      </c>
      <c r="AE42">
        <f t="shared" si="21"/>
        <v>0</v>
      </c>
    </row>
    <row r="43" spans="1:31" x14ac:dyDescent="0.2">
      <c r="A43" s="347">
        <v>15.849</v>
      </c>
      <c r="B43" s="364">
        <f t="shared" si="22"/>
        <v>1.5848999999999999E-2</v>
      </c>
      <c r="C43" s="337">
        <f t="shared" si="0"/>
        <v>1.0039498714121116</v>
      </c>
      <c r="D43" s="338">
        <f t="shared" si="1"/>
        <v>8.8734591299618817E-2</v>
      </c>
      <c r="E43" s="338">
        <f t="shared" si="2"/>
        <v>1.0000000007933292</v>
      </c>
      <c r="F43" s="339">
        <f t="shared" si="3"/>
        <v>3.9832881506812946E-5</v>
      </c>
      <c r="G43" s="338">
        <f t="shared" si="4"/>
        <v>1</v>
      </c>
      <c r="H43" s="339">
        <f t="shared" si="5"/>
        <v>0</v>
      </c>
      <c r="I43" s="337">
        <f t="shared" si="6"/>
        <v>52.296106120657051</v>
      </c>
      <c r="J43" s="340">
        <f t="shared" si="7"/>
        <v>1.5516732787272711</v>
      </c>
      <c r="K43" s="348">
        <f t="shared" si="8"/>
        <v>1.0003328611176014</v>
      </c>
      <c r="L43" s="349">
        <f t="shared" si="9"/>
        <v>2.5798015946316498E-2</v>
      </c>
      <c r="M43" s="337">
        <f t="shared" si="10"/>
        <v>1.0000000013261823</v>
      </c>
      <c r="N43" s="340">
        <f t="shared" si="11"/>
        <v>5.1501112361491964E-5</v>
      </c>
      <c r="O43" s="341">
        <f t="shared" si="12"/>
        <v>0.99999999749127133</v>
      </c>
      <c r="P43" s="342">
        <f t="shared" si="13"/>
        <v>2.376048022789256E-5</v>
      </c>
      <c r="Q43" s="343">
        <f t="shared" si="14"/>
        <v>62.327550941995852</v>
      </c>
      <c r="R43" s="344">
        <f t="shared" si="15"/>
        <v>-92.512360220379946</v>
      </c>
      <c r="S43" s="346">
        <f t="shared" si="16"/>
        <v>87.487639779620054</v>
      </c>
      <c r="U43" s="319">
        <f t="shared" si="23"/>
        <v>1000000000</v>
      </c>
      <c r="V43" s="319">
        <f t="shared" si="24"/>
        <v>251.19080099999999</v>
      </c>
      <c r="X43" s="345">
        <f t="shared" si="17"/>
        <v>63.340728038152378</v>
      </c>
      <c r="Y43" s="346">
        <f t="shared" si="18"/>
        <v>-87.429163517045041</v>
      </c>
      <c r="AA43" s="345">
        <f t="shared" si="19"/>
        <v>47.734789707793126</v>
      </c>
      <c r="AB43" s="346">
        <f t="shared" si="20"/>
        <v>-5.0831967033349086</v>
      </c>
      <c r="AD43">
        <f t="shared" si="25"/>
        <v>0</v>
      </c>
      <c r="AE43">
        <f t="shared" si="21"/>
        <v>0</v>
      </c>
    </row>
    <row r="44" spans="1:31" x14ac:dyDescent="0.2">
      <c r="A44" s="347">
        <v>17.378</v>
      </c>
      <c r="B44" s="364">
        <f t="shared" si="22"/>
        <v>1.7378000000000001E-2</v>
      </c>
      <c r="C44" s="337">
        <f t="shared" si="0"/>
        <v>1.0047468567372262</v>
      </c>
      <c r="D44" s="338">
        <f t="shared" si="1"/>
        <v>9.7243563044043899E-2</v>
      </c>
      <c r="E44" s="338">
        <f t="shared" si="2"/>
        <v>1.0000000009537824</v>
      </c>
      <c r="F44" s="339">
        <f t="shared" si="3"/>
        <v>4.3675677629588608E-5</v>
      </c>
      <c r="G44" s="338">
        <f t="shared" si="4"/>
        <v>1</v>
      </c>
      <c r="H44" s="339">
        <f t="shared" si="5"/>
        <v>0</v>
      </c>
      <c r="I44" s="337">
        <f t="shared" si="6"/>
        <v>57.339502845490294</v>
      </c>
      <c r="J44" s="340">
        <f t="shared" si="7"/>
        <v>1.5533554588158589</v>
      </c>
      <c r="K44" s="348">
        <f t="shared" si="8"/>
        <v>1.0004001697986598</v>
      </c>
      <c r="L44" s="349">
        <f t="shared" si="9"/>
        <v>2.8285558069678265E-2</v>
      </c>
      <c r="M44" s="337">
        <f t="shared" si="10"/>
        <v>1.0000000015944066</v>
      </c>
      <c r="N44" s="340">
        <f t="shared" si="11"/>
        <v>5.646957728929077E-5</v>
      </c>
      <c r="O44" s="341">
        <f t="shared" si="12"/>
        <v>0.99999999698387354</v>
      </c>
      <c r="P44" s="342">
        <f t="shared" si="13"/>
        <v>2.6052724185606936E-5</v>
      </c>
      <c r="Q44" s="343">
        <f t="shared" si="14"/>
        <v>61.521551413569959</v>
      </c>
      <c r="R44" s="344">
        <f t="shared" si="15"/>
        <v>-92.953940376239586</v>
      </c>
      <c r="S44" s="346">
        <f t="shared" si="16"/>
        <v>87.046059623760414</v>
      </c>
      <c r="U44" s="319">
        <f t="shared" si="23"/>
        <v>1000000000</v>
      </c>
      <c r="V44" s="319">
        <f t="shared" si="24"/>
        <v>301.99488400000001</v>
      </c>
      <c r="X44" s="345">
        <f t="shared" si="17"/>
        <v>62.541621059524807</v>
      </c>
      <c r="Y44" s="346">
        <f t="shared" si="18"/>
        <v>-87.383304343491048</v>
      </c>
      <c r="AA44" s="345">
        <f t="shared" si="19"/>
        <v>47.727897157994796</v>
      </c>
      <c r="AB44" s="346">
        <f t="shared" si="20"/>
        <v>-5.5706360327485438</v>
      </c>
      <c r="AD44">
        <f t="shared" si="25"/>
        <v>0</v>
      </c>
      <c r="AE44">
        <f t="shared" si="21"/>
        <v>0</v>
      </c>
    </row>
    <row r="45" spans="1:31" x14ac:dyDescent="0.2">
      <c r="A45" s="347">
        <v>19.055</v>
      </c>
      <c r="B45" s="364">
        <f t="shared" si="22"/>
        <v>1.9054999999999999E-2</v>
      </c>
      <c r="C45" s="337">
        <f t="shared" si="0"/>
        <v>1.0057044928350822</v>
      </c>
      <c r="D45" s="338">
        <f t="shared" si="1"/>
        <v>0.10655990323328991</v>
      </c>
      <c r="E45" s="338">
        <f t="shared" si="2"/>
        <v>1.0000000011467469</v>
      </c>
      <c r="F45" s="339">
        <f t="shared" si="3"/>
        <v>4.789043831998786E-5</v>
      </c>
      <c r="G45" s="338">
        <f t="shared" si="4"/>
        <v>1</v>
      </c>
      <c r="H45" s="339">
        <f t="shared" si="5"/>
        <v>0</v>
      </c>
      <c r="I45" s="337">
        <f t="shared" si="6"/>
        <v>62.871231815776376</v>
      </c>
      <c r="J45" s="340">
        <f t="shared" si="7"/>
        <v>1.5548901302689082</v>
      </c>
      <c r="K45" s="348">
        <f t="shared" si="8"/>
        <v>1.0004811107456029</v>
      </c>
      <c r="L45" s="349">
        <f t="shared" si="9"/>
        <v>3.1013478848250182E-2</v>
      </c>
      <c r="M45" s="337">
        <f t="shared" si="10"/>
        <v>1.0000000019169792</v>
      </c>
      <c r="N45" s="340">
        <f t="shared" si="11"/>
        <v>6.1918966222582425E-5</v>
      </c>
      <c r="O45" s="341">
        <f t="shared" si="12"/>
        <v>0.99999999637366543</v>
      </c>
      <c r="P45" s="342">
        <f t="shared" si="13"/>
        <v>2.856684656870931E-5</v>
      </c>
      <c r="Q45" s="343">
        <f t="shared" si="14"/>
        <v>60.71401854511101</v>
      </c>
      <c r="R45" s="344">
        <f t="shared" si="15"/>
        <v>-93.419573987453603</v>
      </c>
      <c r="S45" s="346">
        <f t="shared" si="16"/>
        <v>86.580426012546397</v>
      </c>
      <c r="U45" s="319">
        <f t="shared" si="23"/>
        <v>1000000000</v>
      </c>
      <c r="V45" s="319">
        <f t="shared" si="24"/>
        <v>363.09302500000001</v>
      </c>
      <c r="X45" s="345">
        <f t="shared" si="17"/>
        <v>61.742362865384663</v>
      </c>
      <c r="Y45" s="346">
        <f t="shared" si="18"/>
        <v>-87.315248420140804</v>
      </c>
      <c r="AA45" s="345">
        <f t="shared" si="19"/>
        <v>47.719622483675991</v>
      </c>
      <c r="AB45" s="346">
        <f t="shared" si="20"/>
        <v>-6.1043255673127934</v>
      </c>
      <c r="AD45">
        <f t="shared" si="25"/>
        <v>0</v>
      </c>
      <c r="AE45">
        <f t="shared" si="21"/>
        <v>0</v>
      </c>
    </row>
    <row r="46" spans="1:31" x14ac:dyDescent="0.2">
      <c r="A46" s="347">
        <v>20.893000000000001</v>
      </c>
      <c r="B46" s="364">
        <f t="shared" si="22"/>
        <v>2.0893000000000002E-2</v>
      </c>
      <c r="C46" s="337">
        <f t="shared" si="0"/>
        <v>1.0068541228403498</v>
      </c>
      <c r="D46" s="338">
        <f t="shared" si="1"/>
        <v>0.11674931514490873</v>
      </c>
      <c r="E46" s="338">
        <f t="shared" si="2"/>
        <v>1.0000000013786414</v>
      </c>
      <c r="F46" s="339">
        <f t="shared" si="3"/>
        <v>5.2509836140898512E-5</v>
      </c>
      <c r="G46" s="338">
        <f t="shared" si="4"/>
        <v>1</v>
      </c>
      <c r="H46" s="339">
        <f t="shared" si="5"/>
        <v>0</v>
      </c>
      <c r="I46" s="337">
        <f t="shared" si="6"/>
        <v>68.934174630089714</v>
      </c>
      <c r="J46" s="340">
        <f t="shared" si="7"/>
        <v>1.55628922516893</v>
      </c>
      <c r="K46" s="348">
        <f t="shared" si="8"/>
        <v>1.0005783725126101</v>
      </c>
      <c r="L46" s="349">
        <f t="shared" si="9"/>
        <v>3.4002761294334556E-2</v>
      </c>
      <c r="M46" s="337">
        <f t="shared" si="10"/>
        <v>1.0000000023046294</v>
      </c>
      <c r="N46" s="340">
        <f t="shared" si="11"/>
        <v>6.7891522485126539E-5</v>
      </c>
      <c r="O46" s="341">
        <f t="shared" si="12"/>
        <v>0.99999999564035047</v>
      </c>
      <c r="P46" s="342">
        <f t="shared" si="13"/>
        <v>3.1322336699770986E-5</v>
      </c>
      <c r="Q46" s="343">
        <f t="shared" si="14"/>
        <v>59.905287446693983</v>
      </c>
      <c r="R46" s="344">
        <f t="shared" si="15"/>
        <v>-93.912508659472024</v>
      </c>
      <c r="S46" s="346">
        <f t="shared" si="16"/>
        <v>86.087491340527976</v>
      </c>
      <c r="U46" s="319">
        <f t="shared" si="23"/>
        <v>1000000000</v>
      </c>
      <c r="V46" s="319">
        <f t="shared" si="24"/>
        <v>436.51744900000006</v>
      </c>
      <c r="X46" s="345">
        <f t="shared" si="17"/>
        <v>60.943555007883305</v>
      </c>
      <c r="Y46" s="346">
        <f t="shared" si="18"/>
        <v>-87.224479587280186</v>
      </c>
      <c r="AA46" s="345">
        <f t="shared" si="19"/>
        <v>47.709699242760323</v>
      </c>
      <c r="AB46" s="346">
        <f t="shared" si="20"/>
        <v>-6.6880290721918279</v>
      </c>
      <c r="AD46">
        <f t="shared" si="25"/>
        <v>0</v>
      </c>
      <c r="AE46">
        <f t="shared" si="21"/>
        <v>0</v>
      </c>
    </row>
    <row r="47" spans="1:31" x14ac:dyDescent="0.2">
      <c r="A47" s="347">
        <v>22.909000000000002</v>
      </c>
      <c r="B47" s="364">
        <f t="shared" si="22"/>
        <v>2.2909000000000002E-2</v>
      </c>
      <c r="C47" s="337">
        <f t="shared" si="0"/>
        <v>1.0082350039518277</v>
      </c>
      <c r="D47" s="338">
        <f t="shared" si="1"/>
        <v>0.12789750201056285</v>
      </c>
      <c r="E47" s="338">
        <f t="shared" si="2"/>
        <v>1.0000000016575321</v>
      </c>
      <c r="F47" s="339">
        <f t="shared" si="3"/>
        <v>5.7576596751456632E-5</v>
      </c>
      <c r="G47" s="338">
        <f t="shared" si="4"/>
        <v>1</v>
      </c>
      <c r="H47" s="339">
        <f t="shared" si="5"/>
        <v>0</v>
      </c>
      <c r="I47" s="337">
        <f t="shared" si="6"/>
        <v>75.584408551194116</v>
      </c>
      <c r="J47" s="340">
        <f t="shared" si="7"/>
        <v>1.5575656990148687</v>
      </c>
      <c r="K47" s="348">
        <f t="shared" si="8"/>
        <v>1.000695333111947</v>
      </c>
      <c r="L47" s="349">
        <f t="shared" si="9"/>
        <v>3.7280838083041973E-2</v>
      </c>
      <c r="M47" s="337">
        <f t="shared" si="10"/>
        <v>1.000000002770842</v>
      </c>
      <c r="N47" s="340">
        <f t="shared" si="11"/>
        <v>7.4442487346400977E-5</v>
      </c>
      <c r="O47" s="341">
        <f t="shared" si="12"/>
        <v>0.99999999475841983</v>
      </c>
      <c r="P47" s="342">
        <f t="shared" si="13"/>
        <v>3.4344680616073824E-5</v>
      </c>
      <c r="Q47" s="343">
        <f t="shared" si="14"/>
        <v>59.094445562479194</v>
      </c>
      <c r="R47" s="344">
        <f t="shared" si="15"/>
        <v>-94.436827522004833</v>
      </c>
      <c r="S47" s="346">
        <f t="shared" si="16"/>
        <v>85.563172477995167</v>
      </c>
      <c r="U47" s="319">
        <f t="shared" si="23"/>
        <v>1000000000</v>
      </c>
      <c r="V47" s="319">
        <f t="shared" si="24"/>
        <v>524.82228100000009</v>
      </c>
      <c r="X47" s="345">
        <f t="shared" si="17"/>
        <v>60.144617483130091</v>
      </c>
      <c r="Y47" s="346">
        <f t="shared" si="18"/>
        <v>-87.11017152890625</v>
      </c>
      <c r="AA47" s="345">
        <f t="shared" si="19"/>
        <v>47.697794883298748</v>
      </c>
      <c r="AB47" s="346">
        <f t="shared" si="20"/>
        <v>-7.3266559930985782</v>
      </c>
      <c r="AD47">
        <f t="shared" si="25"/>
        <v>0</v>
      </c>
      <c r="AE47">
        <f t="shared" si="21"/>
        <v>0</v>
      </c>
    </row>
    <row r="48" spans="1:31" x14ac:dyDescent="0.2">
      <c r="A48" s="347">
        <v>25.119</v>
      </c>
      <c r="B48" s="364">
        <f t="shared" si="22"/>
        <v>2.5118999999999999E-2</v>
      </c>
      <c r="C48" s="337">
        <f t="shared" si="0"/>
        <v>1.0098923160251061</v>
      </c>
      <c r="D48" s="338">
        <f t="shared" si="1"/>
        <v>0.14008176376568016</v>
      </c>
      <c r="E48" s="338">
        <f t="shared" si="2"/>
        <v>1.0000000019927573</v>
      </c>
      <c r="F48" s="339">
        <f t="shared" si="3"/>
        <v>6.3130932536410261E-5</v>
      </c>
      <c r="G48" s="338">
        <f t="shared" si="4"/>
        <v>1</v>
      </c>
      <c r="H48" s="339">
        <f t="shared" si="5"/>
        <v>0</v>
      </c>
      <c r="I48" s="337">
        <f t="shared" si="6"/>
        <v>82.874713238960268</v>
      </c>
      <c r="J48" s="340">
        <f t="shared" si="7"/>
        <v>1.5587296272086355</v>
      </c>
      <c r="K48" s="348">
        <f t="shared" si="8"/>
        <v>1.0008359009643331</v>
      </c>
      <c r="L48" s="349">
        <f t="shared" si="9"/>
        <v>4.0873441352974355E-2</v>
      </c>
      <c r="M48" s="337">
        <f t="shared" si="10"/>
        <v>1.0000000033312266</v>
      </c>
      <c r="N48" s="340">
        <f t="shared" si="11"/>
        <v>8.1623852588749506E-5</v>
      </c>
      <c r="O48" s="341">
        <f t="shared" si="12"/>
        <v>0.99999999369834447</v>
      </c>
      <c r="P48" s="342">
        <f t="shared" si="13"/>
        <v>3.765786517717885E-5</v>
      </c>
      <c r="Q48" s="343">
        <f t="shared" si="14"/>
        <v>58.281603268775335</v>
      </c>
      <c r="R48" s="344">
        <f t="shared" si="15"/>
        <v>-94.996064519434981</v>
      </c>
      <c r="S48" s="346">
        <f t="shared" si="16"/>
        <v>85.003935480565019</v>
      </c>
      <c r="U48" s="319">
        <f t="shared" si="23"/>
        <v>1000000000</v>
      </c>
      <c r="V48" s="319">
        <f t="shared" si="24"/>
        <v>630.96416099999999</v>
      </c>
      <c r="X48" s="345">
        <f t="shared" si="17"/>
        <v>59.34604110875506</v>
      </c>
      <c r="Y48" s="346">
        <f t="shared" si="18"/>
        <v>-86.971430158994337</v>
      </c>
      <c r="AA48" s="345">
        <f t="shared" si="19"/>
        <v>47.683528963969913</v>
      </c>
      <c r="AB48" s="346">
        <f t="shared" si="20"/>
        <v>-8.0246343604406398</v>
      </c>
      <c r="AD48">
        <f t="shared" si="25"/>
        <v>0</v>
      </c>
      <c r="AE48">
        <f t="shared" si="21"/>
        <v>0</v>
      </c>
    </row>
    <row r="49" spans="1:31" x14ac:dyDescent="0.2">
      <c r="A49" s="347">
        <v>27.542000000000002</v>
      </c>
      <c r="B49" s="364">
        <f t="shared" si="22"/>
        <v>2.7542000000000001E-2</v>
      </c>
      <c r="C49" s="337">
        <f t="shared" si="0"/>
        <v>1.0118810474010682</v>
      </c>
      <c r="D49" s="338">
        <f t="shared" si="1"/>
        <v>0.15339227538342876</v>
      </c>
      <c r="E49" s="338">
        <f t="shared" si="2"/>
        <v>1.0000000023957454</v>
      </c>
      <c r="F49" s="339">
        <f t="shared" si="3"/>
        <v>6.9220595702483386E-5</v>
      </c>
      <c r="G49" s="338">
        <f t="shared" si="4"/>
        <v>1</v>
      </c>
      <c r="H49" s="339">
        <f t="shared" si="5"/>
        <v>0</v>
      </c>
      <c r="I49" s="337">
        <f t="shared" si="6"/>
        <v>90.867765476614096</v>
      </c>
      <c r="J49" s="340">
        <f t="shared" si="7"/>
        <v>1.5597911019952242</v>
      </c>
      <c r="K49" s="348">
        <f t="shared" si="8"/>
        <v>1.0010048573436978</v>
      </c>
      <c r="L49" s="349">
        <f t="shared" si="9"/>
        <v>4.4811083807988379E-2</v>
      </c>
      <c r="M49" s="337">
        <f t="shared" si="10"/>
        <v>1.0000000040048886</v>
      </c>
      <c r="N49" s="340">
        <f t="shared" si="11"/>
        <v>8.9497358453350322E-5</v>
      </c>
      <c r="O49" s="341">
        <f t="shared" si="12"/>
        <v>0.99999999242398352</v>
      </c>
      <c r="P49" s="342">
        <f t="shared" si="13"/>
        <v>4.1290374779297195E-5</v>
      </c>
      <c r="Q49" s="343">
        <f t="shared" si="14"/>
        <v>57.466225392049218</v>
      </c>
      <c r="R49" s="344">
        <f t="shared" si="15"/>
        <v>-95.594218724529739</v>
      </c>
      <c r="S49" s="346">
        <f t="shared" si="16"/>
        <v>84.405781275470261</v>
      </c>
      <c r="U49" s="319">
        <f t="shared" si="23"/>
        <v>1000000000</v>
      </c>
      <c r="V49" s="319">
        <f t="shared" si="24"/>
        <v>758.56176400000004</v>
      </c>
      <c r="X49" s="345">
        <f t="shared" si="17"/>
        <v>58.5477510940092</v>
      </c>
      <c r="Y49" s="346">
        <f t="shared" si="18"/>
        <v>-86.807089008889804</v>
      </c>
      <c r="AA49" s="345">
        <f t="shared" si="19"/>
        <v>47.666441101989662</v>
      </c>
      <c r="AB49" s="346">
        <f t="shared" si="20"/>
        <v>-8.7871297156399297</v>
      </c>
      <c r="AD49">
        <f t="shared" si="25"/>
        <v>0</v>
      </c>
      <c r="AE49">
        <f t="shared" si="21"/>
        <v>0</v>
      </c>
    </row>
    <row r="50" spans="1:31" x14ac:dyDescent="0.2">
      <c r="A50" s="347">
        <v>30.2</v>
      </c>
      <c r="B50" s="364">
        <f t="shared" si="22"/>
        <v>3.0199999999999998E-2</v>
      </c>
      <c r="C50" s="337">
        <f t="shared" si="0"/>
        <v>1.0142679873445055</v>
      </c>
      <c r="D50" s="338">
        <f t="shared" si="1"/>
        <v>0.16793082678378549</v>
      </c>
      <c r="E50" s="338">
        <f t="shared" si="2"/>
        <v>1.0000000028804716</v>
      </c>
      <c r="F50" s="339">
        <f t="shared" si="3"/>
        <v>7.5900878278246451E-5</v>
      </c>
      <c r="G50" s="338">
        <f t="shared" si="4"/>
        <v>1</v>
      </c>
      <c r="H50" s="339">
        <f t="shared" si="5"/>
        <v>0</v>
      </c>
      <c r="I50" s="337">
        <f t="shared" si="6"/>
        <v>99.636139467177557</v>
      </c>
      <c r="J50" s="340">
        <f t="shared" si="7"/>
        <v>1.5607596393567087</v>
      </c>
      <c r="K50" s="348">
        <f t="shared" si="8"/>
        <v>1.0012080453874139</v>
      </c>
      <c r="L50" s="349">
        <f t="shared" si="9"/>
        <v>4.9129023907735603E-2</v>
      </c>
      <c r="M50" s="337">
        <f t="shared" si="10"/>
        <v>1.0000000048151894</v>
      </c>
      <c r="N50" s="340">
        <f t="shared" si="11"/>
        <v>9.81344936399359E-5</v>
      </c>
      <c r="O50" s="341">
        <f t="shared" si="12"/>
        <v>0.99999999089114366</v>
      </c>
      <c r="P50" s="342">
        <f t="shared" si="13"/>
        <v>4.5275191355670231E-5</v>
      </c>
      <c r="Q50" s="343">
        <f t="shared" si="14"/>
        <v>56.647382318020931</v>
      </c>
      <c r="R50" s="344">
        <f t="shared" si="15"/>
        <v>-96.235650152512832</v>
      </c>
      <c r="S50" s="346">
        <f t="shared" si="16"/>
        <v>83.764349847487168</v>
      </c>
      <c r="U50" s="319">
        <f t="shared" si="23"/>
        <v>1000000000</v>
      </c>
      <c r="V50" s="319">
        <f t="shared" si="24"/>
        <v>912.04</v>
      </c>
      <c r="X50" s="345">
        <f t="shared" si="17"/>
        <v>57.749373137209325</v>
      </c>
      <c r="Y50" s="346">
        <f t="shared" si="18"/>
        <v>-86.615677239272358</v>
      </c>
      <c r="AA50" s="345">
        <f t="shared" si="19"/>
        <v>47.64597598476125</v>
      </c>
      <c r="AB50" s="346">
        <f t="shared" si="20"/>
        <v>-9.6199729132404599</v>
      </c>
      <c r="AD50">
        <f t="shared" si="25"/>
        <v>0</v>
      </c>
      <c r="AE50">
        <f t="shared" si="21"/>
        <v>0</v>
      </c>
    </row>
    <row r="51" spans="1:31" x14ac:dyDescent="0.2">
      <c r="A51" s="347">
        <v>33.113</v>
      </c>
      <c r="B51" s="364">
        <f t="shared" si="22"/>
        <v>3.3112999999999997E-2</v>
      </c>
      <c r="C51" s="337">
        <f t="shared" si="0"/>
        <v>1.0171289004977562</v>
      </c>
      <c r="D51" s="338">
        <f t="shared" si="1"/>
        <v>0.18378205792813598</v>
      </c>
      <c r="E51" s="338">
        <f t="shared" si="2"/>
        <v>1.0000000034629544</v>
      </c>
      <c r="F51" s="339">
        <f t="shared" si="3"/>
        <v>8.3222045743430566E-5</v>
      </c>
      <c r="G51" s="338">
        <f t="shared" si="4"/>
        <v>1</v>
      </c>
      <c r="H51" s="339">
        <f t="shared" si="5"/>
        <v>0</v>
      </c>
      <c r="I51" s="337">
        <f t="shared" si="6"/>
        <v>109.24581243915797</v>
      </c>
      <c r="J51" s="340">
        <f t="shared" si="7"/>
        <v>1.5616425300209835</v>
      </c>
      <c r="K51" s="348">
        <f t="shared" si="8"/>
        <v>1.0014521565929442</v>
      </c>
      <c r="L51" s="349">
        <f t="shared" si="9"/>
        <v>5.3859102644177856E-2</v>
      </c>
      <c r="M51" s="337">
        <f t="shared" si="10"/>
        <v>1.0000000057889067</v>
      </c>
      <c r="N51" s="340">
        <f t="shared" si="11"/>
        <v>1.0760024787383389E-4</v>
      </c>
      <c r="O51" s="341">
        <f t="shared" si="12"/>
        <v>0.99999998904917031</v>
      </c>
      <c r="P51" s="342">
        <f t="shared" si="13"/>
        <v>4.9642298484283544E-5</v>
      </c>
      <c r="Q51" s="343">
        <f t="shared" si="14"/>
        <v>55.82527617737852</v>
      </c>
      <c r="R51" s="344">
        <f t="shared" si="15"/>
        <v>-96.923804251006288</v>
      </c>
      <c r="S51" s="346">
        <f t="shared" si="16"/>
        <v>83.076195748993712</v>
      </c>
      <c r="U51" s="319">
        <f t="shared" si="23"/>
        <v>1000000000</v>
      </c>
      <c r="V51" s="319">
        <f t="shared" si="24"/>
        <v>1096.470769</v>
      </c>
      <c r="X51" s="345">
        <f t="shared" si="17"/>
        <v>56.951732497230097</v>
      </c>
      <c r="Y51" s="346">
        <f t="shared" si="18"/>
        <v>-86.395791947260349</v>
      </c>
      <c r="AA51" s="345">
        <f t="shared" si="19"/>
        <v>47.621510484098067</v>
      </c>
      <c r="AB51" s="346">
        <f t="shared" si="20"/>
        <v>-10.528012303745944</v>
      </c>
      <c r="AD51">
        <f t="shared" si="25"/>
        <v>0</v>
      </c>
      <c r="AE51">
        <f t="shared" si="21"/>
        <v>0</v>
      </c>
    </row>
    <row r="52" spans="1:31" x14ac:dyDescent="0.2">
      <c r="A52" s="347">
        <v>36.308</v>
      </c>
      <c r="B52" s="364">
        <f t="shared" si="22"/>
        <v>3.6308E-2</v>
      </c>
      <c r="C52" s="337">
        <f t="shared" si="0"/>
        <v>1.0205588692939656</v>
      </c>
      <c r="D52" s="338">
        <f t="shared" si="1"/>
        <v>0.20106077355318994</v>
      </c>
      <c r="E52" s="338">
        <f t="shared" si="2"/>
        <v>1.0000000041634598</v>
      </c>
      <c r="F52" s="339">
        <f t="shared" si="3"/>
        <v>9.1251956495677432E-5</v>
      </c>
      <c r="G52" s="338">
        <f t="shared" si="4"/>
        <v>1</v>
      </c>
      <c r="H52" s="339">
        <f t="shared" si="5"/>
        <v>0</v>
      </c>
      <c r="I52" s="337">
        <f t="shared" si="6"/>
        <v>119.78585446051527</v>
      </c>
      <c r="J52" s="340">
        <f t="shared" si="7"/>
        <v>1.5624479986858562</v>
      </c>
      <c r="K52" s="348">
        <f t="shared" si="8"/>
        <v>1.0017456507755085</v>
      </c>
      <c r="L52" s="349">
        <f t="shared" si="9"/>
        <v>5.9044307747271658E-2</v>
      </c>
      <c r="M52" s="337">
        <f t="shared" si="10"/>
        <v>1.0000000069599184</v>
      </c>
      <c r="N52" s="340">
        <f t="shared" si="11"/>
        <v>1.179823572842467E-4</v>
      </c>
      <c r="O52" s="341">
        <f t="shared" si="12"/>
        <v>0.99999998683397673</v>
      </c>
      <c r="P52" s="342">
        <f t="shared" si="13"/>
        <v>5.4432173995403965E-5</v>
      </c>
      <c r="Q52" s="343">
        <f t="shared" si="14"/>
        <v>54.998565315728733</v>
      </c>
      <c r="R52" s="344">
        <f t="shared" si="15"/>
        <v>-97.66327052999074</v>
      </c>
      <c r="S52" s="346">
        <f t="shared" si="16"/>
        <v>82.33672947000926</v>
      </c>
      <c r="U52" s="319">
        <f t="shared" si="23"/>
        <v>1000000000</v>
      </c>
      <c r="V52" s="319">
        <f t="shared" si="24"/>
        <v>1318.2708640000001</v>
      </c>
      <c r="X52" s="345">
        <f t="shared" si="17"/>
        <v>56.154262948408103</v>
      </c>
      <c r="Y52" s="346">
        <f t="shared" si="18"/>
        <v>-86.145446384736204</v>
      </c>
      <c r="AA52" s="345">
        <f t="shared" si="19"/>
        <v>47.59226917127026</v>
      </c>
      <c r="AB52" s="346">
        <f t="shared" si="20"/>
        <v>-11.51782414525452</v>
      </c>
      <c r="AD52">
        <f t="shared" si="25"/>
        <v>0</v>
      </c>
      <c r="AE52">
        <f t="shared" si="21"/>
        <v>0</v>
      </c>
    </row>
    <row r="53" spans="1:31" x14ac:dyDescent="0.2">
      <c r="A53" s="347">
        <v>39.811</v>
      </c>
      <c r="B53" s="364">
        <f t="shared" si="22"/>
        <v>3.9810999999999999E-2</v>
      </c>
      <c r="C53" s="337">
        <f t="shared" si="0"/>
        <v>1.0246671299150696</v>
      </c>
      <c r="D53" s="338">
        <f t="shared" si="1"/>
        <v>0.21986597146884782</v>
      </c>
      <c r="E53" s="338">
        <f t="shared" si="2"/>
        <v>1.000000005005597</v>
      </c>
      <c r="F53" s="339">
        <f t="shared" si="3"/>
        <v>1.000559556574268E-4</v>
      </c>
      <c r="G53" s="338">
        <f t="shared" si="4"/>
        <v>1</v>
      </c>
      <c r="H53" s="339">
        <f t="shared" si="5"/>
        <v>0</v>
      </c>
      <c r="I53" s="337">
        <f t="shared" si="6"/>
        <v>131.34203741837476</v>
      </c>
      <c r="J53" s="340">
        <f t="shared" si="7"/>
        <v>1.5631825446324268</v>
      </c>
      <c r="K53" s="348">
        <f t="shared" si="8"/>
        <v>1.0020983714399219</v>
      </c>
      <c r="L53" s="349">
        <f t="shared" si="9"/>
        <v>6.4725708895037357E-2</v>
      </c>
      <c r="M53" s="337">
        <f t="shared" si="10"/>
        <v>1.0000000083676917</v>
      </c>
      <c r="N53" s="340">
        <f t="shared" si="11"/>
        <v>1.293653085114835E-4</v>
      </c>
      <c r="O53" s="341">
        <f t="shared" si="12"/>
        <v>0.99999998417090308</v>
      </c>
      <c r="P53" s="342">
        <f t="shared" si="13"/>
        <v>5.9683796543966919E-5</v>
      </c>
      <c r="Q53" s="343">
        <f t="shared" si="14"/>
        <v>54.166764005490478</v>
      </c>
      <c r="R53" s="344">
        <f t="shared" si="15"/>
        <v>-98.457743738359682</v>
      </c>
      <c r="S53" s="346">
        <f t="shared" si="16"/>
        <v>81.542256261640318</v>
      </c>
      <c r="U53" s="319">
        <f t="shared" si="23"/>
        <v>1000000000</v>
      </c>
      <c r="V53" s="319">
        <f t="shared" si="24"/>
        <v>1584.9157210000001</v>
      </c>
      <c r="X53" s="345">
        <f t="shared" si="17"/>
        <v>55.357356476425004</v>
      </c>
      <c r="Y53" s="346">
        <f t="shared" si="18"/>
        <v>-85.862664654585998</v>
      </c>
      <c r="AA53" s="345">
        <f t="shared" si="19"/>
        <v>47.557374333015119</v>
      </c>
      <c r="AB53" s="346">
        <f t="shared" si="20"/>
        <v>-12.595079083773697</v>
      </c>
      <c r="AD53">
        <f t="shared" si="25"/>
        <v>0</v>
      </c>
      <c r="AE53">
        <f t="shared" si="21"/>
        <v>0</v>
      </c>
    </row>
    <row r="54" spans="1:31" x14ac:dyDescent="0.2">
      <c r="A54" s="347">
        <v>43.652000000000001</v>
      </c>
      <c r="B54" s="364">
        <f t="shared" si="22"/>
        <v>4.3652000000000003E-2</v>
      </c>
      <c r="C54" s="337">
        <f t="shared" si="0"/>
        <v>1.029584701553802</v>
      </c>
      <c r="D54" s="338">
        <f t="shared" si="1"/>
        <v>0.2403051153274246</v>
      </c>
      <c r="E54" s="338">
        <f t="shared" si="2"/>
        <v>1.0000000060180807</v>
      </c>
      <c r="F54" s="339">
        <f t="shared" si="3"/>
        <v>1.0970944144607983E-4</v>
      </c>
      <c r="G54" s="338">
        <f t="shared" si="4"/>
        <v>1</v>
      </c>
      <c r="H54" s="339">
        <f t="shared" si="5"/>
        <v>0</v>
      </c>
      <c r="I54" s="337">
        <f t="shared" si="6"/>
        <v>144.01332947389542</v>
      </c>
      <c r="J54" s="340">
        <f t="shared" si="7"/>
        <v>1.5638524693069042</v>
      </c>
      <c r="K54" s="348">
        <f t="shared" si="8"/>
        <v>1.0025222756254386</v>
      </c>
      <c r="L54" s="349">
        <f t="shared" si="9"/>
        <v>7.0950482017687236E-2</v>
      </c>
      <c r="M54" s="337">
        <f t="shared" si="10"/>
        <v>1.0000000100602271</v>
      </c>
      <c r="N54" s="340">
        <f t="shared" si="11"/>
        <v>1.4184658613879039E-4</v>
      </c>
      <c r="O54" s="341">
        <f t="shared" si="12"/>
        <v>0.99999998096914688</v>
      </c>
      <c r="P54" s="342">
        <f t="shared" si="13"/>
        <v>6.5442141503395984E-5</v>
      </c>
      <c r="Q54" s="343">
        <f t="shared" si="14"/>
        <v>53.328873162001429</v>
      </c>
      <c r="R54" s="344">
        <f t="shared" si="15"/>
        <v>-99.311042996777687</v>
      </c>
      <c r="S54" s="346">
        <f t="shared" si="16"/>
        <v>80.688957003222313</v>
      </c>
      <c r="U54" s="319">
        <f t="shared" si="23"/>
        <v>1000000000</v>
      </c>
      <c r="V54" s="319">
        <f t="shared" si="24"/>
        <v>1905.497104</v>
      </c>
      <c r="X54" s="345">
        <f t="shared" si="17"/>
        <v>54.561051117130319</v>
      </c>
      <c r="Y54" s="346">
        <f t="shared" si="18"/>
        <v>-85.545110406839029</v>
      </c>
      <c r="AA54" s="345">
        <f t="shared" si="19"/>
        <v>47.515788848820755</v>
      </c>
      <c r="AB54" s="346">
        <f t="shared" si="20"/>
        <v>-13.765932589938654</v>
      </c>
      <c r="AD54">
        <f t="shared" si="25"/>
        <v>0</v>
      </c>
      <c r="AE54">
        <f t="shared" si="21"/>
        <v>0</v>
      </c>
    </row>
    <row r="55" spans="1:31" x14ac:dyDescent="0.2">
      <c r="A55" s="347">
        <v>47.863</v>
      </c>
      <c r="B55" s="364">
        <f t="shared" si="22"/>
        <v>4.7863000000000003E-2</v>
      </c>
      <c r="C55" s="337">
        <f t="shared" si="0"/>
        <v>1.0354651853538928</v>
      </c>
      <c r="D55" s="338">
        <f t="shared" si="1"/>
        <v>0.26247974068660795</v>
      </c>
      <c r="E55" s="338">
        <f t="shared" si="2"/>
        <v>1.0000000072351836</v>
      </c>
      <c r="F55" s="339">
        <f t="shared" si="3"/>
        <v>1.2029283862533283E-4</v>
      </c>
      <c r="G55" s="338">
        <f t="shared" si="4"/>
        <v>1</v>
      </c>
      <c r="H55" s="339">
        <f t="shared" si="5"/>
        <v>0</v>
      </c>
      <c r="I55" s="337">
        <f t="shared" si="6"/>
        <v>157.90529722556749</v>
      </c>
      <c r="J55" s="340">
        <f t="shared" si="7"/>
        <v>1.564463374690173</v>
      </c>
      <c r="K55" s="348">
        <f t="shared" si="8"/>
        <v>1.0030316121206424</v>
      </c>
      <c r="L55" s="349">
        <f t="shared" si="9"/>
        <v>7.7768541049553677E-2</v>
      </c>
      <c r="M55" s="337">
        <f t="shared" si="10"/>
        <v>1.0000000120948176</v>
      </c>
      <c r="N55" s="340">
        <f t="shared" si="11"/>
        <v>1.555301737183197E-4</v>
      </c>
      <c r="O55" s="341">
        <f t="shared" si="12"/>
        <v>0.99999997712032784</v>
      </c>
      <c r="P55" s="342">
        <f t="shared" si="13"/>
        <v>7.1755182609839E-5</v>
      </c>
      <c r="Q55" s="343">
        <f t="shared" si="14"/>
        <v>52.483936395356722</v>
      </c>
      <c r="R55" s="344">
        <f t="shared" si="15"/>
        <v>-100.22645107477172</v>
      </c>
      <c r="S55" s="346">
        <f t="shared" si="16"/>
        <v>79.773548925228283</v>
      </c>
      <c r="U55" s="319">
        <f t="shared" si="23"/>
        <v>1000000000</v>
      </c>
      <c r="V55" s="319">
        <f t="shared" si="24"/>
        <v>2290.8667689999997</v>
      </c>
      <c r="X55" s="345">
        <f t="shared" si="17"/>
        <v>53.765582720483209</v>
      </c>
      <c r="Y55" s="346">
        <f t="shared" si="18"/>
        <v>-85.190250711396573</v>
      </c>
      <c r="AA55" s="345">
        <f t="shared" si="19"/>
        <v>47.466320478823157</v>
      </c>
      <c r="AB55" s="346">
        <f t="shared" si="20"/>
        <v>-15.036200363375128</v>
      </c>
      <c r="AD55">
        <f t="shared" si="25"/>
        <v>0</v>
      </c>
      <c r="AE55">
        <f t="shared" si="21"/>
        <v>0</v>
      </c>
    </row>
    <row r="56" spans="1:31" x14ac:dyDescent="0.2">
      <c r="A56" s="347">
        <v>52.481000000000002</v>
      </c>
      <c r="B56" s="364">
        <f t="shared" si="22"/>
        <v>5.2481E-2</v>
      </c>
      <c r="C56" s="337">
        <f t="shared" si="0"/>
        <v>1.0424922632521247</v>
      </c>
      <c r="D56" s="338">
        <f t="shared" si="1"/>
        <v>0.28649683032561829</v>
      </c>
      <c r="E56" s="338">
        <f t="shared" si="2"/>
        <v>1.0000000086986913</v>
      </c>
      <c r="F56" s="339">
        <f t="shared" si="3"/>
        <v>1.3189913832682007E-4</v>
      </c>
      <c r="G56" s="338">
        <f t="shared" si="4"/>
        <v>1</v>
      </c>
      <c r="H56" s="339">
        <f t="shared" si="5"/>
        <v>0</v>
      </c>
      <c r="I56" s="337">
        <f t="shared" si="6"/>
        <v>173.14000261111349</v>
      </c>
      <c r="J56" s="340">
        <f t="shared" si="7"/>
        <v>1.5650206219044316</v>
      </c>
      <c r="K56" s="348">
        <f t="shared" si="8"/>
        <v>1.0036437226230277</v>
      </c>
      <c r="L56" s="349">
        <f t="shared" si="9"/>
        <v>8.5237233491565687E-2</v>
      </c>
      <c r="M56" s="337">
        <f t="shared" si="10"/>
        <v>1.0000000145413155</v>
      </c>
      <c r="N56" s="340">
        <f t="shared" si="11"/>
        <v>1.7053630222924407E-4</v>
      </c>
      <c r="O56" s="341">
        <f t="shared" si="12"/>
        <v>0.99999997249230699</v>
      </c>
      <c r="P56" s="342">
        <f t="shared" si="13"/>
        <v>7.8678389499796356E-5</v>
      </c>
      <c r="Q56" s="343">
        <f t="shared" si="14"/>
        <v>51.630474278524787</v>
      </c>
      <c r="R56" s="344">
        <f t="shared" si="15"/>
        <v>-101.20712377288619</v>
      </c>
      <c r="S56" s="346">
        <f t="shared" si="16"/>
        <v>78.792876227113808</v>
      </c>
      <c r="U56" s="319">
        <f t="shared" si="23"/>
        <v>1000000000</v>
      </c>
      <c r="V56" s="319">
        <f t="shared" si="24"/>
        <v>2754.255361</v>
      </c>
      <c r="X56" s="345">
        <f t="shared" si="17"/>
        <v>52.970867331928993</v>
      </c>
      <c r="Y56" s="346">
        <f t="shared" si="18"/>
        <v>-84.795113856889472</v>
      </c>
      <c r="AA56" s="345">
        <f t="shared" si="19"/>
        <v>47.407573750545431</v>
      </c>
      <c r="AB56" s="346">
        <f t="shared" si="20"/>
        <v>-16.412009915996723</v>
      </c>
      <c r="AD56">
        <f t="shared" si="25"/>
        <v>0</v>
      </c>
      <c r="AE56">
        <f t="shared" si="21"/>
        <v>0</v>
      </c>
    </row>
    <row r="57" spans="1:31" x14ac:dyDescent="0.2">
      <c r="A57" s="347">
        <v>57.544000000000004</v>
      </c>
      <c r="B57" s="364">
        <f t="shared" si="22"/>
        <v>5.7544000000000005E-2</v>
      </c>
      <c r="C57" s="337">
        <f t="shared" si="0"/>
        <v>1.0508775790171005</v>
      </c>
      <c r="D57" s="338">
        <f t="shared" si="1"/>
        <v>0.31244249063823798</v>
      </c>
      <c r="E57" s="338">
        <f t="shared" si="2"/>
        <v>1.0000000104580284</v>
      </c>
      <c r="F57" s="339">
        <f t="shared" si="3"/>
        <v>1.4462384495295984E-4</v>
      </c>
      <c r="G57" s="338">
        <f t="shared" si="4"/>
        <v>1</v>
      </c>
      <c r="H57" s="339">
        <f t="shared" si="5"/>
        <v>0</v>
      </c>
      <c r="I57" s="337">
        <f t="shared" si="6"/>
        <v>189.84280700482134</v>
      </c>
      <c r="J57" s="340">
        <f t="shared" si="7"/>
        <v>1.5655287865583773</v>
      </c>
      <c r="K57" s="348">
        <f t="shared" si="8"/>
        <v>1.0043790695339709</v>
      </c>
      <c r="L57" s="349">
        <f t="shared" si="9"/>
        <v>9.3414654244686451E-2</v>
      </c>
      <c r="M57" s="337">
        <f t="shared" si="10"/>
        <v>1.0000000174823409</v>
      </c>
      <c r="N57" s="340">
        <f t="shared" si="11"/>
        <v>1.8698845213008065E-4</v>
      </c>
      <c r="O57" s="341">
        <f t="shared" si="12"/>
        <v>0.99999996692879201</v>
      </c>
      <c r="P57" s="342">
        <f t="shared" si="13"/>
        <v>8.6268730998069037E-5</v>
      </c>
      <c r="Q57" s="343">
        <f t="shared" si="14"/>
        <v>50.767315687084043</v>
      </c>
      <c r="R57" s="344">
        <f t="shared" si="15"/>
        <v>-102.25493306148991</v>
      </c>
      <c r="S57" s="346">
        <f t="shared" si="16"/>
        <v>77.745066938510092</v>
      </c>
      <c r="U57" s="319">
        <f t="shared" si="23"/>
        <v>1000000000</v>
      </c>
      <c r="V57" s="319">
        <f t="shared" si="24"/>
        <v>3311.3119360000005</v>
      </c>
      <c r="X57" s="345">
        <f t="shared" si="17"/>
        <v>52.177294390209255</v>
      </c>
      <c r="Y57" s="346">
        <f t="shared" si="18"/>
        <v>-84.35664048865398</v>
      </c>
      <c r="AA57" s="345">
        <f t="shared" si="19"/>
        <v>47.337988100824433</v>
      </c>
      <c r="AB57" s="346">
        <f t="shared" si="20"/>
        <v>-17.898292572835931</v>
      </c>
      <c r="AD57">
        <f t="shared" si="25"/>
        <v>0</v>
      </c>
      <c r="AE57">
        <f t="shared" si="21"/>
        <v>0</v>
      </c>
    </row>
    <row r="58" spans="1:31" x14ac:dyDescent="0.2">
      <c r="A58" s="347">
        <v>63.095999999999997</v>
      </c>
      <c r="B58" s="364">
        <f t="shared" si="22"/>
        <v>6.3095999999999999E-2</v>
      </c>
      <c r="C58" s="337">
        <f t="shared" si="0"/>
        <v>1.0608721560056185</v>
      </c>
      <c r="D58" s="338">
        <f t="shared" si="1"/>
        <v>0.34040163677936264</v>
      </c>
      <c r="E58" s="338">
        <f t="shared" si="2"/>
        <v>1.0000000125734188</v>
      </c>
      <c r="F58" s="339">
        <f t="shared" si="3"/>
        <v>1.5857754254627879E-4</v>
      </c>
      <c r="G58" s="338">
        <f t="shared" si="4"/>
        <v>1</v>
      </c>
      <c r="H58" s="339">
        <f t="shared" si="5"/>
        <v>0</v>
      </c>
      <c r="I58" s="337">
        <f t="shared" si="6"/>
        <v>208.1588661230106</v>
      </c>
      <c r="J58" s="340">
        <f t="shared" si="7"/>
        <v>1.565992285222684</v>
      </c>
      <c r="K58" s="348">
        <f t="shared" si="8"/>
        <v>1.0052625232078882</v>
      </c>
      <c r="L58" s="349">
        <f t="shared" si="9"/>
        <v>0.10236745493233923</v>
      </c>
      <c r="M58" s="337">
        <f t="shared" si="10"/>
        <v>1.0000000210185691</v>
      </c>
      <c r="N58" s="340">
        <f t="shared" si="11"/>
        <v>2.050296007887083E-4</v>
      </c>
      <c r="O58" s="341">
        <f t="shared" si="12"/>
        <v>0.99999996023933679</v>
      </c>
      <c r="P58" s="342">
        <f t="shared" si="13"/>
        <v>9.4592171014040987E-5</v>
      </c>
      <c r="Q58" s="343">
        <f t="shared" si="14"/>
        <v>49.892718668937221</v>
      </c>
      <c r="R58" s="344">
        <f t="shared" si="15"/>
        <v>-103.37118405017068</v>
      </c>
      <c r="S58" s="346">
        <f t="shared" si="16"/>
        <v>76.628815949829317</v>
      </c>
      <c r="U58" s="319">
        <f t="shared" si="23"/>
        <v>1000000000</v>
      </c>
      <c r="V58" s="319">
        <f t="shared" si="24"/>
        <v>3981.1052159999995</v>
      </c>
      <c r="X58" s="345">
        <f t="shared" si="17"/>
        <v>51.384915789053693</v>
      </c>
      <c r="Y58" s="346">
        <f t="shared" si="18"/>
        <v>-83.871272992825467</v>
      </c>
      <c r="AA58" s="345">
        <f t="shared" si="19"/>
        <v>47.255769683833165</v>
      </c>
      <c r="AB58" s="346">
        <f t="shared" si="20"/>
        <v>-19.499911057345219</v>
      </c>
      <c r="AD58">
        <f t="shared" si="25"/>
        <v>0</v>
      </c>
      <c r="AE58">
        <f t="shared" si="21"/>
        <v>0</v>
      </c>
    </row>
    <row r="59" spans="1:31" x14ac:dyDescent="0.2">
      <c r="A59" s="347">
        <v>69.183000000000007</v>
      </c>
      <c r="B59" s="364">
        <f t="shared" si="22"/>
        <v>6.9183000000000008E-2</v>
      </c>
      <c r="C59" s="337">
        <f t="shared" si="0"/>
        <v>1.0727637472948</v>
      </c>
      <c r="D59" s="338">
        <f t="shared" si="1"/>
        <v>0.37043019443222741</v>
      </c>
      <c r="E59" s="338">
        <f t="shared" si="2"/>
        <v>1.0000000151164044</v>
      </c>
      <c r="F59" s="339">
        <f t="shared" si="3"/>
        <v>1.7387584169170834E-4</v>
      </c>
      <c r="G59" s="338">
        <f t="shared" si="4"/>
        <v>1</v>
      </c>
      <c r="H59" s="339">
        <f t="shared" si="5"/>
        <v>0</v>
      </c>
      <c r="I59" s="337">
        <f t="shared" si="6"/>
        <v>228.23993405748573</v>
      </c>
      <c r="J59" s="340">
        <f t="shared" si="7"/>
        <v>1.5664149585495253</v>
      </c>
      <c r="K59" s="348">
        <f t="shared" si="8"/>
        <v>1.0063235276329305</v>
      </c>
      <c r="L59" s="349">
        <f t="shared" si="9"/>
        <v>0.11216402237750436</v>
      </c>
      <c r="M59" s="337">
        <f t="shared" si="10"/>
        <v>1.0000000252695942</v>
      </c>
      <c r="N59" s="340">
        <f t="shared" si="11"/>
        <v>2.2480922453350319E-4</v>
      </c>
      <c r="O59" s="341">
        <f t="shared" si="12"/>
        <v>0.99999995219770532</v>
      </c>
      <c r="P59" s="342">
        <f t="shared" si="13"/>
        <v>1.0371767183124146E-4</v>
      </c>
      <c r="Q59" s="343">
        <f t="shared" si="14"/>
        <v>49.005126265373413</v>
      </c>
      <c r="R59" s="344">
        <f t="shared" si="15"/>
        <v>-104.55538871298475</v>
      </c>
      <c r="S59" s="346">
        <f t="shared" si="16"/>
        <v>75.444611287015249</v>
      </c>
      <c r="U59" s="319">
        <f t="shared" si="23"/>
        <v>1000000000</v>
      </c>
      <c r="V59" s="319">
        <f t="shared" si="24"/>
        <v>4786.2874890000012</v>
      </c>
      <c r="X59" s="345">
        <f t="shared" si="17"/>
        <v>50.594144048114032</v>
      </c>
      <c r="Y59" s="346">
        <f t="shared" si="18"/>
        <v>-83.335321710591529</v>
      </c>
      <c r="AA59" s="345">
        <f t="shared" si="19"/>
        <v>47.158949021209011</v>
      </c>
      <c r="AB59" s="346">
        <f t="shared" si="20"/>
        <v>-21.220067002393211</v>
      </c>
      <c r="AD59">
        <f t="shared" si="25"/>
        <v>0</v>
      </c>
      <c r="AE59">
        <f t="shared" si="21"/>
        <v>0</v>
      </c>
    </row>
    <row r="60" spans="1:31" x14ac:dyDescent="0.2">
      <c r="A60" s="347">
        <v>75.858000000000004</v>
      </c>
      <c r="B60" s="364">
        <f t="shared" si="22"/>
        <v>7.5858000000000009E-2</v>
      </c>
      <c r="C60" s="337">
        <f t="shared" si="0"/>
        <v>1.0868899042562719</v>
      </c>
      <c r="D60" s="338">
        <f t="shared" si="1"/>
        <v>0.40257193911220251</v>
      </c>
      <c r="E60" s="338">
        <f t="shared" si="2"/>
        <v>1.0000000181740825</v>
      </c>
      <c r="F60" s="339">
        <f t="shared" si="3"/>
        <v>1.9065194588501058E-4</v>
      </c>
      <c r="G60" s="338">
        <f t="shared" si="4"/>
        <v>1</v>
      </c>
      <c r="H60" s="339">
        <f t="shared" si="5"/>
        <v>0</v>
      </c>
      <c r="I60" s="337">
        <f t="shared" si="6"/>
        <v>250.26085828711231</v>
      </c>
      <c r="J60" s="340">
        <f t="shared" si="7"/>
        <v>1.5668004855435962</v>
      </c>
      <c r="K60" s="348">
        <f t="shared" si="8"/>
        <v>1.0075977967586165</v>
      </c>
      <c r="L60" s="349">
        <f t="shared" si="9"/>
        <v>0.12288206678894124</v>
      </c>
      <c r="M60" s="337">
        <f t="shared" si="10"/>
        <v>1.0000000303810139</v>
      </c>
      <c r="N60" s="340">
        <f t="shared" si="11"/>
        <v>2.4649954608141437E-4</v>
      </c>
      <c r="O60" s="341">
        <f t="shared" si="12"/>
        <v>0.99999994252847257</v>
      </c>
      <c r="P60" s="342">
        <f t="shared" si="13"/>
        <v>1.1372469000626431E-4</v>
      </c>
      <c r="Q60" s="343">
        <f t="shared" si="14"/>
        <v>48.102462732621909</v>
      </c>
      <c r="R60" s="344">
        <f t="shared" si="15"/>
        <v>-105.80582031482369</v>
      </c>
      <c r="S60" s="346">
        <f t="shared" si="16"/>
        <v>74.194179685176309</v>
      </c>
      <c r="U60" s="319">
        <f t="shared" si="23"/>
        <v>1000000000</v>
      </c>
      <c r="V60" s="319">
        <f t="shared" si="24"/>
        <v>5754.4361640000006</v>
      </c>
      <c r="X60" s="345">
        <f t="shared" si="17"/>
        <v>49.805109726971949</v>
      </c>
      <c r="Y60" s="346">
        <f t="shared" si="18"/>
        <v>-82.744554834036975</v>
      </c>
      <c r="AA60" s="345">
        <f t="shared" si="19"/>
        <v>47.045319809599619</v>
      </c>
      <c r="AB60" s="346">
        <f t="shared" si="20"/>
        <v>-23.061265480786716</v>
      </c>
      <c r="AD60">
        <f t="shared" si="25"/>
        <v>0</v>
      </c>
      <c r="AE60">
        <f t="shared" si="21"/>
        <v>0</v>
      </c>
    </row>
    <row r="61" spans="1:31" x14ac:dyDescent="0.2">
      <c r="A61" s="347">
        <v>83.176000000000002</v>
      </c>
      <c r="B61" s="364">
        <f t="shared" si="22"/>
        <v>8.3176E-2</v>
      </c>
      <c r="C61" s="337">
        <f t="shared" si="0"/>
        <v>1.1036316574496174</v>
      </c>
      <c r="D61" s="338">
        <f t="shared" si="1"/>
        <v>0.43682510113993456</v>
      </c>
      <c r="E61" s="338">
        <f t="shared" si="2"/>
        <v>1.0000000218497151</v>
      </c>
      <c r="F61" s="339">
        <f t="shared" si="3"/>
        <v>2.090440851600842E-4</v>
      </c>
      <c r="G61" s="338">
        <f t="shared" si="4"/>
        <v>1</v>
      </c>
      <c r="H61" s="339">
        <f t="shared" si="5"/>
        <v>0</v>
      </c>
      <c r="I61" s="337">
        <f t="shared" si="6"/>
        <v>274.4030846284578</v>
      </c>
      <c r="J61" s="340">
        <f t="shared" si="7"/>
        <v>1.5671520448261913</v>
      </c>
      <c r="K61" s="348">
        <f t="shared" si="8"/>
        <v>1.009127465017094</v>
      </c>
      <c r="L61" s="349">
        <f t="shared" si="9"/>
        <v>0.13459997013078137</v>
      </c>
      <c r="M61" s="337">
        <f t="shared" si="10"/>
        <v>1.0000000365254476</v>
      </c>
      <c r="N61" s="340">
        <f t="shared" si="11"/>
        <v>2.7027928710066356E-4</v>
      </c>
      <c r="O61" s="341">
        <f t="shared" si="12"/>
        <v>0.99999993090509498</v>
      </c>
      <c r="P61" s="342">
        <f t="shared" si="13"/>
        <v>1.2469568048237794E-4</v>
      </c>
      <c r="Q61" s="343">
        <f t="shared" si="14"/>
        <v>47.18294607018273</v>
      </c>
      <c r="R61" s="344">
        <f t="shared" si="15"/>
        <v>-107.11807567069464</v>
      </c>
      <c r="S61" s="346">
        <f t="shared" si="16"/>
        <v>72.881924329305363</v>
      </c>
      <c r="U61" s="319">
        <f t="shared" si="23"/>
        <v>1000000000</v>
      </c>
      <c r="V61" s="319">
        <f t="shared" si="24"/>
        <v>6918.2469760000004</v>
      </c>
      <c r="X61" s="345">
        <f t="shared" si="17"/>
        <v>49.018364829101913</v>
      </c>
      <c r="Y61" s="346">
        <f t="shared" si="18"/>
        <v>-82.094673769004359</v>
      </c>
      <c r="AA61" s="345">
        <f t="shared" si="19"/>
        <v>46.912548045030462</v>
      </c>
      <c r="AB61" s="346">
        <f t="shared" si="20"/>
        <v>-25.023401901690285</v>
      </c>
      <c r="AD61">
        <f t="shared" si="25"/>
        <v>0</v>
      </c>
      <c r="AE61">
        <f t="shared" si="21"/>
        <v>0</v>
      </c>
    </row>
    <row r="62" spans="1:31" x14ac:dyDescent="0.2">
      <c r="A62" s="347">
        <v>91.201000000000008</v>
      </c>
      <c r="B62" s="364">
        <f t="shared" si="22"/>
        <v>9.1201000000000004E-2</v>
      </c>
      <c r="C62" s="337">
        <f t="shared" si="0"/>
        <v>1.1234317735219455</v>
      </c>
      <c r="D62" s="338">
        <f t="shared" si="1"/>
        <v>0.47316659945889866</v>
      </c>
      <c r="E62" s="338">
        <f t="shared" si="2"/>
        <v>1.0000000262693252</v>
      </c>
      <c r="F62" s="339">
        <f t="shared" si="3"/>
        <v>2.2921310900393758E-4</v>
      </c>
      <c r="G62" s="338">
        <f t="shared" si="4"/>
        <v>1</v>
      </c>
      <c r="H62" s="339">
        <f t="shared" si="5"/>
        <v>0</v>
      </c>
      <c r="I62" s="337">
        <f t="shared" si="6"/>
        <v>300.87775034347766</v>
      </c>
      <c r="J62" s="340">
        <f t="shared" si="7"/>
        <v>1.5674727116723748</v>
      </c>
      <c r="K62" s="348">
        <f t="shared" si="8"/>
        <v>1.0109636857315989</v>
      </c>
      <c r="L62" s="349">
        <f t="shared" si="9"/>
        <v>0.14740722742364321</v>
      </c>
      <c r="M62" s="337">
        <f t="shared" si="10"/>
        <v>1.0000000439135639</v>
      </c>
      <c r="N62" s="340">
        <f t="shared" si="11"/>
        <v>2.9635641460827068E-4</v>
      </c>
      <c r="O62" s="341">
        <f t="shared" si="12"/>
        <v>0.99999991692905288</v>
      </c>
      <c r="P62" s="342">
        <f t="shared" si="13"/>
        <v>1.3672659085043037E-4</v>
      </c>
      <c r="Q62" s="343">
        <f t="shared" si="14"/>
        <v>46.244264011382803</v>
      </c>
      <c r="R62" s="344">
        <f t="shared" si="15"/>
        <v>-108.4858890438056</v>
      </c>
      <c r="S62" s="346">
        <f t="shared" si="16"/>
        <v>71.514110956194401</v>
      </c>
      <c r="U62" s="319">
        <f t="shared" si="23"/>
        <v>1000000000</v>
      </c>
      <c r="V62" s="319">
        <f t="shared" si="24"/>
        <v>8317.6224010000005</v>
      </c>
      <c r="X62" s="345">
        <f t="shared" si="17"/>
        <v>48.234133671261105</v>
      </c>
      <c r="Y62" s="346">
        <f t="shared" si="18"/>
        <v>-81.380738944433546</v>
      </c>
      <c r="AA62" s="345">
        <f t="shared" si="19"/>
        <v>46.758097144071343</v>
      </c>
      <c r="AB62" s="346">
        <f t="shared" si="20"/>
        <v>-27.105150099372089</v>
      </c>
      <c r="AD62">
        <f t="shared" si="25"/>
        <v>0</v>
      </c>
      <c r="AE62">
        <f t="shared" si="21"/>
        <v>0</v>
      </c>
    </row>
    <row r="63" spans="1:31" x14ac:dyDescent="0.2">
      <c r="A63" s="347">
        <v>100</v>
      </c>
      <c r="B63" s="364">
        <f t="shared" si="22"/>
        <v>0.1</v>
      </c>
      <c r="C63" s="337">
        <f t="shared" si="0"/>
        <v>1.1467836873901553</v>
      </c>
      <c r="D63" s="338">
        <f t="shared" si="1"/>
        <v>0.51151476539504015</v>
      </c>
      <c r="E63" s="338">
        <f t="shared" si="2"/>
        <v>1.0000000315827335</v>
      </c>
      <c r="F63" s="339">
        <f t="shared" si="3"/>
        <v>2.5132740670826237E-4</v>
      </c>
      <c r="G63" s="338">
        <f t="shared" si="4"/>
        <v>1</v>
      </c>
      <c r="H63" s="339">
        <f t="shared" si="5"/>
        <v>0</v>
      </c>
      <c r="I63" s="337">
        <f t="shared" si="6"/>
        <v>329.90589002870695</v>
      </c>
      <c r="J63" s="340">
        <f t="shared" si="7"/>
        <v>1.5677651546892737</v>
      </c>
      <c r="K63" s="348">
        <f t="shared" si="8"/>
        <v>1.013166848412381</v>
      </c>
      <c r="L63" s="349">
        <f t="shared" si="9"/>
        <v>0.16139381450792473</v>
      </c>
      <c r="M63" s="337">
        <f t="shared" si="10"/>
        <v>1.0000000527958131</v>
      </c>
      <c r="N63" s="340">
        <f t="shared" si="11"/>
        <v>3.2494864404271486E-4</v>
      </c>
      <c r="O63" s="341">
        <f t="shared" si="12"/>
        <v>0.99999990012657114</v>
      </c>
      <c r="P63" s="342">
        <f t="shared" si="13"/>
        <v>1.499178662886831E-4</v>
      </c>
      <c r="Q63" s="343">
        <f t="shared" si="14"/>
        <v>45.28447642606114</v>
      </c>
      <c r="R63" s="344">
        <f t="shared" si="15"/>
        <v>-109.89958740908125</v>
      </c>
      <c r="S63" s="346">
        <f t="shared" si="16"/>
        <v>70.100412590918751</v>
      </c>
      <c r="U63" s="319">
        <f t="shared" si="23"/>
        <v>1000000000</v>
      </c>
      <c r="V63" s="319">
        <f t="shared" si="24"/>
        <v>10000</v>
      </c>
      <c r="X63" s="345">
        <f t="shared" si="17"/>
        <v>47.453041972934628</v>
      </c>
      <c r="Y63" s="346">
        <f t="shared" si="18"/>
        <v>-80.597760498507171</v>
      </c>
      <c r="AA63" s="345">
        <f t="shared" si="19"/>
        <v>46.57940125707615</v>
      </c>
      <c r="AB63" s="346">
        <f t="shared" si="20"/>
        <v>-29.301826910574064</v>
      </c>
      <c r="AD63">
        <f t="shared" si="25"/>
        <v>0</v>
      </c>
      <c r="AE63">
        <f t="shared" si="21"/>
        <v>0</v>
      </c>
    </row>
    <row r="64" spans="1:31" x14ac:dyDescent="0.2">
      <c r="A64" s="347">
        <v>109.65</v>
      </c>
      <c r="B64" s="364">
        <f t="shared" si="22"/>
        <v>0.10965000000000001</v>
      </c>
      <c r="C64" s="337">
        <f t="shared" si="0"/>
        <v>1.1742504036312424</v>
      </c>
      <c r="D64" s="338">
        <f t="shared" si="1"/>
        <v>0.55175266738966733</v>
      </c>
      <c r="E64" s="338">
        <f t="shared" si="2"/>
        <v>1.0000000379723073</v>
      </c>
      <c r="F64" s="339">
        <f t="shared" si="3"/>
        <v>2.7558050028171508E-4</v>
      </c>
      <c r="G64" s="338">
        <f t="shared" si="4"/>
        <v>1</v>
      </c>
      <c r="H64" s="339">
        <f t="shared" si="5"/>
        <v>0</v>
      </c>
      <c r="I64" s="337">
        <f t="shared" si="6"/>
        <v>361.7415287801129</v>
      </c>
      <c r="J64" s="340">
        <f t="shared" si="7"/>
        <v>1.5680319185251792</v>
      </c>
      <c r="K64" s="348">
        <f t="shared" si="8"/>
        <v>1.0158099065386352</v>
      </c>
      <c r="L64" s="349">
        <f t="shared" si="9"/>
        <v>0.17666003641055869</v>
      </c>
      <c r="M64" s="337">
        <f t="shared" si="10"/>
        <v>1.0000000634770523</v>
      </c>
      <c r="N64" s="340">
        <f t="shared" si="11"/>
        <v>3.5630618565564247E-4</v>
      </c>
      <c r="O64" s="341">
        <f t="shared" si="12"/>
        <v>0.99999987992095329</v>
      </c>
      <c r="P64" s="342">
        <f t="shared" si="13"/>
        <v>1.6438494383161828E-4</v>
      </c>
      <c r="Q64" s="343">
        <f t="shared" si="14"/>
        <v>44.301355788244194</v>
      </c>
      <c r="R64" s="344">
        <f t="shared" si="15"/>
        <v>-111.34687968665472</v>
      </c>
      <c r="S64" s="346">
        <f t="shared" si="16"/>
        <v>68.653120313345283</v>
      </c>
      <c r="U64" s="319">
        <f t="shared" si="23"/>
        <v>1000000000</v>
      </c>
      <c r="V64" s="319">
        <f t="shared" si="24"/>
        <v>12023.122500000001</v>
      </c>
      <c r="X64" s="345">
        <f t="shared" si="17"/>
        <v>46.675505334340187</v>
      </c>
      <c r="Y64" s="346">
        <f t="shared" si="18"/>
        <v>-79.74015151011055</v>
      </c>
      <c r="AA64" s="345">
        <f t="shared" si="19"/>
        <v>46.373817257853645</v>
      </c>
      <c r="AB64" s="346">
        <f t="shared" si="20"/>
        <v>-31.606728176544177</v>
      </c>
      <c r="AD64">
        <f t="shared" si="25"/>
        <v>0</v>
      </c>
      <c r="AE64">
        <f t="shared" si="21"/>
        <v>0</v>
      </c>
    </row>
    <row r="65" spans="1:31" x14ac:dyDescent="0.2">
      <c r="A65" s="347">
        <v>120.23</v>
      </c>
      <c r="B65" s="364">
        <f t="shared" si="22"/>
        <v>0.12023</v>
      </c>
      <c r="C65" s="337">
        <f t="shared" si="0"/>
        <v>1.2064425219217474</v>
      </c>
      <c r="D65" s="338">
        <f t="shared" si="1"/>
        <v>0.59368786077457048</v>
      </c>
      <c r="E65" s="338">
        <f t="shared" si="2"/>
        <v>1.0000000456536398</v>
      </c>
      <c r="F65" s="339">
        <f t="shared" si="3"/>
        <v>3.0217093825079795E-4</v>
      </c>
      <c r="G65" s="338">
        <f t="shared" si="4"/>
        <v>1</v>
      </c>
      <c r="H65" s="339">
        <f t="shared" si="5"/>
        <v>0</v>
      </c>
      <c r="I65" s="337">
        <f t="shared" si="6"/>
        <v>396.64528996514593</v>
      </c>
      <c r="J65" s="340">
        <f t="shared" si="7"/>
        <v>1.5682751798541317</v>
      </c>
      <c r="K65" s="348">
        <f t="shared" si="8"/>
        <v>1.0189782281914019</v>
      </c>
      <c r="L65" s="349">
        <f t="shared" si="9"/>
        <v>0.19330217633242563</v>
      </c>
      <c r="M65" s="337">
        <f t="shared" si="10"/>
        <v>1.000000076317682</v>
      </c>
      <c r="N65" s="340">
        <f t="shared" si="11"/>
        <v>3.9068574860611697E-4</v>
      </c>
      <c r="O65" s="341">
        <f t="shared" si="12"/>
        <v>0.99999985563043337</v>
      </c>
      <c r="P65" s="342">
        <f t="shared" si="13"/>
        <v>1.8024625895995822E-4</v>
      </c>
      <c r="Q65" s="343">
        <f t="shared" si="14"/>
        <v>43.293408181606608</v>
      </c>
      <c r="R65" s="344">
        <f t="shared" si="15"/>
        <v>-112.8113578206285</v>
      </c>
      <c r="S65" s="346">
        <f t="shared" si="16"/>
        <v>67.188642179371499</v>
      </c>
      <c r="U65" s="319">
        <f t="shared" si="23"/>
        <v>1000000000</v>
      </c>
      <c r="V65" s="319">
        <f t="shared" si="24"/>
        <v>14455.252900000001</v>
      </c>
      <c r="X65" s="345">
        <f t="shared" si="17"/>
        <v>45.902475803491569</v>
      </c>
      <c r="Y65" s="346">
        <f t="shared" si="18"/>
        <v>-78.802534780776284</v>
      </c>
      <c r="AA65" s="345">
        <f t="shared" si="19"/>
        <v>46.138899182064684</v>
      </c>
      <c r="AB65" s="346">
        <f t="shared" si="20"/>
        <v>-34.008823039852196</v>
      </c>
      <c r="AD65">
        <f t="shared" si="25"/>
        <v>0</v>
      </c>
      <c r="AE65">
        <f t="shared" si="21"/>
        <v>0</v>
      </c>
    </row>
    <row r="66" spans="1:31" x14ac:dyDescent="0.2">
      <c r="A66" s="347">
        <v>131.83000000000001</v>
      </c>
      <c r="B66" s="364">
        <f t="shared" si="22"/>
        <v>0.13183</v>
      </c>
      <c r="C66" s="337">
        <f t="shared" si="0"/>
        <v>1.2440415072463298</v>
      </c>
      <c r="D66" s="338">
        <f t="shared" si="1"/>
        <v>0.63708747463300375</v>
      </c>
      <c r="E66" s="338">
        <f t="shared" si="2"/>
        <v>1.0000000548881023</v>
      </c>
      <c r="F66" s="339">
        <f t="shared" si="3"/>
        <v>3.313249151157362E-4</v>
      </c>
      <c r="G66" s="338">
        <f t="shared" si="4"/>
        <v>1</v>
      </c>
      <c r="H66" s="339">
        <f t="shared" si="5"/>
        <v>0</v>
      </c>
      <c r="I66" s="337">
        <f t="shared" si="6"/>
        <v>434.91408648008706</v>
      </c>
      <c r="J66" s="340">
        <f t="shared" si="7"/>
        <v>1.5684970200761166</v>
      </c>
      <c r="K66" s="348">
        <f t="shared" si="8"/>
        <v>1.0227741779075736</v>
      </c>
      <c r="L66" s="349">
        <f t="shared" si="9"/>
        <v>0.21142466783873165</v>
      </c>
      <c r="M66" s="337">
        <f t="shared" si="10"/>
        <v>1.0000000917546277</v>
      </c>
      <c r="N66" s="340">
        <f t="shared" si="11"/>
        <v>4.2837978631539897E-4</v>
      </c>
      <c r="O66" s="341">
        <f t="shared" si="12"/>
        <v>0.99999982642848229</v>
      </c>
      <c r="P66" s="342">
        <f t="shared" si="13"/>
        <v>1.9763673824012027E-4</v>
      </c>
      <c r="Q66" s="343">
        <f t="shared" si="14"/>
        <v>42.259117226767799</v>
      </c>
      <c r="R66" s="344">
        <f t="shared" si="15"/>
        <v>-114.27382647026791</v>
      </c>
      <c r="S66" s="346">
        <f t="shared" si="16"/>
        <v>65.726173529732094</v>
      </c>
      <c r="U66" s="319">
        <f t="shared" si="23"/>
        <v>1000000000</v>
      </c>
      <c r="V66" s="319">
        <f t="shared" si="24"/>
        <v>17379.148900000004</v>
      </c>
      <c r="X66" s="345">
        <f t="shared" si="17"/>
        <v>45.134749213804866</v>
      </c>
      <c r="Y66" s="346">
        <f t="shared" si="18"/>
        <v>-77.779062719753313</v>
      </c>
      <c r="AA66" s="345">
        <f t="shared" si="19"/>
        <v>45.87233481691257</v>
      </c>
      <c r="AB66" s="346">
        <f t="shared" si="20"/>
        <v>-36.494763750514579</v>
      </c>
      <c r="AD66">
        <f t="shared" si="25"/>
        <v>0</v>
      </c>
      <c r="AE66">
        <f t="shared" si="21"/>
        <v>0</v>
      </c>
    </row>
    <row r="67" spans="1:31" x14ac:dyDescent="0.2">
      <c r="A67" s="347">
        <v>144.54</v>
      </c>
      <c r="B67" s="364">
        <f t="shared" si="22"/>
        <v>0.14454</v>
      </c>
      <c r="C67" s="337">
        <f t="shared" si="0"/>
        <v>1.2877607614195776</v>
      </c>
      <c r="D67" s="338">
        <f t="shared" si="1"/>
        <v>0.68163793559734187</v>
      </c>
      <c r="E67" s="338">
        <f t="shared" si="2"/>
        <v>1.0000000659820507</v>
      </c>
      <c r="F67" s="339">
        <f t="shared" si="3"/>
        <v>3.6326862532532747E-4</v>
      </c>
      <c r="G67" s="338">
        <f t="shared" si="4"/>
        <v>1</v>
      </c>
      <c r="H67" s="339">
        <f t="shared" si="5"/>
        <v>0</v>
      </c>
      <c r="I67" s="337">
        <f t="shared" si="6"/>
        <v>476.84483137801453</v>
      </c>
      <c r="J67" s="340">
        <f t="shared" si="7"/>
        <v>1.5686992070041761</v>
      </c>
      <c r="K67" s="348">
        <f t="shared" si="8"/>
        <v>1.0273159475280635</v>
      </c>
      <c r="L67" s="349">
        <f t="shared" si="9"/>
        <v>0.23112033278214528</v>
      </c>
      <c r="M67" s="337">
        <f t="shared" si="10"/>
        <v>1.0000001103000147</v>
      </c>
      <c r="N67" s="340">
        <f t="shared" si="11"/>
        <v>4.6968075209359632E-4</v>
      </c>
      <c r="O67" s="341">
        <f t="shared" si="12"/>
        <v>0.99999979134631656</v>
      </c>
      <c r="P67" s="342">
        <f t="shared" si="13"/>
        <v>2.1669130838949222E-4</v>
      </c>
      <c r="Q67" s="343">
        <f t="shared" si="14"/>
        <v>41.198124522134876</v>
      </c>
      <c r="R67" s="344">
        <f t="shared" si="15"/>
        <v>-115.71111371992021</v>
      </c>
      <c r="S67" s="346">
        <f t="shared" si="16"/>
        <v>64.288886280079794</v>
      </c>
      <c r="U67" s="319">
        <f t="shared" si="23"/>
        <v>1000000000</v>
      </c>
      <c r="V67" s="319">
        <f t="shared" si="24"/>
        <v>20891.811599999997</v>
      </c>
      <c r="X67" s="345">
        <f t="shared" si="17"/>
        <v>44.37376244949597</v>
      </c>
      <c r="Y67" s="346">
        <f t="shared" si="18"/>
        <v>-76.664535071197847</v>
      </c>
      <c r="AA67" s="345">
        <f t="shared" si="19"/>
        <v>45.57232887658855</v>
      </c>
      <c r="AB67" s="346">
        <f t="shared" si="20"/>
        <v>-39.046578648722353</v>
      </c>
      <c r="AD67">
        <f t="shared" si="25"/>
        <v>0</v>
      </c>
      <c r="AE67">
        <f t="shared" si="21"/>
        <v>0</v>
      </c>
    </row>
    <row r="68" spans="1:31" x14ac:dyDescent="0.2">
      <c r="A68" s="347">
        <v>158.49</v>
      </c>
      <c r="B68" s="364">
        <f t="shared" si="22"/>
        <v>0.15849000000000002</v>
      </c>
      <c r="C68" s="337">
        <f t="shared" si="0"/>
        <v>1.3384821369146249</v>
      </c>
      <c r="D68" s="338">
        <f t="shared" si="1"/>
        <v>0.72708533049431068</v>
      </c>
      <c r="E68" s="338">
        <f t="shared" si="2"/>
        <v>1.0000000793329193</v>
      </c>
      <c r="F68" s="339">
        <f t="shared" si="3"/>
        <v>3.9832879421174269E-4</v>
      </c>
      <c r="G68" s="338">
        <f t="shared" si="4"/>
        <v>1</v>
      </c>
      <c r="H68" s="339">
        <f t="shared" si="5"/>
        <v>0</v>
      </c>
      <c r="I68" s="337">
        <f t="shared" si="6"/>
        <v>522.86639932042146</v>
      </c>
      <c r="J68" s="340">
        <f t="shared" si="7"/>
        <v>1.5688837911817226</v>
      </c>
      <c r="K68" s="348">
        <f t="shared" si="8"/>
        <v>1.0327552000220837</v>
      </c>
      <c r="L68" s="349">
        <f t="shared" si="9"/>
        <v>0.25252885871636421</v>
      </c>
      <c r="M68" s="337">
        <f t="shared" si="10"/>
        <v>1.0000001326182202</v>
      </c>
      <c r="N68" s="340">
        <f t="shared" si="11"/>
        <v>5.1501107853701728E-4</v>
      </c>
      <c r="O68" s="341">
        <f t="shared" si="12"/>
        <v>0.9999997491271384</v>
      </c>
      <c r="P68" s="342">
        <f t="shared" si="13"/>
        <v>2.3760486350480025E-4</v>
      </c>
      <c r="Q68" s="343">
        <f t="shared" si="14"/>
        <v>40.108171098874401</v>
      </c>
      <c r="R68" s="344">
        <f t="shared" si="15"/>
        <v>-117.1008020468057</v>
      </c>
      <c r="S68" s="346">
        <f t="shared" si="16"/>
        <v>62.899197953194303</v>
      </c>
      <c r="U68" s="319">
        <f t="shared" si="23"/>
        <v>1000000000</v>
      </c>
      <c r="V68" s="319">
        <f t="shared" si="24"/>
        <v>25119.080100000003</v>
      </c>
      <c r="X68" s="345">
        <f t="shared" si="17"/>
        <v>43.619356378181493</v>
      </c>
      <c r="Y68" s="346">
        <f t="shared" si="18"/>
        <v>-75.451090018911643</v>
      </c>
      <c r="AA68" s="345">
        <f t="shared" si="19"/>
        <v>45.236781524642552</v>
      </c>
      <c r="AB68" s="346">
        <f t="shared" si="20"/>
        <v>-41.649712027894083</v>
      </c>
      <c r="AD68">
        <f t="shared" si="25"/>
        <v>0</v>
      </c>
      <c r="AE68">
        <f t="shared" si="21"/>
        <v>0</v>
      </c>
    </row>
    <row r="69" spans="1:31" x14ac:dyDescent="0.2">
      <c r="A69" s="347">
        <v>173.78</v>
      </c>
      <c r="B69" s="364">
        <f t="shared" si="22"/>
        <v>0.17377999999999999</v>
      </c>
      <c r="C69" s="337">
        <f t="shared" si="0"/>
        <v>1.3970055877961285</v>
      </c>
      <c r="D69" s="338">
        <f t="shared" si="1"/>
        <v>0.77300327392202084</v>
      </c>
      <c r="E69" s="338">
        <f t="shared" si="2"/>
        <v>1.0000000953782364</v>
      </c>
      <c r="F69" s="339">
        <f t="shared" si="3"/>
        <v>4.3675674880220785E-4</v>
      </c>
      <c r="G69" s="338">
        <f t="shared" si="4"/>
        <v>1</v>
      </c>
      <c r="H69" s="339">
        <f t="shared" si="5"/>
        <v>0</v>
      </c>
      <c r="I69" s="337">
        <f t="shared" si="6"/>
        <v>573.3086940355945</v>
      </c>
      <c r="J69" s="340">
        <f t="shared" si="7"/>
        <v>1.569052064903391</v>
      </c>
      <c r="K69" s="348">
        <f t="shared" si="8"/>
        <v>1.0392545276873892</v>
      </c>
      <c r="L69" s="349">
        <f t="shared" si="9"/>
        <v>0.27572458194441735</v>
      </c>
      <c r="M69" s="337">
        <f t="shared" si="10"/>
        <v>1.0000001594406456</v>
      </c>
      <c r="N69" s="340">
        <f t="shared" si="11"/>
        <v>5.646957134695117E-4</v>
      </c>
      <c r="O69" s="341">
        <f t="shared" si="12"/>
        <v>0.99999969838736136</v>
      </c>
      <c r="P69" s="342">
        <f t="shared" si="13"/>
        <v>2.6052732256633967E-4</v>
      </c>
      <c r="Q69" s="343">
        <f t="shared" si="14"/>
        <v>38.990994993370549</v>
      </c>
      <c r="R69" s="344">
        <f t="shared" si="15"/>
        <v>-118.41428906140366</v>
      </c>
      <c r="S69" s="346">
        <f t="shared" si="16"/>
        <v>61.585710938596335</v>
      </c>
      <c r="U69" s="319">
        <f t="shared" si="23"/>
        <v>1000000000</v>
      </c>
      <c r="V69" s="319">
        <f t="shared" si="24"/>
        <v>30199.488400000002</v>
      </c>
      <c r="X69" s="345">
        <f t="shared" si="17"/>
        <v>42.873890965816479</v>
      </c>
      <c r="Y69" s="346">
        <f t="shared" si="18"/>
        <v>-74.134561067629093</v>
      </c>
      <c r="AA69" s="345">
        <f t="shared" si="19"/>
        <v>44.865070831503715</v>
      </c>
      <c r="AB69" s="346">
        <f t="shared" si="20"/>
        <v>-44.279727993774522</v>
      </c>
      <c r="AD69">
        <f t="shared" si="25"/>
        <v>0</v>
      </c>
      <c r="AE69">
        <f t="shared" si="21"/>
        <v>0</v>
      </c>
    </row>
    <row r="70" spans="1:31" x14ac:dyDescent="0.2">
      <c r="A70" s="347">
        <v>190.55</v>
      </c>
      <c r="B70" s="364">
        <f t="shared" si="22"/>
        <v>0.19055000000000002</v>
      </c>
      <c r="C70" s="337">
        <f t="shared" si="0"/>
        <v>1.4642925564473035</v>
      </c>
      <c r="D70" s="338">
        <f t="shared" si="1"/>
        <v>0.81903884274266725</v>
      </c>
      <c r="E70" s="338">
        <f t="shared" si="2"/>
        <v>1.0000001146746977</v>
      </c>
      <c r="F70" s="339">
        <f t="shared" si="3"/>
        <v>4.7890434695385941E-4</v>
      </c>
      <c r="G70" s="338">
        <f t="shared" si="4"/>
        <v>1</v>
      </c>
      <c r="H70" s="339">
        <f t="shared" si="5"/>
        <v>0</v>
      </c>
      <c r="I70" s="337">
        <f t="shared" si="6"/>
        <v>628.63358087466918</v>
      </c>
      <c r="J70" s="340">
        <f t="shared" si="7"/>
        <v>1.5692055743245026</v>
      </c>
      <c r="K70" s="348">
        <f t="shared" si="8"/>
        <v>1.0470173331304067</v>
      </c>
      <c r="L70" s="349">
        <f t="shared" si="9"/>
        <v>0.30081937695872218</v>
      </c>
      <c r="M70" s="337">
        <f t="shared" si="10"/>
        <v>1.0000001916979011</v>
      </c>
      <c r="N70" s="340">
        <f t="shared" si="11"/>
        <v>6.1918958388557826E-4</v>
      </c>
      <c r="O70" s="341">
        <f t="shared" si="12"/>
        <v>0.99999963736655695</v>
      </c>
      <c r="P70" s="342">
        <f t="shared" si="13"/>
        <v>2.8566857209068975E-4</v>
      </c>
      <c r="Q70" s="343">
        <f t="shared" si="14"/>
        <v>37.846859122795578</v>
      </c>
      <c r="R70" s="344">
        <f t="shared" si="15"/>
        <v>-119.62505034035669</v>
      </c>
      <c r="S70" s="346">
        <f t="shared" si="16"/>
        <v>60.374949659643306</v>
      </c>
      <c r="U70" s="319">
        <f t="shared" si="23"/>
        <v>1000000000</v>
      </c>
      <c r="V70" s="319">
        <f t="shared" si="24"/>
        <v>36309.302500000005</v>
      </c>
      <c r="X70" s="345">
        <f t="shared" si="17"/>
        <v>42.138348627084142</v>
      </c>
      <c r="Y70" s="346">
        <f t="shared" si="18"/>
        <v>-72.708652934663519</v>
      </c>
      <c r="AA70" s="345">
        <f t="shared" si="19"/>
        <v>44.456477299661081</v>
      </c>
      <c r="AB70" s="346">
        <f t="shared" si="20"/>
        <v>-46.916397405693161</v>
      </c>
      <c r="AD70">
        <f t="shared" si="25"/>
        <v>0</v>
      </c>
      <c r="AE70">
        <f t="shared" si="21"/>
        <v>0</v>
      </c>
    </row>
    <row r="71" spans="1:31" x14ac:dyDescent="0.2">
      <c r="A71" s="347">
        <v>208.93</v>
      </c>
      <c r="B71" s="364">
        <f t="shared" si="22"/>
        <v>0.20893</v>
      </c>
      <c r="C71" s="337">
        <f t="shared" si="0"/>
        <v>1.5412730024434396</v>
      </c>
      <c r="D71" s="338">
        <f t="shared" si="1"/>
        <v>0.86477108707340899</v>
      </c>
      <c r="E71" s="338">
        <f t="shared" si="2"/>
        <v>1.0000001378641354</v>
      </c>
      <c r="F71" s="339">
        <f t="shared" si="3"/>
        <v>5.2509831363011688E-4</v>
      </c>
      <c r="G71" s="338">
        <f t="shared" si="4"/>
        <v>1</v>
      </c>
      <c r="H71" s="339">
        <f t="shared" si="5"/>
        <v>0</v>
      </c>
      <c r="I71" s="337">
        <f t="shared" si="6"/>
        <v>689.2699349262017</v>
      </c>
      <c r="J71" s="340">
        <f t="shared" si="7"/>
        <v>1.5693455158714289</v>
      </c>
      <c r="K71" s="348">
        <f t="shared" si="8"/>
        <v>1.0562707768363024</v>
      </c>
      <c r="L71" s="349">
        <f t="shared" si="9"/>
        <v>0.3278807720683346</v>
      </c>
      <c r="M71" s="337">
        <f t="shared" si="10"/>
        <v>1.0000002304629154</v>
      </c>
      <c r="N71" s="340">
        <f t="shared" si="11"/>
        <v>6.7891512158452607E-4</v>
      </c>
      <c r="O71" s="341">
        <f t="shared" si="12"/>
        <v>0.99999956403507329</v>
      </c>
      <c r="P71" s="342">
        <f t="shared" si="13"/>
        <v>3.1322350725708264E-4</v>
      </c>
      <c r="Q71" s="343">
        <f t="shared" si="14"/>
        <v>36.678417984381383</v>
      </c>
      <c r="R71" s="344">
        <f t="shared" si="15"/>
        <v>-120.70518334530372</v>
      </c>
      <c r="S71" s="346">
        <f t="shared" si="16"/>
        <v>59.294816654696277</v>
      </c>
      <c r="U71" s="319">
        <f t="shared" si="23"/>
        <v>1000000000</v>
      </c>
      <c r="V71" s="319">
        <f t="shared" si="24"/>
        <v>43651.744900000005</v>
      </c>
      <c r="X71" s="345">
        <f t="shared" si="17"/>
        <v>41.414940980318946</v>
      </c>
      <c r="Y71" s="346">
        <f t="shared" si="18"/>
        <v>-71.169589286644836</v>
      </c>
      <c r="AA71" s="345">
        <f t="shared" si="19"/>
        <v>44.011443808012068</v>
      </c>
      <c r="AB71" s="346">
        <f t="shared" si="20"/>
        <v>-49.535594058658894</v>
      </c>
      <c r="AD71">
        <f t="shared" si="25"/>
        <v>0</v>
      </c>
      <c r="AE71">
        <f t="shared" si="21"/>
        <v>0</v>
      </c>
    </row>
    <row r="72" spans="1:31" x14ac:dyDescent="0.2">
      <c r="A72" s="347">
        <v>229.09</v>
      </c>
      <c r="B72" s="364">
        <f t="shared" si="22"/>
        <v>0.22909000000000002</v>
      </c>
      <c r="C72" s="337">
        <f t="shared" si="0"/>
        <v>1.6290433755349196</v>
      </c>
      <c r="D72" s="338">
        <f t="shared" si="1"/>
        <v>0.90985883101113019</v>
      </c>
      <c r="E72" s="338">
        <f t="shared" si="2"/>
        <v>1.0000001657532114</v>
      </c>
      <c r="F72" s="339">
        <f t="shared" si="3"/>
        <v>5.7576590452743538E-4</v>
      </c>
      <c r="G72" s="338">
        <f t="shared" si="4"/>
        <v>1</v>
      </c>
      <c r="H72" s="339">
        <f t="shared" si="5"/>
        <v>0</v>
      </c>
      <c r="I72" s="337">
        <f t="shared" si="6"/>
        <v>755.77859297772022</v>
      </c>
      <c r="J72" s="340">
        <f t="shared" si="7"/>
        <v>1.5694731875831296</v>
      </c>
      <c r="K72" s="348">
        <f t="shared" si="8"/>
        <v>1.0672932920256986</v>
      </c>
      <c r="L72" s="349">
        <f t="shared" si="9"/>
        <v>0.35699958465933224</v>
      </c>
      <c r="M72" s="337">
        <f t="shared" si="10"/>
        <v>1.0000002770841587</v>
      </c>
      <c r="N72" s="340">
        <f t="shared" si="11"/>
        <v>7.4442473732693208E-4</v>
      </c>
      <c r="O72" s="341">
        <f t="shared" si="12"/>
        <v>0.99999947584201854</v>
      </c>
      <c r="P72" s="342">
        <f t="shared" si="13"/>
        <v>3.4344699106542251E-4</v>
      </c>
      <c r="Q72" s="343">
        <f t="shared" si="14"/>
        <v>35.487422332794864</v>
      </c>
      <c r="R72" s="344">
        <f t="shared" si="15"/>
        <v>-121.63003282955303</v>
      </c>
      <c r="S72" s="346">
        <f t="shared" si="16"/>
        <v>58.369967170446969</v>
      </c>
      <c r="U72" s="319">
        <f t="shared" si="23"/>
        <v>1000000000</v>
      </c>
      <c r="V72" s="319">
        <f t="shared" si="24"/>
        <v>52482.2281</v>
      </c>
      <c r="X72" s="345">
        <f t="shared" si="17"/>
        <v>40.705005859545906</v>
      </c>
      <c r="Y72" s="346">
        <f t="shared" si="18"/>
        <v>-69.512272693597737</v>
      </c>
      <c r="AA72" s="345">
        <f t="shared" si="19"/>
        <v>43.530383277198595</v>
      </c>
      <c r="AB72" s="346">
        <f t="shared" si="20"/>
        <v>-52.117760135955329</v>
      </c>
      <c r="AD72">
        <f t="shared" si="25"/>
        <v>0</v>
      </c>
      <c r="AE72">
        <f t="shared" si="21"/>
        <v>0</v>
      </c>
    </row>
    <row r="73" spans="1:31" x14ac:dyDescent="0.2">
      <c r="A73" s="347">
        <v>251.19</v>
      </c>
      <c r="B73" s="364">
        <f t="shared" si="22"/>
        <v>0.25119000000000002</v>
      </c>
      <c r="C73" s="337">
        <f t="shared" si="0"/>
        <v>1.7286552567401252</v>
      </c>
      <c r="D73" s="338">
        <f t="shared" si="1"/>
        <v>0.95392698418572275</v>
      </c>
      <c r="E73" s="338">
        <f t="shared" si="2"/>
        <v>1.0000001992757128</v>
      </c>
      <c r="F73" s="339">
        <f t="shared" si="3"/>
        <v>6.3130924233306771E-4</v>
      </c>
      <c r="G73" s="338">
        <f t="shared" si="4"/>
        <v>1</v>
      </c>
      <c r="H73" s="339">
        <f t="shared" si="5"/>
        <v>0</v>
      </c>
      <c r="I73" s="337">
        <f t="shared" si="6"/>
        <v>828.68740152363227</v>
      </c>
      <c r="J73" s="340">
        <f t="shared" si="7"/>
        <v>1.5695895988527797</v>
      </c>
      <c r="K73" s="348">
        <f t="shared" si="8"/>
        <v>1.0803934773538908</v>
      </c>
      <c r="L73" s="349">
        <f t="shared" si="9"/>
        <v>0.38820844037130769</v>
      </c>
      <c r="M73" s="337">
        <f t="shared" si="10"/>
        <v>1.0000003331226115</v>
      </c>
      <c r="N73" s="340">
        <f t="shared" si="11"/>
        <v>8.1623834642858108E-4</v>
      </c>
      <c r="O73" s="341">
        <f t="shared" si="12"/>
        <v>0.99999936983449678</v>
      </c>
      <c r="P73" s="342">
        <f t="shared" si="13"/>
        <v>3.7657889551728448E-4</v>
      </c>
      <c r="Q73" s="343">
        <f t="shared" si="14"/>
        <v>34.277948676224248</v>
      </c>
      <c r="R73" s="344">
        <f t="shared" si="15"/>
        <v>-122.37631671312492</v>
      </c>
      <c r="S73" s="346">
        <f t="shared" si="16"/>
        <v>57.623683286875078</v>
      </c>
      <c r="U73" s="319">
        <f t="shared" si="23"/>
        <v>1000000000</v>
      </c>
      <c r="V73" s="319">
        <f t="shared" si="24"/>
        <v>63096.416100000002</v>
      </c>
      <c r="X73" s="345">
        <f t="shared" si="17"/>
        <v>40.011045851509913</v>
      </c>
      <c r="Y73" s="346">
        <f t="shared" si="18"/>
        <v>-67.734921466989704</v>
      </c>
      <c r="AA73" s="345">
        <f t="shared" si="19"/>
        <v>43.014869628663988</v>
      </c>
      <c r="AB73" s="346">
        <f t="shared" si="20"/>
        <v>-54.641395246135176</v>
      </c>
      <c r="AD73">
        <f t="shared" si="25"/>
        <v>0</v>
      </c>
      <c r="AE73">
        <f t="shared" si="21"/>
        <v>0</v>
      </c>
    </row>
    <row r="74" spans="1:31" x14ac:dyDescent="0.2">
      <c r="A74" s="347">
        <v>275.42</v>
      </c>
      <c r="B74" s="364">
        <f t="shared" si="22"/>
        <v>0.27542</v>
      </c>
      <c r="C74" s="337">
        <f t="shared" si="0"/>
        <v>1.8412836307718341</v>
      </c>
      <c r="D74" s="338">
        <f t="shared" si="1"/>
        <v>0.99667240863881212</v>
      </c>
      <c r="E74" s="338">
        <f t="shared" si="2"/>
        <v>1.0000002395745156</v>
      </c>
      <c r="F74" s="339">
        <f t="shared" si="3"/>
        <v>6.9220584757381397E-4</v>
      </c>
      <c r="G74" s="338">
        <f t="shared" si="4"/>
        <v>1</v>
      </c>
      <c r="H74" s="339">
        <f t="shared" si="5"/>
        <v>0</v>
      </c>
      <c r="I74" s="337">
        <f t="shared" si="6"/>
        <v>908.62317837005128</v>
      </c>
      <c r="J74" s="340">
        <f t="shared" si="7"/>
        <v>1.5696957603272128</v>
      </c>
      <c r="K74" s="348">
        <f t="shared" si="8"/>
        <v>1.0959345065138031</v>
      </c>
      <c r="L74" s="349">
        <f t="shared" si="9"/>
        <v>0.421531743336855</v>
      </c>
      <c r="M74" s="337">
        <f t="shared" si="10"/>
        <v>1.0000004004887804</v>
      </c>
      <c r="N74" s="340">
        <f t="shared" si="11"/>
        <v>8.949733479718296E-4</v>
      </c>
      <c r="O74" s="341">
        <f t="shared" si="12"/>
        <v>0.99999924239841498</v>
      </c>
      <c r="P74" s="342">
        <f t="shared" si="13"/>
        <v>4.1290406909690161E-4</v>
      </c>
      <c r="Q74" s="343">
        <f t="shared" si="14"/>
        <v>33.053894984872997</v>
      </c>
      <c r="R74" s="344">
        <f t="shared" si="15"/>
        <v>-122.92535045743745</v>
      </c>
      <c r="S74" s="346">
        <f t="shared" si="16"/>
        <v>57.074649542562554</v>
      </c>
      <c r="U74" s="319">
        <f t="shared" si="23"/>
        <v>1000000000</v>
      </c>
      <c r="V74" s="319">
        <f t="shared" si="24"/>
        <v>75856.176400000011</v>
      </c>
      <c r="X74" s="345">
        <f t="shared" si="17"/>
        <v>39.335236724615065</v>
      </c>
      <c r="Y74" s="346">
        <f t="shared" si="18"/>
        <v>-65.836230633178772</v>
      </c>
      <c r="AA74" s="345">
        <f t="shared" si="19"/>
        <v>42.466625064207577</v>
      </c>
      <c r="AB74" s="346">
        <f t="shared" si="20"/>
        <v>-57.089119824258667</v>
      </c>
      <c r="AD74">
        <f t="shared" si="25"/>
        <v>0</v>
      </c>
      <c r="AE74">
        <f t="shared" si="21"/>
        <v>0</v>
      </c>
    </row>
    <row r="75" spans="1:31" x14ac:dyDescent="0.2">
      <c r="A75" s="347">
        <v>302</v>
      </c>
      <c r="B75" s="364">
        <f t="shared" si="22"/>
        <v>0.30199999999999999</v>
      </c>
      <c r="C75" s="337">
        <f t="shared" si="0"/>
        <v>1.9682365241980999</v>
      </c>
      <c r="D75" s="338">
        <f t="shared" si="1"/>
        <v>1.0378549179405101</v>
      </c>
      <c r="E75" s="338">
        <f t="shared" si="2"/>
        <v>1.0000002880471257</v>
      </c>
      <c r="F75" s="339">
        <f t="shared" si="3"/>
        <v>7.5900863848649689E-4</v>
      </c>
      <c r="G75" s="338">
        <f t="shared" si="4"/>
        <v>1</v>
      </c>
      <c r="H75" s="339">
        <f t="shared" si="5"/>
        <v>0</v>
      </c>
      <c r="I75" s="337">
        <f t="shared" si="6"/>
        <v>996.31171266440788</v>
      </c>
      <c r="J75" s="340">
        <f t="shared" si="7"/>
        <v>1.5697926246852139</v>
      </c>
      <c r="K75" s="348">
        <f t="shared" si="8"/>
        <v>1.1143406188632823</v>
      </c>
      <c r="L75" s="349">
        <f t="shared" si="9"/>
        <v>0.45697422678949084</v>
      </c>
      <c r="M75" s="337">
        <f t="shared" si="10"/>
        <v>1.0000004815188293</v>
      </c>
      <c r="N75" s="340">
        <f t="shared" si="11"/>
        <v>9.8134462452566197E-4</v>
      </c>
      <c r="O75" s="341">
        <f t="shared" si="12"/>
        <v>0.99999908911446644</v>
      </c>
      <c r="P75" s="342">
        <f t="shared" si="13"/>
        <v>4.5275233715139372E-4</v>
      </c>
      <c r="Q75" s="343">
        <f t="shared" si="14"/>
        <v>31.81920284978013</v>
      </c>
      <c r="R75" s="344">
        <f t="shared" si="15"/>
        <v>-123.26318396138858</v>
      </c>
      <c r="S75" s="346">
        <f t="shared" si="16"/>
        <v>56.736816038611423</v>
      </c>
      <c r="U75" s="319">
        <f t="shared" si="23"/>
        <v>1000000000</v>
      </c>
      <c r="V75" s="319">
        <f t="shared" si="24"/>
        <v>91204</v>
      </c>
      <c r="X75" s="345">
        <f t="shared" si="17"/>
        <v>38.679674725487637</v>
      </c>
      <c r="Y75" s="346">
        <f t="shared" si="18"/>
        <v>-63.816024542088464</v>
      </c>
      <c r="AA75" s="345">
        <f t="shared" si="19"/>
        <v>41.887494928242141</v>
      </c>
      <c r="AB75" s="346">
        <f t="shared" si="20"/>
        <v>-59.4471594193001</v>
      </c>
      <c r="AD75">
        <f t="shared" si="25"/>
        <v>0</v>
      </c>
      <c r="AE75">
        <f t="shared" si="21"/>
        <v>0</v>
      </c>
    </row>
    <row r="76" spans="1:31" x14ac:dyDescent="0.2">
      <c r="A76" s="347">
        <v>331.13</v>
      </c>
      <c r="B76" s="364">
        <f t="shared" si="22"/>
        <v>0.33112999999999998</v>
      </c>
      <c r="C76" s="337">
        <f t="shared" si="0"/>
        <v>2.1107155238869728</v>
      </c>
      <c r="D76" s="338">
        <f t="shared" si="1"/>
        <v>1.077226125827593</v>
      </c>
      <c r="E76" s="338">
        <f t="shared" si="2"/>
        <v>1.0000003462953866</v>
      </c>
      <c r="F76" s="339">
        <f t="shared" si="3"/>
        <v>8.3222026722624281E-4</v>
      </c>
      <c r="G76" s="338">
        <f t="shared" si="4"/>
        <v>1</v>
      </c>
      <c r="H76" s="339">
        <f t="shared" si="5"/>
        <v>0</v>
      </c>
      <c r="I76" s="337">
        <f t="shared" si="6"/>
        <v>1092.4128127906447</v>
      </c>
      <c r="J76" s="340">
        <f t="shared" si="7"/>
        <v>1.5698809218051781</v>
      </c>
      <c r="K76" s="348">
        <f t="shared" si="8"/>
        <v>1.1360643443334855</v>
      </c>
      <c r="L76" s="349">
        <f t="shared" si="9"/>
        <v>0.49444580931533244</v>
      </c>
      <c r="M76" s="337">
        <f t="shared" si="10"/>
        <v>1.000000578890504</v>
      </c>
      <c r="N76" s="340">
        <f t="shared" si="11"/>
        <v>1.0760020676326794E-3</v>
      </c>
      <c r="O76" s="341">
        <f t="shared" si="12"/>
        <v>0.99999890491717525</v>
      </c>
      <c r="P76" s="342">
        <f t="shared" si="13"/>
        <v>4.9642354321703772E-4</v>
      </c>
      <c r="Q76" s="343">
        <f t="shared" si="14"/>
        <v>30.58002413635699</v>
      </c>
      <c r="R76" s="344">
        <f t="shared" si="15"/>
        <v>-123.38081446014051</v>
      </c>
      <c r="S76" s="346">
        <f t="shared" si="16"/>
        <v>56.619185539859487</v>
      </c>
      <c r="U76" s="319">
        <f t="shared" si="23"/>
        <v>1000000000</v>
      </c>
      <c r="V76" s="319">
        <f t="shared" si="24"/>
        <v>109647.0769</v>
      </c>
      <c r="X76" s="345">
        <f t="shared" si="17"/>
        <v>38.047542258896335</v>
      </c>
      <c r="Y76" s="346">
        <f t="shared" si="18"/>
        <v>-61.679543533546926</v>
      </c>
      <c r="AA76" s="345">
        <f t="shared" si="19"/>
        <v>41.280448681410292</v>
      </c>
      <c r="AB76" s="346">
        <f t="shared" si="20"/>
        <v>-61.701270926593573</v>
      </c>
      <c r="AD76">
        <f t="shared" si="25"/>
        <v>0</v>
      </c>
      <c r="AE76">
        <f t="shared" si="21"/>
        <v>0</v>
      </c>
    </row>
    <row r="77" spans="1:31" x14ac:dyDescent="0.2">
      <c r="A77" s="347">
        <v>363.08</v>
      </c>
      <c r="B77" s="364">
        <f t="shared" si="22"/>
        <v>0.36307999999999996</v>
      </c>
      <c r="C77" s="337">
        <f t="shared" ref="C77:C140" si="26">SQRT(1+(A77/pole1)^2)</f>
        <v>2.2702512128523913</v>
      </c>
      <c r="D77" s="338">
        <f t="shared" ref="D77:D140" si="27">ATAN(A77/pole1)</f>
        <v>1.1146631856138864</v>
      </c>
      <c r="E77" s="338">
        <f t="shared" ref="E77:E140" si="28">SQRT(1+(A77/Zero1)^2)</f>
        <v>1.000000416345894</v>
      </c>
      <c r="F77" s="339">
        <f t="shared" ref="F77:F140" si="29">ATAN(A77/Zero1)</f>
        <v>9.1251931420715713E-4</v>
      </c>
      <c r="G77" s="338">
        <f t="shared" ref="G77:G140" si="30">IF(VIN_nom&gt;Vout, 1, SQRT(1+(A77/z_RHP)^2))</f>
        <v>1</v>
      </c>
      <c r="H77" s="339">
        <f t="shared" ref="H77:H140" si="31">IF(VIN_nom&gt;Vout, 0, -ATAN(A77/z_RHP))</f>
        <v>0</v>
      </c>
      <c r="I77" s="337">
        <f t="shared" ref="I77:I140" si="32">SQRT(1+(A77/Pole2)^2)</f>
        <v>1197.8172201482055</v>
      </c>
      <c r="J77" s="340">
        <f t="shared" ref="J77:J140" si="33">ATAN(A77/Pole2)</f>
        <v>1.5699614747829684</v>
      </c>
      <c r="K77" s="348">
        <f t="shared" ref="K77:K140" si="34">SQRT(1+(A77/Zero2)^2)</f>
        <v>1.1616517915299336</v>
      </c>
      <c r="L77" s="349">
        <f t="shared" ref="L77:L140" si="35">ATAN(A77/Zero2)</f>
        <v>0.53387204268896948</v>
      </c>
      <c r="M77" s="337">
        <f t="shared" ref="M77:M140" si="36">SQRT(1+(A77/pole4)^2)</f>
        <v>1.0000006959915957</v>
      </c>
      <c r="N77" s="340">
        <f t="shared" ref="N77:N140" si="37">ATAN(A77/pole4)</f>
        <v>1.1798230308855209E-3</v>
      </c>
      <c r="O77" s="341">
        <f t="shared" ref="O77:O140" si="38">SQRT((1-(V77/pterm2))^2+(A77/pterm1)^2)</f>
        <v>0.9999986833978759</v>
      </c>
      <c r="P77" s="342">
        <f t="shared" ref="P77:P140" si="39">IF((ATAN((A77/pterm1)/(1-A77^2/pterm2))&gt;0),ATAN((A77/pterm1)/(1-A77^2/pterm2)),PI()+ATAN((A77/pterm1)/(1-A77^2/pterm2)))</f>
        <v>5.4432247605406279E-4</v>
      </c>
      <c r="Q77" s="343">
        <f t="shared" ref="Q77:Q140" si="40">20*LOG10(((E77*K77*G77)/(C77*I77*O77*M77))*Adc)</f>
        <v>29.340526808284096</v>
      </c>
      <c r="R77" s="344">
        <f t="shared" ref="R77:R140" si="41">((F77+L77+H77)-(D77+J77+P77+N77))*radconv</f>
        <v>-123.27555066762433</v>
      </c>
      <c r="S77" s="346">
        <f t="shared" ref="S77:S140" si="42">IF(R77&gt;0,R77,R77+180)</f>
        <v>56.72444933237567</v>
      </c>
      <c r="U77" s="319">
        <f t="shared" si="23"/>
        <v>1000000000</v>
      </c>
      <c r="V77" s="319">
        <f t="shared" si="24"/>
        <v>131827.0864</v>
      </c>
      <c r="X77" s="345">
        <f t="shared" ref="X77:X140" si="43">20*LOG10((K77/(I77*M77))*AEA)</f>
        <v>37.440926639533231</v>
      </c>
      <c r="Y77" s="346">
        <f t="shared" ref="Y77:Y140" si="44">(L77-(J77+N77))*radconv</f>
        <v>-59.431150605244504</v>
      </c>
      <c r="AA77" s="345">
        <f t="shared" ref="AA77:AA140" si="45">20*LOG10((E77*G77/(C77*O77))*Acs*Am)</f>
        <v>40.647566972700503</v>
      </c>
      <c r="AB77" s="346">
        <f t="shared" ref="AB77:AB140" si="46">(F77+H77-(D77+P77))*radconv</f>
        <v>-63.844400062379812</v>
      </c>
      <c r="AD77">
        <f t="shared" si="25"/>
        <v>0</v>
      </c>
      <c r="AE77">
        <f t="shared" ref="AE77:AE89" si="47">IF(AD77&gt;0,S75,0)</f>
        <v>0</v>
      </c>
    </row>
    <row r="78" spans="1:31" x14ac:dyDescent="0.2">
      <c r="A78" s="347">
        <v>398.11</v>
      </c>
      <c r="B78" s="364">
        <f t="shared" ref="B78:B141" si="48">A78/1000</f>
        <v>0.39811000000000002</v>
      </c>
      <c r="C78" s="337">
        <f t="shared" si="26"/>
        <v>2.4483203860685014</v>
      </c>
      <c r="D78" s="338">
        <f t="shared" si="27"/>
        <v>1.1500483849882064</v>
      </c>
      <c r="E78" s="338">
        <f t="shared" si="28"/>
        <v>1.0000005005595911</v>
      </c>
      <c r="F78" s="339">
        <f t="shared" si="29"/>
        <v>1.0005592260201941E-3</v>
      </c>
      <c r="G78" s="338">
        <f t="shared" si="30"/>
        <v>1</v>
      </c>
      <c r="H78" s="339">
        <f t="shared" si="31"/>
        <v>0</v>
      </c>
      <c r="I78" s="337">
        <f t="shared" si="32"/>
        <v>1313.3826857854399</v>
      </c>
      <c r="J78" s="340">
        <f t="shared" si="33"/>
        <v>1.5700349340131563</v>
      </c>
      <c r="K78" s="348">
        <f t="shared" si="34"/>
        <v>1.191685614688015</v>
      </c>
      <c r="L78" s="349">
        <f t="shared" si="35"/>
        <v>0.57508238388772648</v>
      </c>
      <c r="M78" s="337">
        <f t="shared" si="36"/>
        <v>1.0000008367688116</v>
      </c>
      <c r="N78" s="340">
        <f t="shared" si="37"/>
        <v>1.2936523706728105E-3</v>
      </c>
      <c r="O78" s="341">
        <f t="shared" si="38"/>
        <v>0.99999841709060266</v>
      </c>
      <c r="P78" s="342">
        <f t="shared" si="39"/>
        <v>5.9683893581382924E-4</v>
      </c>
      <c r="Q78" s="343">
        <f t="shared" si="40"/>
        <v>28.106341900122572</v>
      </c>
      <c r="R78" s="344">
        <f t="shared" si="41"/>
        <v>-122.95049012638177</v>
      </c>
      <c r="S78" s="346">
        <f t="shared" si="42"/>
        <v>57.049509873618234</v>
      </c>
      <c r="U78" s="319">
        <f t="shared" ref="U78:U141" si="49">IF(Q78&lt;0,A78,1000000000)</f>
        <v>1000000000</v>
      </c>
      <c r="V78" s="319">
        <f t="shared" ref="V78:V141" si="50">A78^2</f>
        <v>158491.57210000002</v>
      </c>
      <c r="X78" s="345">
        <f t="shared" si="43"/>
        <v>36.862625334821189</v>
      </c>
      <c r="Y78" s="346">
        <f t="shared" si="44"/>
        <v>-57.080702824186467</v>
      </c>
      <c r="AA78" s="345">
        <f t="shared" si="45"/>
        <v>39.991683369251028</v>
      </c>
      <c r="AB78" s="346">
        <f t="shared" si="46"/>
        <v>-65.869787302195263</v>
      </c>
      <c r="AD78">
        <f t="shared" ref="AD78:AD141" si="51">SUM((Q79&lt;0)*(Q78&gt;0))*A78</f>
        <v>0</v>
      </c>
      <c r="AE78">
        <f t="shared" si="47"/>
        <v>0</v>
      </c>
    </row>
    <row r="79" spans="1:31" x14ac:dyDescent="0.2">
      <c r="A79" s="347">
        <v>436.52</v>
      </c>
      <c r="B79" s="364">
        <f t="shared" si="48"/>
        <v>0.43651999999999996</v>
      </c>
      <c r="C79" s="337">
        <f t="shared" si="26"/>
        <v>2.6465951272083843</v>
      </c>
      <c r="D79" s="338">
        <f t="shared" si="27"/>
        <v>1.1833297988267564</v>
      </c>
      <c r="E79" s="338">
        <f t="shared" si="28"/>
        <v>1.0000006018079008</v>
      </c>
      <c r="F79" s="339">
        <f t="shared" si="29"/>
        <v>1.0970939787025261E-3</v>
      </c>
      <c r="G79" s="338">
        <f t="shared" si="30"/>
        <v>1</v>
      </c>
      <c r="H79" s="339">
        <f t="shared" si="31"/>
        <v>0</v>
      </c>
      <c r="I79" s="337">
        <f t="shared" si="32"/>
        <v>1440.0989225104211</v>
      </c>
      <c r="J79" s="340">
        <f t="shared" si="33"/>
        <v>1.5701019299970562</v>
      </c>
      <c r="K79" s="348">
        <f t="shared" si="34"/>
        <v>1.2268216302791621</v>
      </c>
      <c r="L79" s="349">
        <f t="shared" si="35"/>
        <v>0.61786964731209992</v>
      </c>
      <c r="M79" s="337">
        <f t="shared" si="36"/>
        <v>1.0000010060222073</v>
      </c>
      <c r="N79" s="340">
        <f t="shared" si="37"/>
        <v>1.4184649195631885E-3</v>
      </c>
      <c r="O79" s="341">
        <f t="shared" si="38"/>
        <v>0.99999809691511177</v>
      </c>
      <c r="P79" s="342">
        <f t="shared" si="39"/>
        <v>6.5442269424599879E-4</v>
      </c>
      <c r="Q79" s="343">
        <f t="shared" si="40"/>
        <v>26.882332673212378</v>
      </c>
      <c r="R79" s="344">
        <f t="shared" si="41"/>
        <v>-122.41460315564065</v>
      </c>
      <c r="S79" s="346">
        <f t="shared" si="42"/>
        <v>57.585396844359352</v>
      </c>
      <c r="U79" s="319">
        <f t="shared" si="49"/>
        <v>1000000000</v>
      </c>
      <c r="V79" s="319">
        <f t="shared" si="50"/>
        <v>190549.71039999998</v>
      </c>
      <c r="X79" s="345">
        <f t="shared" si="43"/>
        <v>36.314997643323366</v>
      </c>
      <c r="Y79" s="346">
        <f t="shared" si="44"/>
        <v>-54.640163029670155</v>
      </c>
      <c r="AA79" s="345">
        <f t="shared" si="45"/>
        <v>39.31530183383866</v>
      </c>
      <c r="AB79" s="346">
        <f t="shared" si="46"/>
        <v>-67.774440125970486</v>
      </c>
      <c r="AD79">
        <f t="shared" si="51"/>
        <v>0</v>
      </c>
      <c r="AE79">
        <f t="shared" si="47"/>
        <v>0</v>
      </c>
    </row>
    <row r="80" spans="1:31" x14ac:dyDescent="0.2">
      <c r="A80" s="347">
        <v>478.63</v>
      </c>
      <c r="B80" s="364">
        <f t="shared" si="48"/>
        <v>0.47863</v>
      </c>
      <c r="C80" s="337">
        <f t="shared" si="26"/>
        <v>2.8668475732060075</v>
      </c>
      <c r="D80" s="338">
        <f t="shared" si="27"/>
        <v>1.2144897272648718</v>
      </c>
      <c r="E80" s="338">
        <f t="shared" si="28"/>
        <v>1.0000007235180965</v>
      </c>
      <c r="F80" s="339">
        <f t="shared" si="29"/>
        <v>1.2029278118289204E-3</v>
      </c>
      <c r="G80" s="338">
        <f t="shared" si="30"/>
        <v>1</v>
      </c>
      <c r="H80" s="339">
        <f t="shared" si="31"/>
        <v>0</v>
      </c>
      <c r="I80" s="337">
        <f t="shared" si="32"/>
        <v>1579.021624041128</v>
      </c>
      <c r="J80" s="340">
        <f t="shared" si="33"/>
        <v>1.5701630232025834</v>
      </c>
      <c r="K80" s="348">
        <f t="shared" si="34"/>
        <v>1.2677702833453137</v>
      </c>
      <c r="L80" s="349">
        <f t="shared" si="35"/>
        <v>0.66196418529086087</v>
      </c>
      <c r="M80" s="337">
        <f t="shared" si="36"/>
        <v>1.0000012094810349</v>
      </c>
      <c r="N80" s="340">
        <f t="shared" si="37"/>
        <v>1.5553004956530062E-3</v>
      </c>
      <c r="O80" s="341">
        <f t="shared" si="38"/>
        <v>0.99999771203340049</v>
      </c>
      <c r="P80" s="342">
        <f t="shared" si="39"/>
        <v>7.1755351237963352E-4</v>
      </c>
      <c r="Q80" s="343">
        <f t="shared" si="40"/>
        <v>25.673261245896001</v>
      </c>
      <c r="R80" s="344">
        <f t="shared" si="41"/>
        <v>-121.68239839977458</v>
      </c>
      <c r="S80" s="346">
        <f t="shared" si="42"/>
        <v>58.317601600225416</v>
      </c>
      <c r="U80" s="319">
        <f t="shared" si="49"/>
        <v>1000000000</v>
      </c>
      <c r="V80" s="319">
        <f t="shared" si="50"/>
        <v>229086.67689999999</v>
      </c>
      <c r="X80" s="345">
        <f t="shared" si="43"/>
        <v>35.800263697644624</v>
      </c>
      <c r="Y80" s="346">
        <f t="shared" si="44"/>
        <v>-52.125072584864739</v>
      </c>
      <c r="AA80" s="345">
        <f t="shared" si="45"/>
        <v>38.620964352201021</v>
      </c>
      <c r="AB80" s="346">
        <f t="shared" si="46"/>
        <v>-69.557325814909845</v>
      </c>
      <c r="AD80">
        <f t="shared" si="51"/>
        <v>0</v>
      </c>
      <c r="AE80">
        <f t="shared" si="47"/>
        <v>0</v>
      </c>
    </row>
    <row r="81" spans="1:31" x14ac:dyDescent="0.2">
      <c r="A81" s="347">
        <v>524.80999999999995</v>
      </c>
      <c r="B81" s="364">
        <f t="shared" si="48"/>
        <v>0.52481</v>
      </c>
      <c r="C81" s="337">
        <f t="shared" si="26"/>
        <v>3.1111110385284784</v>
      </c>
      <c r="D81" s="338">
        <f t="shared" si="27"/>
        <v>1.2435585885165419</v>
      </c>
      <c r="E81" s="338">
        <f t="shared" si="28"/>
        <v>1.0000008698687664</v>
      </c>
      <c r="F81" s="339">
        <f t="shared" si="29"/>
        <v>1.3189906260180563E-3</v>
      </c>
      <c r="G81" s="338">
        <f t="shared" si="30"/>
        <v>1</v>
      </c>
      <c r="H81" s="339">
        <f t="shared" si="31"/>
        <v>0</v>
      </c>
      <c r="I81" s="337">
        <f t="shared" si="32"/>
        <v>1731.3714362948347</v>
      </c>
      <c r="J81" s="340">
        <f t="shared" si="33"/>
        <v>1.5702187499476437</v>
      </c>
      <c r="K81" s="348">
        <f t="shared" si="34"/>
        <v>1.3153220883346093</v>
      </c>
      <c r="L81" s="349">
        <f t="shared" si="35"/>
        <v>0.70706758819635829</v>
      </c>
      <c r="M81" s="337">
        <f t="shared" si="36"/>
        <v>1.0000014541304898</v>
      </c>
      <c r="N81" s="340">
        <f t="shared" si="37"/>
        <v>1.7053613856126771E-3</v>
      </c>
      <c r="O81" s="341">
        <f t="shared" si="38"/>
        <v>0.99999724923159583</v>
      </c>
      <c r="P81" s="342">
        <f t="shared" si="39"/>
        <v>7.8678611798413455E-4</v>
      </c>
      <c r="Q81" s="343">
        <f t="shared" si="40"/>
        <v>24.482833726348762</v>
      </c>
      <c r="R81" s="344">
        <f t="shared" si="41"/>
        <v>-120.77279442520121</v>
      </c>
      <c r="S81" s="346">
        <f t="shared" si="42"/>
        <v>59.227205574798788</v>
      </c>
      <c r="U81" s="319">
        <f t="shared" si="49"/>
        <v>1000000000</v>
      </c>
      <c r="V81" s="319">
        <f t="shared" si="50"/>
        <v>275425.53609999997</v>
      </c>
      <c r="X81" s="345">
        <f t="shared" si="43"/>
        <v>35.320049069439314</v>
      </c>
      <c r="Y81" s="346">
        <f t="shared" si="44"/>
        <v>-49.552628716724819</v>
      </c>
      <c r="AA81" s="345">
        <f t="shared" si="45"/>
        <v>37.910751460859089</v>
      </c>
      <c r="AB81" s="346">
        <f t="shared" si="46"/>
        <v>-71.220165708476372</v>
      </c>
      <c r="AD81">
        <f t="shared" si="51"/>
        <v>0</v>
      </c>
      <c r="AE81">
        <f t="shared" si="47"/>
        <v>0</v>
      </c>
    </row>
    <row r="82" spans="1:31" x14ac:dyDescent="0.2">
      <c r="A82" s="347">
        <v>575.44000000000005</v>
      </c>
      <c r="B82" s="364">
        <f t="shared" si="48"/>
        <v>0.57544000000000006</v>
      </c>
      <c r="C82" s="337">
        <f t="shared" si="26"/>
        <v>3.3814743246229515</v>
      </c>
      <c r="D82" s="338">
        <f t="shared" si="27"/>
        <v>1.2705777710037909</v>
      </c>
      <c r="E82" s="338">
        <f t="shared" si="28"/>
        <v>1.0000010458022941</v>
      </c>
      <c r="F82" s="339">
        <f t="shared" si="29"/>
        <v>1.4462374512938722E-3</v>
      </c>
      <c r="G82" s="338">
        <f t="shared" si="30"/>
        <v>1</v>
      </c>
      <c r="H82" s="339">
        <f t="shared" si="31"/>
        <v>0</v>
      </c>
      <c r="I82" s="337">
        <f t="shared" si="32"/>
        <v>1898.4019956655609</v>
      </c>
      <c r="J82" s="340">
        <f t="shared" si="33"/>
        <v>1.570269567947967</v>
      </c>
      <c r="K82" s="348">
        <f t="shared" si="34"/>
        <v>1.3703034451509291</v>
      </c>
      <c r="L82" s="349">
        <f t="shared" si="35"/>
        <v>0.75281761775509137</v>
      </c>
      <c r="M82" s="337">
        <f t="shared" si="36"/>
        <v>1.000001748232574</v>
      </c>
      <c r="N82" s="340">
        <f t="shared" si="37"/>
        <v>1.8698823637680673E-3</v>
      </c>
      <c r="O82" s="341">
        <f t="shared" si="38"/>
        <v>0.9999966928804872</v>
      </c>
      <c r="P82" s="342">
        <f t="shared" si="39"/>
        <v>8.6269024040718607E-4</v>
      </c>
      <c r="Q82" s="343">
        <f t="shared" si="40"/>
        <v>23.314759941760315</v>
      </c>
      <c r="R82" s="344">
        <f t="shared" si="41"/>
        <v>-119.70899223453384</v>
      </c>
      <c r="S82" s="346">
        <f t="shared" si="42"/>
        <v>60.291007765466162</v>
      </c>
      <c r="U82" s="319">
        <f t="shared" si="49"/>
        <v>1000000000</v>
      </c>
      <c r="V82" s="319">
        <f t="shared" si="50"/>
        <v>331131.19360000006</v>
      </c>
      <c r="X82" s="345">
        <f t="shared" si="43"/>
        <v>34.875780572801382</v>
      </c>
      <c r="Y82" s="346">
        <f t="shared" si="44"/>
        <v>-46.943683122060996</v>
      </c>
      <c r="AA82" s="345">
        <f t="shared" si="45"/>
        <v>37.186946172908577</v>
      </c>
      <c r="AB82" s="346">
        <f t="shared" si="46"/>
        <v>-72.765309112472849</v>
      </c>
      <c r="AD82">
        <f t="shared" si="51"/>
        <v>0</v>
      </c>
      <c r="AE82">
        <f t="shared" si="47"/>
        <v>0</v>
      </c>
    </row>
    <row r="83" spans="1:31" x14ac:dyDescent="0.2">
      <c r="A83" s="347">
        <v>630.96</v>
      </c>
      <c r="B83" s="364">
        <f t="shared" si="48"/>
        <v>0.63096000000000008</v>
      </c>
      <c r="C83" s="337">
        <f t="shared" si="26"/>
        <v>3.6803495946446336</v>
      </c>
      <c r="D83" s="338">
        <f t="shared" si="27"/>
        <v>1.2956234456524567</v>
      </c>
      <c r="E83" s="338">
        <f t="shared" si="28"/>
        <v>1.0000012573410806</v>
      </c>
      <c r="F83" s="339">
        <f t="shared" si="29"/>
        <v>1.5857741095159676E-3</v>
      </c>
      <c r="G83" s="338">
        <f t="shared" si="30"/>
        <v>1</v>
      </c>
      <c r="H83" s="339">
        <f t="shared" si="31"/>
        <v>0</v>
      </c>
      <c r="I83" s="337">
        <f t="shared" si="32"/>
        <v>2081.564881179961</v>
      </c>
      <c r="J83" s="340">
        <f t="shared" si="33"/>
        <v>1.5703159189788796</v>
      </c>
      <c r="K83" s="348">
        <f t="shared" si="34"/>
        <v>1.4336227037226426</v>
      </c>
      <c r="L83" s="349">
        <f t="shared" si="35"/>
        <v>0.7988466671805784</v>
      </c>
      <c r="M83" s="337">
        <f t="shared" si="36"/>
        <v>1.0000021018547101</v>
      </c>
      <c r="N83" s="340">
        <f t="shared" si="37"/>
        <v>2.0502931636712475E-3</v>
      </c>
      <c r="O83" s="341">
        <f t="shared" si="38"/>
        <v>0.99999602393554288</v>
      </c>
      <c r="P83" s="342">
        <f t="shared" si="39"/>
        <v>9.4592557324490762E-4</v>
      </c>
      <c r="Q83" s="343">
        <f t="shared" si="40"/>
        <v>22.171431923333603</v>
      </c>
      <c r="R83" s="344">
        <f t="shared" si="41"/>
        <v>-118.51650008605297</v>
      </c>
      <c r="S83" s="346">
        <f t="shared" si="42"/>
        <v>61.483499913947028</v>
      </c>
      <c r="U83" s="319">
        <f t="shared" si="49"/>
        <v>1000000000</v>
      </c>
      <c r="V83" s="319">
        <f t="shared" si="50"/>
        <v>398110.52160000004</v>
      </c>
      <c r="X83" s="345">
        <f t="shared" si="43"/>
        <v>34.468104503803282</v>
      </c>
      <c r="Y83" s="346">
        <f t="shared" si="44"/>
        <v>-44.319405347843237</v>
      </c>
      <c r="AA83" s="345">
        <f t="shared" si="45"/>
        <v>36.451294223479962</v>
      </c>
      <c r="AB83" s="346">
        <f t="shared" si="46"/>
        <v>-74.197094738209742</v>
      </c>
      <c r="AD83">
        <f t="shared" si="51"/>
        <v>0</v>
      </c>
      <c r="AE83">
        <f t="shared" si="47"/>
        <v>0</v>
      </c>
    </row>
    <row r="84" spans="1:31" x14ac:dyDescent="0.2">
      <c r="A84" s="347">
        <v>691.83</v>
      </c>
      <c r="B84" s="364">
        <f t="shared" si="48"/>
        <v>0.69183000000000006</v>
      </c>
      <c r="C84" s="337">
        <f t="shared" si="26"/>
        <v>4.0102625538732664</v>
      </c>
      <c r="D84" s="338">
        <f t="shared" si="27"/>
        <v>1.318776765105947</v>
      </c>
      <c r="E84" s="338">
        <f t="shared" si="28"/>
        <v>1.0000015116393042</v>
      </c>
      <c r="F84" s="339">
        <f t="shared" si="29"/>
        <v>1.738756682191061E-3</v>
      </c>
      <c r="G84" s="338">
        <f t="shared" si="30"/>
        <v>1</v>
      </c>
      <c r="H84" s="339">
        <f t="shared" si="31"/>
        <v>0</v>
      </c>
      <c r="I84" s="337">
        <f t="shared" si="32"/>
        <v>2282.377652768389</v>
      </c>
      <c r="J84" s="340">
        <f t="shared" si="33"/>
        <v>1.5703581871948258</v>
      </c>
      <c r="K84" s="348">
        <f t="shared" si="34"/>
        <v>1.5062218384947685</v>
      </c>
      <c r="L84" s="349">
        <f t="shared" si="35"/>
        <v>0.84475725692122516</v>
      </c>
      <c r="M84" s="337">
        <f t="shared" si="36"/>
        <v>1.0000025269562642</v>
      </c>
      <c r="N84" s="340">
        <f t="shared" si="37"/>
        <v>2.2480884959933988E-3</v>
      </c>
      <c r="O84" s="341">
        <f t="shared" si="38"/>
        <v>0.99999521977322492</v>
      </c>
      <c r="P84" s="342">
        <f t="shared" si="39"/>
        <v>1.0371818107941875E-3</v>
      </c>
      <c r="Q84" s="343">
        <f t="shared" si="40"/>
        <v>21.054893079301525</v>
      </c>
      <c r="R84" s="344">
        <f t="shared" si="41"/>
        <v>-117.22282251352539</v>
      </c>
      <c r="S84" s="346">
        <f t="shared" si="42"/>
        <v>62.777177486474613</v>
      </c>
      <c r="U84" s="319">
        <f t="shared" si="49"/>
        <v>1000000000</v>
      </c>
      <c r="V84" s="319">
        <f t="shared" si="50"/>
        <v>478628.74890000006</v>
      </c>
      <c r="X84" s="345">
        <f t="shared" si="43"/>
        <v>34.097231125429388</v>
      </c>
      <c r="Y84" s="346">
        <f t="shared" si="44"/>
        <v>-41.702676945888228</v>
      </c>
      <c r="AA84" s="345">
        <f t="shared" si="45"/>
        <v>35.705628757821785</v>
      </c>
      <c r="AB84" s="346">
        <f t="shared" si="46"/>
        <v>-75.520145567637158</v>
      </c>
      <c r="AD84">
        <f t="shared" si="51"/>
        <v>0</v>
      </c>
      <c r="AE84">
        <f t="shared" si="47"/>
        <v>0</v>
      </c>
    </row>
    <row r="85" spans="1:31" x14ac:dyDescent="0.2">
      <c r="A85" s="347">
        <v>758.58</v>
      </c>
      <c r="B85" s="364">
        <f t="shared" si="48"/>
        <v>0.75858000000000003</v>
      </c>
      <c r="C85" s="337">
        <f t="shared" si="26"/>
        <v>4.3741246435625003</v>
      </c>
      <c r="D85" s="338">
        <f t="shared" si="27"/>
        <v>1.3401393293384907</v>
      </c>
      <c r="E85" s="338">
        <f t="shared" si="28"/>
        <v>1.0000018174066161</v>
      </c>
      <c r="F85" s="339">
        <f t="shared" si="29"/>
        <v>1.9065171720051256E-3</v>
      </c>
      <c r="G85" s="338">
        <f t="shared" si="30"/>
        <v>1</v>
      </c>
      <c r="H85" s="339">
        <f t="shared" si="31"/>
        <v>0</v>
      </c>
      <c r="I85" s="337">
        <f t="shared" si="32"/>
        <v>2502.5888034314012</v>
      </c>
      <c r="J85" s="340">
        <f t="shared" si="33"/>
        <v>1.570396740564334</v>
      </c>
      <c r="K85" s="348">
        <f t="shared" si="34"/>
        <v>1.5891293223906693</v>
      </c>
      <c r="L85" s="349">
        <f t="shared" si="35"/>
        <v>0.89017580172634525</v>
      </c>
      <c r="M85" s="337">
        <f t="shared" si="36"/>
        <v>1.000003038096819</v>
      </c>
      <c r="N85" s="340">
        <f t="shared" si="37"/>
        <v>2.4649905181541223E-3</v>
      </c>
      <c r="O85" s="341">
        <f t="shared" si="38"/>
        <v>0.99999425285114429</v>
      </c>
      <c r="P85" s="342">
        <f t="shared" si="39"/>
        <v>1.1372536133600049E-3</v>
      </c>
      <c r="Q85" s="343">
        <f t="shared" si="40"/>
        <v>19.965898954598625</v>
      </c>
      <c r="R85" s="344">
        <f t="shared" si="41"/>
        <v>-115.85527459280179</v>
      </c>
      <c r="S85" s="346">
        <f t="shared" si="42"/>
        <v>64.144725407198209</v>
      </c>
      <c r="U85" s="319">
        <f t="shared" si="49"/>
        <v>1000000000</v>
      </c>
      <c r="V85" s="319">
        <f t="shared" si="50"/>
        <v>575443.61640000006</v>
      </c>
      <c r="X85" s="345">
        <f t="shared" si="43"/>
        <v>33.762592893440264</v>
      </c>
      <c r="Y85" s="346">
        <f t="shared" si="44"/>
        <v>-39.115022529768687</v>
      </c>
      <c r="AA85" s="345">
        <f t="shared" si="45"/>
        <v>34.95127286510801</v>
      </c>
      <c r="AB85" s="346">
        <f t="shared" si="46"/>
        <v>-76.740252063033111</v>
      </c>
      <c r="AD85">
        <f t="shared" si="51"/>
        <v>0</v>
      </c>
      <c r="AE85">
        <f t="shared" si="47"/>
        <v>0</v>
      </c>
    </row>
    <row r="86" spans="1:31" x14ac:dyDescent="0.2">
      <c r="A86" s="347">
        <v>831.76</v>
      </c>
      <c r="B86" s="364">
        <f t="shared" si="48"/>
        <v>0.83175999999999994</v>
      </c>
      <c r="C86" s="337">
        <f t="shared" si="26"/>
        <v>4.7749642441068598</v>
      </c>
      <c r="D86" s="338">
        <f t="shared" si="27"/>
        <v>1.3598087772948384</v>
      </c>
      <c r="E86" s="338">
        <f t="shared" si="28"/>
        <v>1.0000021849691536</v>
      </c>
      <c r="F86" s="339">
        <f t="shared" si="29"/>
        <v>2.0904378370232941E-3</v>
      </c>
      <c r="G86" s="338">
        <f t="shared" si="30"/>
        <v>1</v>
      </c>
      <c r="H86" s="339">
        <f t="shared" si="31"/>
        <v>0</v>
      </c>
      <c r="I86" s="337">
        <f t="shared" si="32"/>
        <v>2744.0128070694664</v>
      </c>
      <c r="J86" s="340">
        <f t="shared" si="33"/>
        <v>1.5704318970008524</v>
      </c>
      <c r="K86" s="348">
        <f t="shared" si="34"/>
        <v>1.6833965858295685</v>
      </c>
      <c r="L86" s="349">
        <f t="shared" si="35"/>
        <v>0.93472821231818171</v>
      </c>
      <c r="M86" s="337">
        <f t="shared" si="36"/>
        <v>1.0000036525381593</v>
      </c>
      <c r="N86" s="340">
        <f t="shared" si="37"/>
        <v>2.7027863554677169E-3</v>
      </c>
      <c r="O86" s="341">
        <f t="shared" si="38"/>
        <v>0.99999309051511465</v>
      </c>
      <c r="P86" s="342">
        <f t="shared" si="39"/>
        <v>1.2469656544780113E-3</v>
      </c>
      <c r="Q86" s="343">
        <f t="shared" si="40"/>
        <v>18.904938795981042</v>
      </c>
      <c r="R86" s="344">
        <f t="shared" si="41"/>
        <v>-114.4409730227366</v>
      </c>
      <c r="S86" s="346">
        <f t="shared" si="42"/>
        <v>65.5590269772634</v>
      </c>
      <c r="U86" s="319">
        <f t="shared" si="49"/>
        <v>1000000000</v>
      </c>
      <c r="V86" s="319">
        <f t="shared" si="50"/>
        <v>691824.69759999996</v>
      </c>
      <c r="X86" s="345">
        <f t="shared" si="43"/>
        <v>33.463198835479744</v>
      </c>
      <c r="Y86" s="346">
        <f t="shared" si="44"/>
        <v>-36.577996446122597</v>
      </c>
      <c r="AA86" s="345">
        <f t="shared" si="45"/>
        <v>34.189706764450939</v>
      </c>
      <c r="AB86" s="346">
        <f t="shared" si="46"/>
        <v>-77.862976576614017</v>
      </c>
      <c r="AD86">
        <f t="shared" si="51"/>
        <v>0</v>
      </c>
      <c r="AE86">
        <f t="shared" si="47"/>
        <v>0</v>
      </c>
    </row>
    <row r="87" spans="1:31" x14ac:dyDescent="0.2">
      <c r="A87" s="347">
        <v>912.01</v>
      </c>
      <c r="B87" s="364">
        <f t="shared" si="48"/>
        <v>0.91200999999999999</v>
      </c>
      <c r="C87" s="337">
        <f t="shared" si="26"/>
        <v>5.2163104754094496</v>
      </c>
      <c r="D87" s="338">
        <f t="shared" si="27"/>
        <v>1.3778958466594027</v>
      </c>
      <c r="E87" s="338">
        <f t="shared" si="28"/>
        <v>1.0000026269291085</v>
      </c>
      <c r="F87" s="339">
        <f t="shared" si="29"/>
        <v>2.2921271160112572E-3</v>
      </c>
      <c r="G87" s="338">
        <f t="shared" si="30"/>
        <v>1</v>
      </c>
      <c r="H87" s="339">
        <f t="shared" si="31"/>
        <v>0</v>
      </c>
      <c r="I87" s="337">
        <f t="shared" si="32"/>
        <v>3008.76105152523</v>
      </c>
      <c r="J87" s="340">
        <f t="shared" si="33"/>
        <v>1.5704639640710758</v>
      </c>
      <c r="K87" s="348">
        <f t="shared" si="34"/>
        <v>1.7901836181805275</v>
      </c>
      <c r="L87" s="349">
        <f t="shared" si="35"/>
        <v>0.97809706897080229</v>
      </c>
      <c r="M87" s="337">
        <f t="shared" si="36"/>
        <v>1.000004391346839</v>
      </c>
      <c r="N87" s="340">
        <f t="shared" si="37"/>
        <v>2.9635555568442006E-3</v>
      </c>
      <c r="O87" s="341">
        <f t="shared" si="38"/>
        <v>0.99999169291340495</v>
      </c>
      <c r="P87" s="342">
        <f t="shared" si="39"/>
        <v>1.3672775747629296E-3</v>
      </c>
      <c r="Q87" s="343">
        <f t="shared" si="40"/>
        <v>17.871273621067793</v>
      </c>
      <c r="R87" s="344">
        <f t="shared" si="41"/>
        <v>-113.00454901419154</v>
      </c>
      <c r="S87" s="346">
        <f t="shared" si="42"/>
        <v>66.995450985808461</v>
      </c>
      <c r="U87" s="319">
        <f t="shared" si="49"/>
        <v>1000000000</v>
      </c>
      <c r="V87" s="319">
        <f t="shared" si="50"/>
        <v>831762.24009999994</v>
      </c>
      <c r="X87" s="345">
        <f t="shared" si="43"/>
        <v>33.197383860334753</v>
      </c>
      <c r="Y87" s="346">
        <f t="shared" si="44"/>
        <v>-34.109922277250412</v>
      </c>
      <c r="AA87" s="345">
        <f t="shared" si="45"/>
        <v>33.421856564682685</v>
      </c>
      <c r="AB87" s="346">
        <f t="shared" si="46"/>
        <v>-78.894626736941134</v>
      </c>
      <c r="AD87">
        <f t="shared" si="51"/>
        <v>0</v>
      </c>
      <c r="AE87">
        <f t="shared" si="47"/>
        <v>0</v>
      </c>
    </row>
    <row r="88" spans="1:31" x14ac:dyDescent="0.2">
      <c r="A88" s="347">
        <v>1000</v>
      </c>
      <c r="B88" s="364">
        <f t="shared" si="48"/>
        <v>1</v>
      </c>
      <c r="C88" s="337">
        <f t="shared" si="26"/>
        <v>5.7018665861642308</v>
      </c>
      <c r="D88" s="338">
        <f t="shared" si="27"/>
        <v>1.3945034069486599</v>
      </c>
      <c r="E88" s="338">
        <f t="shared" si="28"/>
        <v>1.0000031582684139</v>
      </c>
      <c r="F88" s="339">
        <f t="shared" si="29"/>
        <v>2.5132688282821867E-3</v>
      </c>
      <c r="G88" s="338">
        <f t="shared" si="30"/>
        <v>1</v>
      </c>
      <c r="H88" s="339">
        <f t="shared" si="31"/>
        <v>0</v>
      </c>
      <c r="I88" s="337">
        <f t="shared" si="32"/>
        <v>3299.0438959740027</v>
      </c>
      <c r="J88" s="340">
        <f t="shared" si="33"/>
        <v>1.570493208665267</v>
      </c>
      <c r="K88" s="348">
        <f t="shared" si="34"/>
        <v>1.910682148392991</v>
      </c>
      <c r="L88" s="349">
        <f t="shared" si="35"/>
        <v>1.0199913888345262</v>
      </c>
      <c r="M88" s="337">
        <f t="shared" si="36"/>
        <v>1.0000052795674981</v>
      </c>
      <c r="N88" s="340">
        <f t="shared" si="37"/>
        <v>3.2494751175865355E-3</v>
      </c>
      <c r="O88" s="341">
        <f t="shared" si="38"/>
        <v>0.99999001266884269</v>
      </c>
      <c r="P88" s="342">
        <f t="shared" si="39"/>
        <v>1.4991940420784327E-3</v>
      </c>
      <c r="Q88" s="343">
        <f t="shared" si="40"/>
        <v>16.86402217797626</v>
      </c>
      <c r="R88" s="344">
        <f t="shared" si="41"/>
        <v>-111.56866975734138</v>
      </c>
      <c r="S88" s="346">
        <f t="shared" si="42"/>
        <v>68.431330242658618</v>
      </c>
      <c r="U88" s="319">
        <f t="shared" si="49"/>
        <v>1000000000</v>
      </c>
      <c r="V88" s="319">
        <f t="shared" si="50"/>
        <v>1000000</v>
      </c>
      <c r="X88" s="345">
        <f t="shared" si="43"/>
        <v>32.963185579541545</v>
      </c>
      <c r="Y88" s="346">
        <f t="shared" si="44"/>
        <v>-31.727612136697253</v>
      </c>
      <c r="AA88" s="345">
        <f t="shared" si="45"/>
        <v>32.64880340238436</v>
      </c>
      <c r="AB88" s="346">
        <f t="shared" si="46"/>
        <v>-79.841057620644122</v>
      </c>
      <c r="AD88">
        <f t="shared" si="51"/>
        <v>0</v>
      </c>
      <c r="AE88">
        <f t="shared" si="47"/>
        <v>0</v>
      </c>
    </row>
    <row r="89" spans="1:31" x14ac:dyDescent="0.2">
      <c r="A89" s="347">
        <v>1096.5</v>
      </c>
      <c r="B89" s="364">
        <f t="shared" si="48"/>
        <v>1.0965</v>
      </c>
      <c r="C89" s="337">
        <f t="shared" si="26"/>
        <v>6.2358961699833939</v>
      </c>
      <c r="D89" s="338">
        <f t="shared" si="27"/>
        <v>1.4097390654121691</v>
      </c>
      <c r="E89" s="338">
        <f t="shared" si="28"/>
        <v>1.0000037972235896</v>
      </c>
      <c r="F89" s="339">
        <f t="shared" si="29"/>
        <v>2.7557980963265234E-3</v>
      </c>
      <c r="G89" s="338">
        <f t="shared" si="30"/>
        <v>1</v>
      </c>
      <c r="H89" s="339">
        <f t="shared" si="31"/>
        <v>0</v>
      </c>
      <c r="I89" s="337">
        <f t="shared" si="32"/>
        <v>3617.4016039717412</v>
      </c>
      <c r="J89" s="340">
        <f t="shared" si="33"/>
        <v>1.570519885270782</v>
      </c>
      <c r="K89" s="348">
        <f t="shared" si="34"/>
        <v>2.0462103074227374</v>
      </c>
      <c r="L89" s="349">
        <f t="shared" si="35"/>
        <v>1.0601877148547698</v>
      </c>
      <c r="M89" s="337">
        <f t="shared" si="36"/>
        <v>1.0000063476852874</v>
      </c>
      <c r="N89" s="340">
        <f t="shared" si="37"/>
        <v>3.5630469292743431E-3</v>
      </c>
      <c r="O89" s="341">
        <f t="shared" si="38"/>
        <v>0.99998799211228839</v>
      </c>
      <c r="P89" s="342">
        <f t="shared" si="39"/>
        <v>1.6438697132883998E-3</v>
      </c>
      <c r="Q89" s="343">
        <f t="shared" si="40"/>
        <v>15.88146330715583</v>
      </c>
      <c r="R89" s="344">
        <f t="shared" si="41"/>
        <v>-110.15241705107604</v>
      </c>
      <c r="S89" s="346">
        <f t="shared" si="42"/>
        <v>69.847582948923957</v>
      </c>
      <c r="U89" s="319">
        <f t="shared" si="49"/>
        <v>1000000000</v>
      </c>
      <c r="V89" s="319">
        <f t="shared" si="50"/>
        <v>1202312.25</v>
      </c>
      <c r="X89" s="345">
        <f t="shared" si="43"/>
        <v>32.758240089510608</v>
      </c>
      <c r="Y89" s="346">
        <f t="shared" si="44"/>
        <v>-29.444027099487766</v>
      </c>
      <c r="AA89" s="345">
        <f t="shared" si="45"/>
        <v>31.87119002159486</v>
      </c>
      <c r="AB89" s="346">
        <f t="shared" si="46"/>
        <v>-80.708389951588259</v>
      </c>
      <c r="AD89">
        <f t="shared" si="51"/>
        <v>0</v>
      </c>
      <c r="AE89">
        <f t="shared" si="47"/>
        <v>0</v>
      </c>
    </row>
    <row r="90" spans="1:31" x14ac:dyDescent="0.2">
      <c r="A90" s="347">
        <v>1202.3</v>
      </c>
      <c r="B90" s="364">
        <f t="shared" si="48"/>
        <v>1.2022999999999999</v>
      </c>
      <c r="C90" s="337">
        <f t="shared" si="26"/>
        <v>6.8227821209599409</v>
      </c>
      <c r="D90" s="338">
        <f t="shared" si="27"/>
        <v>1.4236986480783069</v>
      </c>
      <c r="E90" s="338">
        <f t="shared" si="28"/>
        <v>1.0000045653536529</v>
      </c>
      <c r="F90" s="339">
        <f t="shared" si="29"/>
        <v>3.0217002777237992E-3</v>
      </c>
      <c r="G90" s="338">
        <f t="shared" si="30"/>
        <v>1</v>
      </c>
      <c r="H90" s="339">
        <f t="shared" si="31"/>
        <v>0</v>
      </c>
      <c r="I90" s="337">
        <f t="shared" si="32"/>
        <v>3966.4404199676901</v>
      </c>
      <c r="J90" s="340">
        <f t="shared" si="33"/>
        <v>1.5705442115719981</v>
      </c>
      <c r="K90" s="348">
        <f t="shared" si="34"/>
        <v>2.1981043998884311</v>
      </c>
      <c r="L90" s="349">
        <f t="shared" si="35"/>
        <v>1.0984943588922478</v>
      </c>
      <c r="M90" s="337">
        <f t="shared" si="36"/>
        <v>1.0000076317393629</v>
      </c>
      <c r="N90" s="340">
        <f t="shared" si="37"/>
        <v>3.906837807529177E-3</v>
      </c>
      <c r="O90" s="341">
        <f t="shared" si="38"/>
        <v>0.99998556306786746</v>
      </c>
      <c r="P90" s="342">
        <f t="shared" si="39"/>
        <v>1.802489318058872E-3</v>
      </c>
      <c r="Q90" s="343">
        <f t="shared" si="40"/>
        <v>14.922104163544994</v>
      </c>
      <c r="R90" s="344">
        <f t="shared" si="41"/>
        <v>-108.77237791126927</v>
      </c>
      <c r="S90" s="346">
        <f t="shared" si="42"/>
        <v>71.227622088730726</v>
      </c>
      <c r="U90" s="319">
        <f t="shared" si="49"/>
        <v>1000000000</v>
      </c>
      <c r="V90" s="319">
        <f t="shared" si="50"/>
        <v>1445525.2899999998</v>
      </c>
      <c r="X90" s="345">
        <f t="shared" si="43"/>
        <v>32.580105721558347</v>
      </c>
      <c r="Y90" s="346">
        <f t="shared" si="44"/>
        <v>-27.270309627096395</v>
      </c>
      <c r="AA90" s="345">
        <f t="shared" si="45"/>
        <v>31.089965245936291</v>
      </c>
      <c r="AB90" s="346">
        <f t="shared" si="46"/>
        <v>-81.50206828417285</v>
      </c>
      <c r="AD90">
        <f t="shared" si="51"/>
        <v>0</v>
      </c>
      <c r="AE90">
        <f t="shared" ref="AE90:AE153" si="52">IF(AD90&gt;0,S90,0)</f>
        <v>0</v>
      </c>
    </row>
    <row r="91" spans="1:31" x14ac:dyDescent="0.2">
      <c r="A91" s="347">
        <v>1318.3</v>
      </c>
      <c r="B91" s="364">
        <f t="shared" si="48"/>
        <v>1.3183</v>
      </c>
      <c r="C91" s="337">
        <f t="shared" si="26"/>
        <v>7.4675248359260262</v>
      </c>
      <c r="D91" s="338">
        <f t="shared" si="27"/>
        <v>1.4364796433708533</v>
      </c>
      <c r="E91" s="338">
        <f t="shared" si="28"/>
        <v>1.0000054887953072</v>
      </c>
      <c r="F91" s="339">
        <f t="shared" si="29"/>
        <v>3.3132371486112098E-3</v>
      </c>
      <c r="G91" s="338">
        <f t="shared" si="30"/>
        <v>1</v>
      </c>
      <c r="H91" s="339">
        <f t="shared" si="31"/>
        <v>0</v>
      </c>
      <c r="I91" s="337">
        <f t="shared" si="32"/>
        <v>4349.1294832277481</v>
      </c>
      <c r="J91" s="340">
        <f t="shared" si="33"/>
        <v>1.5705663957218698</v>
      </c>
      <c r="K91" s="348">
        <f t="shared" si="34"/>
        <v>2.3678475245360118</v>
      </c>
      <c r="L91" s="349">
        <f t="shared" si="35"/>
        <v>1.1347881297208522</v>
      </c>
      <c r="M91" s="337">
        <f t="shared" si="36"/>
        <v>1.0000091754210945</v>
      </c>
      <c r="N91" s="340">
        <f t="shared" si="37"/>
        <v>4.2837719215933524E-3</v>
      </c>
      <c r="O91" s="341">
        <f t="shared" si="38"/>
        <v>0.99998264288367378</v>
      </c>
      <c r="P91" s="342">
        <f t="shared" si="39"/>
        <v>1.9764026178146501E-3</v>
      </c>
      <c r="Q91" s="343">
        <f t="shared" si="40"/>
        <v>13.98390097621286</v>
      </c>
      <c r="R91" s="344">
        <f t="shared" si="41"/>
        <v>-107.44132356474674</v>
      </c>
      <c r="S91" s="346">
        <f t="shared" si="42"/>
        <v>72.558676435253261</v>
      </c>
      <c r="U91" s="319">
        <f t="shared" si="49"/>
        <v>1000000000</v>
      </c>
      <c r="V91" s="319">
        <f t="shared" si="50"/>
        <v>1737914.89</v>
      </c>
      <c r="X91" s="345">
        <f t="shared" si="43"/>
        <v>32.426172607733747</v>
      </c>
      <c r="Y91" s="346">
        <f t="shared" si="44"/>
        <v>-25.21369752570244</v>
      </c>
      <c r="AA91" s="345">
        <f t="shared" si="45"/>
        <v>30.305695172428756</v>
      </c>
      <c r="AB91" s="346">
        <f t="shared" si="46"/>
        <v>-82.227626039044296</v>
      </c>
      <c r="AD91">
        <f t="shared" si="51"/>
        <v>0</v>
      </c>
      <c r="AE91">
        <f t="shared" si="52"/>
        <v>0</v>
      </c>
    </row>
    <row r="92" spans="1:31" x14ac:dyDescent="0.2">
      <c r="A92" s="347">
        <v>1445.4</v>
      </c>
      <c r="B92" s="364">
        <f t="shared" si="48"/>
        <v>1.4454</v>
      </c>
      <c r="C92" s="337">
        <f t="shared" si="26"/>
        <v>8.1751316726517036</v>
      </c>
      <c r="D92" s="338">
        <f t="shared" si="27"/>
        <v>1.4481670201655645</v>
      </c>
      <c r="E92" s="338">
        <f t="shared" si="28"/>
        <v>1.0000065981835198</v>
      </c>
      <c r="F92" s="339">
        <f t="shared" si="29"/>
        <v>3.6326704337007226E-3</v>
      </c>
      <c r="G92" s="338">
        <f t="shared" si="30"/>
        <v>1</v>
      </c>
      <c r="H92" s="339">
        <f t="shared" si="31"/>
        <v>0</v>
      </c>
      <c r="I92" s="337">
        <f t="shared" si="32"/>
        <v>4768.4379330334914</v>
      </c>
      <c r="J92" s="340">
        <f t="shared" si="33"/>
        <v>1.5705866145114669</v>
      </c>
      <c r="K92" s="348">
        <f t="shared" si="34"/>
        <v>2.5569132962516119</v>
      </c>
      <c r="L92" s="349">
        <f t="shared" si="35"/>
        <v>1.1689735726701105</v>
      </c>
      <c r="M92" s="337">
        <f t="shared" si="36"/>
        <v>1.0000110299412366</v>
      </c>
      <c r="N92" s="340">
        <f t="shared" si="37"/>
        <v>4.6967733295647345E-3</v>
      </c>
      <c r="O92" s="341">
        <f t="shared" si="38"/>
        <v>0.99997913468288391</v>
      </c>
      <c r="P92" s="342">
        <f t="shared" si="39"/>
        <v>2.1669595249680126E-3</v>
      </c>
      <c r="Q92" s="343">
        <f t="shared" si="40"/>
        <v>13.06533280803526</v>
      </c>
      <c r="R92" s="344">
        <f t="shared" si="41"/>
        <v>-106.16971694181785</v>
      </c>
      <c r="S92" s="346">
        <f t="shared" si="42"/>
        <v>73.830283058182147</v>
      </c>
      <c r="U92" s="319">
        <f t="shared" si="49"/>
        <v>1000000000</v>
      </c>
      <c r="V92" s="319">
        <f t="shared" si="50"/>
        <v>2089181.1600000001</v>
      </c>
      <c r="X92" s="345">
        <f t="shared" si="43"/>
        <v>32.293925944499378</v>
      </c>
      <c r="Y92" s="346">
        <f t="shared" si="44"/>
        <v>-23.279837610635411</v>
      </c>
      <c r="AA92" s="345">
        <f t="shared" si="45"/>
        <v>29.519373667485524</v>
      </c>
      <c r="AB92" s="346">
        <f t="shared" si="46"/>
        <v>-82.889879331182456</v>
      </c>
      <c r="AD92">
        <f t="shared" si="51"/>
        <v>0</v>
      </c>
      <c r="AE92">
        <f t="shared" si="52"/>
        <v>0</v>
      </c>
    </row>
    <row r="93" spans="1:31" x14ac:dyDescent="0.2">
      <c r="A93" s="347">
        <v>1584.9</v>
      </c>
      <c r="B93" s="364">
        <f t="shared" si="48"/>
        <v>1.5849000000000002</v>
      </c>
      <c r="C93" s="337">
        <f t="shared" si="26"/>
        <v>8.9528455299951464</v>
      </c>
      <c r="D93" s="338">
        <f t="shared" si="27"/>
        <v>1.458866426622583</v>
      </c>
      <c r="E93" s="338">
        <f t="shared" si="28"/>
        <v>1.0000079332607859</v>
      </c>
      <c r="F93" s="339">
        <f t="shared" si="29"/>
        <v>3.9832670859291904E-3</v>
      </c>
      <c r="G93" s="338">
        <f t="shared" si="30"/>
        <v>1</v>
      </c>
      <c r="H93" s="339">
        <f t="shared" si="31"/>
        <v>0</v>
      </c>
      <c r="I93" s="337">
        <f t="shared" si="32"/>
        <v>5228.6545261501296</v>
      </c>
      <c r="J93" s="340">
        <f t="shared" si="33"/>
        <v>1.5706050730027221</v>
      </c>
      <c r="K93" s="348">
        <f t="shared" si="34"/>
        <v>2.7673688437332338</v>
      </c>
      <c r="L93" s="349">
        <f t="shared" si="35"/>
        <v>1.2010766424051678</v>
      </c>
      <c r="M93" s="337">
        <f t="shared" si="36"/>
        <v>1.0000132617349591</v>
      </c>
      <c r="N93" s="340">
        <f t="shared" si="37"/>
        <v>5.1500657081850199E-3</v>
      </c>
      <c r="O93" s="341">
        <f t="shared" si="38"/>
        <v>0.99997491278789108</v>
      </c>
      <c r="P93" s="342">
        <f t="shared" si="39"/>
        <v>2.3761098623992327E-3</v>
      </c>
      <c r="Q93" s="343">
        <f t="shared" si="40"/>
        <v>12.16277963461711</v>
      </c>
      <c r="R93" s="344">
        <f t="shared" si="41"/>
        <v>-104.96230242544736</v>
      </c>
      <c r="S93" s="346">
        <f t="shared" si="42"/>
        <v>75.037697574552638</v>
      </c>
      <c r="U93" s="319">
        <f t="shared" si="49"/>
        <v>1000000000</v>
      </c>
      <c r="V93" s="319">
        <f t="shared" si="50"/>
        <v>2511908.0100000002</v>
      </c>
      <c r="X93" s="345">
        <f t="shared" si="43"/>
        <v>32.18065120326564</v>
      </c>
      <c r="Y93" s="346">
        <f t="shared" si="44"/>
        <v>-21.467496537157068</v>
      </c>
      <c r="AA93" s="345">
        <f t="shared" si="45"/>
        <v>28.730095235301114</v>
      </c>
      <c r="AB93" s="346">
        <f t="shared" si="46"/>
        <v>-83.494805888290301</v>
      </c>
      <c r="AD93">
        <f t="shared" si="51"/>
        <v>0</v>
      </c>
      <c r="AE93">
        <f t="shared" si="52"/>
        <v>0</v>
      </c>
    </row>
    <row r="94" spans="1:31" x14ac:dyDescent="0.2">
      <c r="A94" s="347">
        <v>1737.8</v>
      </c>
      <c r="B94" s="364">
        <f t="shared" si="48"/>
        <v>1.7378</v>
      </c>
      <c r="C94" s="337">
        <f t="shared" si="26"/>
        <v>9.8062460316555704</v>
      </c>
      <c r="D94" s="338">
        <f t="shared" si="27"/>
        <v>1.4686429302840789</v>
      </c>
      <c r="E94" s="338">
        <f t="shared" si="28"/>
        <v>1.0000095377786096</v>
      </c>
      <c r="F94" s="339">
        <f t="shared" si="29"/>
        <v>4.3675399946584712E-3</v>
      </c>
      <c r="G94" s="338">
        <f t="shared" si="30"/>
        <v>1</v>
      </c>
      <c r="H94" s="339">
        <f t="shared" si="31"/>
        <v>0</v>
      </c>
      <c r="I94" s="337">
        <f t="shared" si="32"/>
        <v>5733.0783062574592</v>
      </c>
      <c r="J94" s="340">
        <f t="shared" si="33"/>
        <v>1.5706219004306206</v>
      </c>
      <c r="K94" s="348">
        <f t="shared" si="34"/>
        <v>3.0008327730604778</v>
      </c>
      <c r="L94" s="349">
        <f t="shared" si="35"/>
        <v>1.2310575316494581</v>
      </c>
      <c r="M94" s="337">
        <f t="shared" si="36"/>
        <v>1.0000159439387255</v>
      </c>
      <c r="N94" s="340">
        <f t="shared" si="37"/>
        <v>5.6468977124359294E-3</v>
      </c>
      <c r="O94" s="341">
        <f t="shared" si="38"/>
        <v>0.99996983884317603</v>
      </c>
      <c r="P94" s="342">
        <f t="shared" si="39"/>
        <v>2.6053539382738925E-3</v>
      </c>
      <c r="Q94" s="343">
        <f t="shared" si="40"/>
        <v>11.275516889466575</v>
      </c>
      <c r="R94" s="344">
        <f t="shared" si="41"/>
        <v>-103.8252244223428</v>
      </c>
      <c r="S94" s="346">
        <f t="shared" si="42"/>
        <v>76.174775577657201</v>
      </c>
      <c r="U94" s="319">
        <f t="shared" si="49"/>
        <v>1000000000</v>
      </c>
      <c r="V94" s="319">
        <f t="shared" si="50"/>
        <v>3019948.84</v>
      </c>
      <c r="X94" s="345">
        <f t="shared" si="43"/>
        <v>32.084164325155918</v>
      </c>
      <c r="Y94" s="346">
        <f t="shared" si="44"/>
        <v>-19.779148633050092</v>
      </c>
      <c r="AA94" s="345">
        <f t="shared" si="45"/>
        <v>27.939319368260303</v>
      </c>
      <c r="AB94" s="346">
        <f t="shared" si="46"/>
        <v>-84.046075789292715</v>
      </c>
      <c r="AD94">
        <f t="shared" si="51"/>
        <v>0</v>
      </c>
      <c r="AE94">
        <f t="shared" si="52"/>
        <v>0</v>
      </c>
    </row>
    <row r="95" spans="1:31" x14ac:dyDescent="0.2">
      <c r="A95" s="347">
        <v>1905.5</v>
      </c>
      <c r="B95" s="364">
        <f t="shared" si="48"/>
        <v>1.9055</v>
      </c>
      <c r="C95" s="337">
        <f t="shared" si="26"/>
        <v>10.743149868018131</v>
      </c>
      <c r="D95" s="338">
        <f t="shared" si="27"/>
        <v>1.4775788130617895</v>
      </c>
      <c r="E95" s="338">
        <f t="shared" si="28"/>
        <v>1.0000114674046792</v>
      </c>
      <c r="F95" s="339">
        <f t="shared" si="29"/>
        <v>4.7890072240180954E-3</v>
      </c>
      <c r="G95" s="338">
        <f t="shared" si="30"/>
        <v>1</v>
      </c>
      <c r="H95" s="339">
        <f t="shared" si="31"/>
        <v>0</v>
      </c>
      <c r="I95" s="337">
        <f t="shared" si="32"/>
        <v>6286.3279345203518</v>
      </c>
      <c r="J95" s="340">
        <f t="shared" si="33"/>
        <v>1.5706372514150193</v>
      </c>
      <c r="K95" s="348">
        <f t="shared" si="34"/>
        <v>3.2595290438268676</v>
      </c>
      <c r="L95" s="349">
        <f t="shared" si="35"/>
        <v>1.2589748456094705</v>
      </c>
      <c r="M95" s="337">
        <f t="shared" si="36"/>
        <v>1.0000191696082024</v>
      </c>
      <c r="N95" s="340">
        <f t="shared" si="37"/>
        <v>6.1918175004116007E-3</v>
      </c>
      <c r="O95" s="341">
        <f t="shared" si="38"/>
        <v>0.9999637368104356</v>
      </c>
      <c r="P95" s="342">
        <f t="shared" si="39"/>
        <v>2.8567921282129124E-3</v>
      </c>
      <c r="Q95" s="343">
        <f t="shared" si="40"/>
        <v>10.401059690962725</v>
      </c>
      <c r="R95" s="344">
        <f t="shared" si="41"/>
        <v>-102.76002772954985</v>
      </c>
      <c r="S95" s="346">
        <f t="shared" si="42"/>
        <v>77.239972270450153</v>
      </c>
      <c r="U95" s="319">
        <f t="shared" si="49"/>
        <v>1000000000</v>
      </c>
      <c r="V95" s="319">
        <f t="shared" si="50"/>
        <v>3630930.25</v>
      </c>
      <c r="X95" s="345">
        <f t="shared" si="43"/>
        <v>32.002214343816824</v>
      </c>
      <c r="Y95" s="346">
        <f t="shared" si="44"/>
        <v>-18.211705516650248</v>
      </c>
      <c r="AA95" s="345">
        <f t="shared" si="45"/>
        <v>27.146812151095546</v>
      </c>
      <c r="AB95" s="346">
        <f t="shared" si="46"/>
        <v>-84.548322212899606</v>
      </c>
      <c r="AD95">
        <f t="shared" si="51"/>
        <v>0</v>
      </c>
      <c r="AE95">
        <f t="shared" si="52"/>
        <v>0</v>
      </c>
    </row>
    <row r="96" spans="1:31" x14ac:dyDescent="0.2">
      <c r="A96" s="347">
        <v>2089.3000000000002</v>
      </c>
      <c r="B96" s="364">
        <f t="shared" si="48"/>
        <v>2.0893000000000002</v>
      </c>
      <c r="C96" s="337">
        <f t="shared" si="26"/>
        <v>11.770821840725544</v>
      </c>
      <c r="D96" s="338">
        <f t="shared" si="27"/>
        <v>1.485737963582358</v>
      </c>
      <c r="E96" s="338">
        <f t="shared" si="28"/>
        <v>1.0000137863194518</v>
      </c>
      <c r="F96" s="339">
        <f t="shared" si="29"/>
        <v>5.2509353582233321E-3</v>
      </c>
      <c r="G96" s="338">
        <f t="shared" si="30"/>
        <v>1</v>
      </c>
      <c r="H96" s="339">
        <f t="shared" si="31"/>
        <v>0</v>
      </c>
      <c r="I96" s="337">
        <f t="shared" si="32"/>
        <v>6892.6921677467244</v>
      </c>
      <c r="J96" s="340">
        <f t="shared" si="33"/>
        <v>1.5706512456017763</v>
      </c>
      <c r="K96" s="348">
        <f t="shared" si="34"/>
        <v>3.5455317513507838</v>
      </c>
      <c r="L96" s="349">
        <f t="shared" si="35"/>
        <v>1.2848711993035467</v>
      </c>
      <c r="M96" s="337">
        <f t="shared" si="36"/>
        <v>1.0000230460286379</v>
      </c>
      <c r="N96" s="340">
        <f t="shared" si="37"/>
        <v>6.7890479519614189E-3</v>
      </c>
      <c r="O96" s="341">
        <f t="shared" si="38"/>
        <v>0.99995640373096117</v>
      </c>
      <c r="P96" s="342">
        <f t="shared" si="39"/>
        <v>3.1323753378220938E-3</v>
      </c>
      <c r="Q96" s="343">
        <f t="shared" si="40"/>
        <v>9.5383002880237377</v>
      </c>
      <c r="R96" s="344">
        <f t="shared" si="41"/>
        <v>-101.76810466060473</v>
      </c>
      <c r="S96" s="346">
        <f t="shared" si="42"/>
        <v>78.231895339395265</v>
      </c>
      <c r="U96" s="319">
        <f t="shared" si="49"/>
        <v>1000000000</v>
      </c>
      <c r="V96" s="319">
        <f t="shared" si="50"/>
        <v>4365174.4900000012</v>
      </c>
      <c r="X96" s="345">
        <f t="shared" si="43"/>
        <v>31.932874146214285</v>
      </c>
      <c r="Y96" s="346">
        <f t="shared" si="44"/>
        <v>-16.762974335655638</v>
      </c>
      <c r="AA96" s="345">
        <f t="shared" si="45"/>
        <v>26.353392945759101</v>
      </c>
      <c r="AB96" s="346">
        <f t="shared" si="46"/>
        <v>-85.005130324949093</v>
      </c>
      <c r="AD96">
        <f t="shared" si="51"/>
        <v>0</v>
      </c>
      <c r="AE96">
        <f t="shared" si="52"/>
        <v>0</v>
      </c>
    </row>
    <row r="97" spans="1:31" x14ac:dyDescent="0.2">
      <c r="A97" s="347">
        <v>2290.9</v>
      </c>
      <c r="B97" s="364">
        <f t="shared" si="48"/>
        <v>2.2909000000000002</v>
      </c>
      <c r="C97" s="337">
        <f t="shared" si="26"/>
        <v>12.898768620973884</v>
      </c>
      <c r="D97" s="338">
        <f t="shared" si="27"/>
        <v>1.4931916745893037</v>
      </c>
      <c r="E97" s="338">
        <f t="shared" si="28"/>
        <v>1.0000165751851355</v>
      </c>
      <c r="F97" s="339">
        <f t="shared" si="29"/>
        <v>5.7575960593960708E-3</v>
      </c>
      <c r="G97" s="338">
        <f t="shared" si="30"/>
        <v>1</v>
      </c>
      <c r="H97" s="339">
        <f t="shared" si="31"/>
        <v>0</v>
      </c>
      <c r="I97" s="337">
        <f t="shared" si="32"/>
        <v>7557.7793802371771</v>
      </c>
      <c r="J97" s="340">
        <f t="shared" si="33"/>
        <v>1.5706640127972782</v>
      </c>
      <c r="K97" s="348">
        <f t="shared" si="34"/>
        <v>3.861540770250306</v>
      </c>
      <c r="L97" s="349">
        <f t="shared" si="35"/>
        <v>1.3088468794293995</v>
      </c>
      <c r="M97" s="337">
        <f t="shared" si="36"/>
        <v>1.0000277080358464</v>
      </c>
      <c r="N97" s="340">
        <f t="shared" si="37"/>
        <v>7.4441112407175871E-3</v>
      </c>
      <c r="O97" s="341">
        <f t="shared" si="38"/>
        <v>0.99994758452513743</v>
      </c>
      <c r="P97" s="342">
        <f t="shared" si="39"/>
        <v>3.4346548246559452E-3</v>
      </c>
      <c r="Q97" s="343">
        <f t="shared" si="40"/>
        <v>8.6850096714879896</v>
      </c>
      <c r="R97" s="344">
        <f t="shared" si="41"/>
        <v>-100.84801924697928</v>
      </c>
      <c r="S97" s="346">
        <f t="shared" si="42"/>
        <v>79.151980753020723</v>
      </c>
      <c r="U97" s="319">
        <f t="shared" si="49"/>
        <v>1000000000</v>
      </c>
      <c r="V97" s="319">
        <f t="shared" si="50"/>
        <v>5248222.8100000005</v>
      </c>
      <c r="X97" s="345">
        <f t="shared" si="43"/>
        <v>31.874312020051129</v>
      </c>
      <c r="Y97" s="346">
        <f t="shared" si="44"/>
        <v>-15.427532920140782</v>
      </c>
      <c r="AA97" s="345">
        <f t="shared" si="45"/>
        <v>25.558664455386499</v>
      </c>
      <c r="AB97" s="346">
        <f t="shared" si="46"/>
        <v>-85.420486326838528</v>
      </c>
      <c r="AD97">
        <f t="shared" si="51"/>
        <v>0</v>
      </c>
      <c r="AE97">
        <f t="shared" si="52"/>
        <v>0</v>
      </c>
    </row>
    <row r="98" spans="1:31" x14ac:dyDescent="0.2">
      <c r="A98" s="347">
        <v>2511.9</v>
      </c>
      <c r="B98" s="364">
        <f t="shared" si="48"/>
        <v>2.5119000000000002</v>
      </c>
      <c r="C98" s="337">
        <f t="shared" si="26"/>
        <v>14.135943536443785</v>
      </c>
      <c r="D98" s="338">
        <f t="shared" si="27"/>
        <v>1.4999955383736117</v>
      </c>
      <c r="E98" s="338">
        <f t="shared" si="28"/>
        <v>1.0000199273747175</v>
      </c>
      <c r="F98" s="339">
        <f t="shared" si="29"/>
        <v>6.3130093942811794E-3</v>
      </c>
      <c r="G98" s="338">
        <f t="shared" si="30"/>
        <v>1</v>
      </c>
      <c r="H98" s="339">
        <f t="shared" si="31"/>
        <v>0</v>
      </c>
      <c r="I98" s="337">
        <f t="shared" si="32"/>
        <v>8286.8680419323064</v>
      </c>
      <c r="J98" s="340">
        <f t="shared" si="33"/>
        <v>1.5706756539426965</v>
      </c>
      <c r="K98" s="348">
        <f t="shared" si="34"/>
        <v>4.2101076697494593</v>
      </c>
      <c r="L98" s="349">
        <f t="shared" si="35"/>
        <v>1.3309806146483485</v>
      </c>
      <c r="M98" s="337">
        <f t="shared" si="36"/>
        <v>1.00003331171187</v>
      </c>
      <c r="N98" s="340">
        <f t="shared" si="37"/>
        <v>8.1622040125445307E-3</v>
      </c>
      <c r="O98" s="341">
        <f t="shared" si="38"/>
        <v>0.99993698391694719</v>
      </c>
      <c r="P98" s="342">
        <f t="shared" si="39"/>
        <v>3.7660327154354018E-3</v>
      </c>
      <c r="Q98" s="343">
        <f t="shared" si="40"/>
        <v>7.8402785123549119</v>
      </c>
      <c r="R98" s="344">
        <f t="shared" si="41"/>
        <v>-99.998656700542796</v>
      </c>
      <c r="S98" s="346">
        <f t="shared" si="42"/>
        <v>80.001343299457204</v>
      </c>
      <c r="U98" s="319">
        <f t="shared" si="49"/>
        <v>1000000000</v>
      </c>
      <c r="V98" s="319">
        <f t="shared" si="50"/>
        <v>6309641.6100000003</v>
      </c>
      <c r="X98" s="345">
        <f t="shared" si="43"/>
        <v>31.824990651047621</v>
      </c>
      <c r="Y98" s="346">
        <f t="shared" si="44"/>
        <v>-14.201173979459325</v>
      </c>
      <c r="AA98" s="345">
        <f t="shared" si="45"/>
        <v>24.763254665256934</v>
      </c>
      <c r="AB98" s="346">
        <f t="shared" si="46"/>
        <v>-85.797482721083469</v>
      </c>
      <c r="AD98">
        <f t="shared" si="51"/>
        <v>0</v>
      </c>
      <c r="AE98">
        <f t="shared" si="52"/>
        <v>0</v>
      </c>
    </row>
    <row r="99" spans="1:31" x14ac:dyDescent="0.2">
      <c r="A99" s="347">
        <v>2754.2</v>
      </c>
      <c r="B99" s="364">
        <f t="shared" si="48"/>
        <v>2.7542</v>
      </c>
      <c r="C99" s="337">
        <f t="shared" si="26"/>
        <v>15.492983602096489</v>
      </c>
      <c r="D99" s="338">
        <f t="shared" si="27"/>
        <v>1.5062060786562703</v>
      </c>
      <c r="E99" s="338">
        <f t="shared" si="28"/>
        <v>1.0000239571674505</v>
      </c>
      <c r="F99" s="339">
        <f t="shared" si="29"/>
        <v>6.9219490278643204E-3</v>
      </c>
      <c r="G99" s="338">
        <f t="shared" si="30"/>
        <v>1</v>
      </c>
      <c r="H99" s="339">
        <f t="shared" si="31"/>
        <v>0</v>
      </c>
      <c r="I99" s="337">
        <f t="shared" si="32"/>
        <v>9086.2263358959644</v>
      </c>
      <c r="J99" s="340">
        <f t="shared" si="33"/>
        <v>1.5706862701041373</v>
      </c>
      <c r="K99" s="348">
        <f t="shared" si="34"/>
        <v>4.5942621014440741</v>
      </c>
      <c r="L99" s="349">
        <f t="shared" si="35"/>
        <v>1.3513771009985445</v>
      </c>
      <c r="M99" s="337">
        <f t="shared" si="36"/>
        <v>1.00004004808414</v>
      </c>
      <c r="N99" s="340">
        <f t="shared" si="37"/>
        <v>8.9494969294117606E-3</v>
      </c>
      <c r="O99" s="341">
        <f t="shared" si="38"/>
        <v>0.99992424051686934</v>
      </c>
      <c r="P99" s="342">
        <f t="shared" si="39"/>
        <v>4.129362018300573E-3</v>
      </c>
      <c r="Q99" s="343">
        <f t="shared" si="40"/>
        <v>7.0027492672962053</v>
      </c>
      <c r="R99" s="344">
        <f t="shared" si="41"/>
        <v>-99.217506248847371</v>
      </c>
      <c r="S99" s="346">
        <f t="shared" si="42"/>
        <v>80.782493751152629</v>
      </c>
      <c r="U99" s="319">
        <f t="shared" si="49"/>
        <v>1000000000</v>
      </c>
      <c r="V99" s="319">
        <f t="shared" si="50"/>
        <v>7585617.6399999987</v>
      </c>
      <c r="X99" s="345">
        <f t="shared" si="43"/>
        <v>31.783520897526444</v>
      </c>
      <c r="Y99" s="346">
        <f t="shared" si="44"/>
        <v>-13.078258216036001</v>
      </c>
      <c r="AA99" s="345">
        <f t="shared" si="45"/>
        <v>23.967195173719411</v>
      </c>
      <c r="AB99" s="346">
        <f t="shared" si="46"/>
        <v>-86.139248032811366</v>
      </c>
      <c r="AD99">
        <f t="shared" si="51"/>
        <v>0</v>
      </c>
      <c r="AE99">
        <f t="shared" si="52"/>
        <v>0</v>
      </c>
    </row>
    <row r="100" spans="1:31" x14ac:dyDescent="0.2">
      <c r="A100" s="347">
        <v>3020</v>
      </c>
      <c r="B100" s="364">
        <f t="shared" si="48"/>
        <v>3.02</v>
      </c>
      <c r="C100" s="337">
        <f t="shared" si="26"/>
        <v>16.982211325935786</v>
      </c>
      <c r="D100" s="338">
        <f t="shared" si="27"/>
        <v>1.5118770968733357</v>
      </c>
      <c r="E100" s="338">
        <f t="shared" si="28"/>
        <v>1.0000288043018839</v>
      </c>
      <c r="F100" s="339">
        <f t="shared" si="29"/>
        <v>7.5899420938843687E-3</v>
      </c>
      <c r="G100" s="338">
        <f t="shared" si="30"/>
        <v>1</v>
      </c>
      <c r="H100" s="339">
        <f t="shared" si="31"/>
        <v>0</v>
      </c>
      <c r="I100" s="337">
        <f t="shared" si="32"/>
        <v>9963.1121583182321</v>
      </c>
      <c r="J100" s="340">
        <f t="shared" si="33"/>
        <v>1.5706959565505605</v>
      </c>
      <c r="K100" s="348">
        <f t="shared" si="34"/>
        <v>5.0175194553544387</v>
      </c>
      <c r="L100" s="349">
        <f t="shared" si="35"/>
        <v>1.3701510856628307</v>
      </c>
      <c r="M100" s="337">
        <f t="shared" si="36"/>
        <v>1.0000481507352723</v>
      </c>
      <c r="N100" s="340">
        <f t="shared" si="37"/>
        <v>9.813134389577453E-3</v>
      </c>
      <c r="O100" s="341">
        <f t="shared" si="38"/>
        <v>0.99990891242298918</v>
      </c>
      <c r="P100" s="342">
        <f t="shared" si="39"/>
        <v>4.5279470033002698E-3</v>
      </c>
      <c r="Q100" s="343">
        <f t="shared" si="40"/>
        <v>6.1709071197871435</v>
      </c>
      <c r="R100" s="344">
        <f t="shared" si="41"/>
        <v>-98.501363399488028</v>
      </c>
      <c r="S100" s="346">
        <f t="shared" si="42"/>
        <v>81.498636600511972</v>
      </c>
      <c r="U100" s="319">
        <f t="shared" si="49"/>
        <v>1000000000</v>
      </c>
      <c r="V100" s="319">
        <f t="shared" si="50"/>
        <v>9120400</v>
      </c>
      <c r="X100" s="345">
        <f t="shared" si="43"/>
        <v>31.748687094306863</v>
      </c>
      <c r="Y100" s="346">
        <f t="shared" si="44"/>
        <v>-12.052625902952538</v>
      </c>
      <c r="AA100" s="345">
        <f t="shared" si="45"/>
        <v>23.17018682942993</v>
      </c>
      <c r="AB100" s="346">
        <f t="shared" si="46"/>
        <v>-86.448737496535472</v>
      </c>
      <c r="AD100">
        <f t="shared" si="51"/>
        <v>0</v>
      </c>
      <c r="AE100">
        <f t="shared" si="52"/>
        <v>0</v>
      </c>
    </row>
    <row r="101" spans="1:31" x14ac:dyDescent="0.2">
      <c r="A101" s="347">
        <v>3311.3</v>
      </c>
      <c r="B101" s="364">
        <f t="shared" si="48"/>
        <v>3.3113000000000001</v>
      </c>
      <c r="C101" s="337">
        <f t="shared" si="26"/>
        <v>18.614832856562156</v>
      </c>
      <c r="D101" s="338">
        <f t="shared" si="27"/>
        <v>1.5170498539021531</v>
      </c>
      <c r="E101" s="338">
        <f t="shared" si="28"/>
        <v>1.0000346289450666</v>
      </c>
      <c r="F101" s="339">
        <f t="shared" si="29"/>
        <v>8.3220124721026002E-3</v>
      </c>
      <c r="G101" s="338">
        <f t="shared" si="30"/>
        <v>1</v>
      </c>
      <c r="H101" s="339">
        <f t="shared" si="31"/>
        <v>0</v>
      </c>
      <c r="I101" s="337">
        <f t="shared" si="32"/>
        <v>10924.123596651443</v>
      </c>
      <c r="J101" s="340">
        <f t="shared" si="33"/>
        <v>1.5707047862706112</v>
      </c>
      <c r="K101" s="348">
        <f t="shared" si="34"/>
        <v>5.4830848476553076</v>
      </c>
      <c r="L101" s="349">
        <f t="shared" si="35"/>
        <v>1.3873907485299553</v>
      </c>
      <c r="M101" s="337">
        <f t="shared" si="36"/>
        <v>1.0000578873916843</v>
      </c>
      <c r="N101" s="340">
        <f t="shared" si="37"/>
        <v>1.0759609599220267E-2</v>
      </c>
      <c r="O101" s="341">
        <f t="shared" si="38"/>
        <v>0.99989049312867706</v>
      </c>
      <c r="P101" s="342">
        <f t="shared" si="39"/>
        <v>4.964793865159297E-3</v>
      </c>
      <c r="Q101" s="343">
        <f t="shared" si="40"/>
        <v>5.3446214547745168</v>
      </c>
      <c r="R101" s="344">
        <f t="shared" si="41"/>
        <v>-97.847800501543489</v>
      </c>
      <c r="S101" s="346">
        <f t="shared" si="42"/>
        <v>82.152199498456511</v>
      </c>
      <c r="U101" s="319">
        <f t="shared" si="49"/>
        <v>1000000000</v>
      </c>
      <c r="V101" s="319">
        <f t="shared" si="50"/>
        <v>10964707.690000001</v>
      </c>
      <c r="X101" s="345">
        <f t="shared" si="43"/>
        <v>31.719488836701988</v>
      </c>
      <c r="Y101" s="346">
        <f t="shared" si="44"/>
        <v>-11.119600919991232</v>
      </c>
      <c r="AA101" s="345">
        <f t="shared" si="45"/>
        <v>22.373099422022179</v>
      </c>
      <c r="AB101" s="346">
        <f t="shared" si="46"/>
        <v>-86.728199581552289</v>
      </c>
      <c r="AD101">
        <f t="shared" si="51"/>
        <v>0</v>
      </c>
      <c r="AE101">
        <f t="shared" si="52"/>
        <v>0</v>
      </c>
    </row>
    <row r="102" spans="1:31" x14ac:dyDescent="0.2">
      <c r="A102" s="347">
        <v>3630.8</v>
      </c>
      <c r="B102" s="364">
        <f t="shared" si="48"/>
        <v>3.6308000000000002</v>
      </c>
      <c r="C102" s="337">
        <f t="shared" si="26"/>
        <v>20.405980911139153</v>
      </c>
      <c r="D102" s="338">
        <f t="shared" si="27"/>
        <v>1.5217714507164026</v>
      </c>
      <c r="E102" s="338">
        <f t="shared" si="28"/>
        <v>1.0000416337313689</v>
      </c>
      <c r="F102" s="339">
        <f t="shared" si="29"/>
        <v>9.124942404980246E-3</v>
      </c>
      <c r="G102" s="338">
        <f t="shared" si="30"/>
        <v>1</v>
      </c>
      <c r="H102" s="339">
        <f t="shared" si="31"/>
        <v>0</v>
      </c>
      <c r="I102" s="337">
        <f t="shared" si="32"/>
        <v>11978.168068964364</v>
      </c>
      <c r="J102" s="340">
        <f t="shared" si="33"/>
        <v>1.570712841574502</v>
      </c>
      <c r="K102" s="348">
        <f t="shared" si="34"/>
        <v>5.9952888568000136</v>
      </c>
      <c r="L102" s="349">
        <f t="shared" si="35"/>
        <v>1.4032154203662059</v>
      </c>
      <c r="M102" s="337">
        <f t="shared" si="36"/>
        <v>1.0000695967619428</v>
      </c>
      <c r="N102" s="340">
        <f t="shared" si="37"/>
        <v>1.179768839716375E-2</v>
      </c>
      <c r="O102" s="341">
        <f t="shared" si="38"/>
        <v>0.99986834182743844</v>
      </c>
      <c r="P102" s="342">
        <f t="shared" si="39"/>
        <v>5.4439609537402572E-3</v>
      </c>
      <c r="Q102" s="343">
        <f t="shared" si="40"/>
        <v>4.5224332972462467</v>
      </c>
      <c r="R102" s="344">
        <f t="shared" si="41"/>
        <v>-97.253029986784568</v>
      </c>
      <c r="S102" s="346">
        <f t="shared" si="42"/>
        <v>82.746970013215432</v>
      </c>
      <c r="U102" s="319">
        <f t="shared" si="49"/>
        <v>1000000000</v>
      </c>
      <c r="V102" s="319">
        <f t="shared" si="50"/>
        <v>13182708.640000001</v>
      </c>
      <c r="X102" s="345">
        <f t="shared" si="43"/>
        <v>31.695014112373705</v>
      </c>
      <c r="Y102" s="346">
        <f t="shared" si="44"/>
        <v>-10.272853079466799</v>
      </c>
      <c r="AA102" s="345">
        <f t="shared" si="45"/>
        <v>21.575385988822187</v>
      </c>
      <c r="AB102" s="346">
        <f t="shared" si="46"/>
        <v>-86.98017690731777</v>
      </c>
      <c r="AD102">
        <f t="shared" si="51"/>
        <v>0</v>
      </c>
      <c r="AE102">
        <f t="shared" si="52"/>
        <v>0</v>
      </c>
    </row>
    <row r="103" spans="1:31" x14ac:dyDescent="0.2">
      <c r="A103" s="347">
        <v>3981.1</v>
      </c>
      <c r="B103" s="364">
        <f t="shared" si="48"/>
        <v>3.9811000000000001</v>
      </c>
      <c r="C103" s="337">
        <f t="shared" si="26"/>
        <v>22.370231811133774</v>
      </c>
      <c r="D103" s="338">
        <f t="shared" si="27"/>
        <v>1.5260791617239566</v>
      </c>
      <c r="E103" s="338">
        <f t="shared" si="28"/>
        <v>1.0000500547189093</v>
      </c>
      <c r="F103" s="339">
        <f t="shared" si="29"/>
        <v>1.0005261725980173E-2</v>
      </c>
      <c r="G103" s="338">
        <f t="shared" si="30"/>
        <v>1</v>
      </c>
      <c r="H103" s="339">
        <f t="shared" si="31"/>
        <v>0</v>
      </c>
      <c r="I103" s="337">
        <f t="shared" si="32"/>
        <v>13133.823088959951</v>
      </c>
      <c r="J103" s="340">
        <f t="shared" si="33"/>
        <v>1.5707201875021566</v>
      </c>
      <c r="K103" s="348">
        <f t="shared" si="34"/>
        <v>6.5583123153319871</v>
      </c>
      <c r="L103" s="349">
        <f t="shared" si="35"/>
        <v>1.4177209624478917</v>
      </c>
      <c r="M103" s="337">
        <f t="shared" si="36"/>
        <v>1.0000836734155447</v>
      </c>
      <c r="N103" s="340">
        <f t="shared" si="37"/>
        <v>1.2935809336426737E-2</v>
      </c>
      <c r="O103" s="341">
        <f t="shared" si="38"/>
        <v>0.9998417120088553</v>
      </c>
      <c r="P103" s="342">
        <f t="shared" si="39"/>
        <v>5.9693598799779018E-3</v>
      </c>
      <c r="Q103" s="343">
        <f t="shared" si="40"/>
        <v>3.7039797946956328</v>
      </c>
      <c r="R103" s="344">
        <f t="shared" si="41"/>
        <v>-96.714032281797017</v>
      </c>
      <c r="S103" s="346">
        <f t="shared" si="42"/>
        <v>83.285967718202983</v>
      </c>
      <c r="U103" s="319">
        <f t="shared" si="49"/>
        <v>1000000000</v>
      </c>
      <c r="V103" s="319">
        <f t="shared" si="50"/>
        <v>15849157.209999999</v>
      </c>
      <c r="X103" s="345">
        <f t="shared" si="43"/>
        <v>31.674516300903299</v>
      </c>
      <c r="Y103" s="346">
        <f t="shared" si="44"/>
        <v>-9.5073771548085588</v>
      </c>
      <c r="AA103" s="345">
        <f t="shared" si="45"/>
        <v>20.777430297741976</v>
      </c>
      <c r="AB103" s="346">
        <f t="shared" si="46"/>
        <v>-87.206655126988451</v>
      </c>
      <c r="AD103">
        <f t="shared" si="51"/>
        <v>0</v>
      </c>
      <c r="AE103">
        <f t="shared" si="52"/>
        <v>0</v>
      </c>
    </row>
    <row r="104" spans="1:31" x14ac:dyDescent="0.2">
      <c r="A104" s="347">
        <v>4365.2</v>
      </c>
      <c r="B104" s="364">
        <f t="shared" si="48"/>
        <v>4.3651999999999997</v>
      </c>
      <c r="C104" s="337">
        <f t="shared" si="26"/>
        <v>24.524407775445187</v>
      </c>
      <c r="D104" s="338">
        <f t="shared" si="27"/>
        <v>1.5300093146731841</v>
      </c>
      <c r="E104" s="338">
        <f t="shared" si="28"/>
        <v>1.000060178997439</v>
      </c>
      <c r="F104" s="339">
        <f t="shared" si="29"/>
        <v>1.0970504060216347E-2</v>
      </c>
      <c r="G104" s="338">
        <f t="shared" si="30"/>
        <v>1</v>
      </c>
      <c r="H104" s="339">
        <f t="shared" si="31"/>
        <v>0</v>
      </c>
      <c r="I104" s="337">
        <f t="shared" si="32"/>
        <v>14400.985787839927</v>
      </c>
      <c r="J104" s="340">
        <f t="shared" si="33"/>
        <v>1.5707268871040632</v>
      </c>
      <c r="K104" s="348">
        <f t="shared" si="34"/>
        <v>7.1769862234842092</v>
      </c>
      <c r="L104" s="349">
        <f t="shared" si="35"/>
        <v>1.431007251004059</v>
      </c>
      <c r="M104" s="337">
        <f t="shared" si="36"/>
        <v>1.0001005972114461</v>
      </c>
      <c r="N104" s="340">
        <f t="shared" si="37"/>
        <v>1.4183707484588469E-2</v>
      </c>
      <c r="O104" s="341">
        <f t="shared" si="38"/>
        <v>0.99980969577336487</v>
      </c>
      <c r="P104" s="342">
        <f t="shared" si="39"/>
        <v>6.5455063885646939E-3</v>
      </c>
      <c r="Q104" s="343">
        <f t="shared" si="40"/>
        <v>2.888617165888689</v>
      </c>
      <c r="R104" s="344">
        <f t="shared" si="41"/>
        <v>-96.227554805841066</v>
      </c>
      <c r="S104" s="346">
        <f t="shared" si="42"/>
        <v>83.772445194158934</v>
      </c>
      <c r="U104" s="319">
        <f t="shared" si="49"/>
        <v>1000000000</v>
      </c>
      <c r="V104" s="319">
        <f t="shared" si="50"/>
        <v>19054971.039999999</v>
      </c>
      <c r="X104" s="345">
        <f t="shared" si="43"/>
        <v>31.65734848429944</v>
      </c>
      <c r="Y104" s="346">
        <f t="shared" si="44"/>
        <v>-8.8180120504250219</v>
      </c>
      <c r="AA104" s="345">
        <f t="shared" si="45"/>
        <v>19.979235485538894</v>
      </c>
      <c r="AB104" s="346">
        <f t="shared" si="46"/>
        <v>-87.409542755416041</v>
      </c>
      <c r="AD104">
        <f t="shared" si="51"/>
        <v>0</v>
      </c>
      <c r="AE104">
        <f t="shared" si="52"/>
        <v>0</v>
      </c>
    </row>
    <row r="105" spans="1:31" x14ac:dyDescent="0.2">
      <c r="A105" s="347">
        <v>4786.3</v>
      </c>
      <c r="B105" s="364">
        <f t="shared" si="48"/>
        <v>4.7862999999999998</v>
      </c>
      <c r="C105" s="337">
        <f t="shared" si="26"/>
        <v>26.886455712862521</v>
      </c>
      <c r="D105" s="338">
        <f t="shared" si="27"/>
        <v>1.5335942978963668</v>
      </c>
      <c r="E105" s="338">
        <f t="shared" si="28"/>
        <v>1.0000723492186159</v>
      </c>
      <c r="F105" s="339">
        <f t="shared" si="29"/>
        <v>1.2028703743743891E-2</v>
      </c>
      <c r="G105" s="338">
        <f t="shared" si="30"/>
        <v>1</v>
      </c>
      <c r="H105" s="339">
        <f t="shared" si="31"/>
        <v>0</v>
      </c>
      <c r="I105" s="337">
        <f t="shared" si="32"/>
        <v>15790.213105558396</v>
      </c>
      <c r="J105" s="340">
        <f t="shared" si="33"/>
        <v>1.5707329964272831</v>
      </c>
      <c r="K105" s="348">
        <f t="shared" si="34"/>
        <v>7.8564717993095163</v>
      </c>
      <c r="L105" s="349">
        <f t="shared" si="35"/>
        <v>1.4431665091095862</v>
      </c>
      <c r="M105" s="337">
        <f t="shared" si="36"/>
        <v>1.0001209408632885</v>
      </c>
      <c r="N105" s="340">
        <f t="shared" si="37"/>
        <v>1.5551763606482867E-2</v>
      </c>
      <c r="O105" s="341">
        <f t="shared" si="38"/>
        <v>0.99977120950077458</v>
      </c>
      <c r="P105" s="342">
        <f t="shared" si="39"/>
        <v>7.1772217760037171E-3</v>
      </c>
      <c r="Q105" s="343">
        <f t="shared" si="40"/>
        <v>2.0759734838571324</v>
      </c>
      <c r="R105" s="344">
        <f t="shared" si="41"/>
        <v>-95.790583172361679</v>
      </c>
      <c r="S105" s="346">
        <f t="shared" si="42"/>
        <v>84.209416827638321</v>
      </c>
      <c r="U105" s="319">
        <f t="shared" si="49"/>
        <v>1000000000</v>
      </c>
      <c r="V105" s="319">
        <f t="shared" si="50"/>
        <v>22908667.690000001</v>
      </c>
      <c r="X105" s="345">
        <f t="shared" si="43"/>
        <v>31.642965277980121</v>
      </c>
      <c r="Y105" s="346">
        <f t="shared" si="44"/>
        <v>-8.2000717586197407</v>
      </c>
      <c r="AA105" s="345">
        <f t="shared" si="45"/>
        <v>19.180975009826653</v>
      </c>
      <c r="AB105" s="346">
        <f t="shared" si="46"/>
        <v>-87.590511413741936</v>
      </c>
      <c r="AD105">
        <f t="shared" si="51"/>
        <v>0</v>
      </c>
      <c r="AE105">
        <f t="shared" si="52"/>
        <v>0</v>
      </c>
    </row>
    <row r="106" spans="1:31" x14ac:dyDescent="0.2">
      <c r="A106" s="347">
        <v>5248.1</v>
      </c>
      <c r="B106" s="364">
        <f t="shared" si="48"/>
        <v>5.2481</v>
      </c>
      <c r="C106" s="337">
        <f t="shared" si="26"/>
        <v>29.477129938400971</v>
      </c>
      <c r="D106" s="338">
        <f t="shared" si="27"/>
        <v>1.5368652108877936</v>
      </c>
      <c r="E106" s="338">
        <f t="shared" si="28"/>
        <v>1.0000869831314332</v>
      </c>
      <c r="F106" s="339">
        <f t="shared" si="29"/>
        <v>1.3189149089063608E-2</v>
      </c>
      <c r="G106" s="338">
        <f t="shared" si="30"/>
        <v>1</v>
      </c>
      <c r="H106" s="339">
        <f t="shared" si="31"/>
        <v>0</v>
      </c>
      <c r="I106" s="337">
        <f t="shared" si="32"/>
        <v>17313.711503942879</v>
      </c>
      <c r="J106" s="340">
        <f t="shared" si="33"/>
        <v>1.5707385691038129</v>
      </c>
      <c r="K106" s="348">
        <f t="shared" si="34"/>
        <v>8.6027448878885036</v>
      </c>
      <c r="L106" s="349">
        <f t="shared" si="35"/>
        <v>1.4542909729553868</v>
      </c>
      <c r="M106" s="337">
        <f t="shared" si="36"/>
        <v>1.0001454025837537</v>
      </c>
      <c r="N106" s="340">
        <f t="shared" si="37"/>
        <v>1.7051977461868983E-2</v>
      </c>
      <c r="O106" s="341">
        <f t="shared" si="38"/>
        <v>0.99972493206515867</v>
      </c>
      <c r="P106" s="342">
        <f t="shared" si="39"/>
        <v>7.8700847539894432E-3</v>
      </c>
      <c r="Q106" s="343">
        <f t="shared" si="40"/>
        <v>1.265403450838118</v>
      </c>
      <c r="R106" s="344">
        <f t="shared" si="41"/>
        <v>-95.400092570671958</v>
      </c>
      <c r="S106" s="346">
        <f t="shared" si="42"/>
        <v>84.599907429328042</v>
      </c>
      <c r="U106" s="319">
        <f t="shared" si="49"/>
        <v>1000000000</v>
      </c>
      <c r="V106" s="319">
        <f t="shared" si="50"/>
        <v>27542553.610000003</v>
      </c>
      <c r="X106" s="345">
        <f t="shared" si="43"/>
        <v>31.630898892715408</v>
      </c>
      <c r="Y106" s="346">
        <f t="shared" si="44"/>
        <v>-7.648962143406183</v>
      </c>
      <c r="AA106" s="345">
        <f t="shared" si="45"/>
        <v>18.382471362072355</v>
      </c>
      <c r="AB106" s="346">
        <f t="shared" si="46"/>
        <v>-87.75113042726575</v>
      </c>
      <c r="AD106">
        <f t="shared" si="51"/>
        <v>0</v>
      </c>
      <c r="AE106">
        <f t="shared" si="52"/>
        <v>0</v>
      </c>
    </row>
    <row r="107" spans="1:31" x14ac:dyDescent="0.2">
      <c r="A107" s="347">
        <v>5370.3</v>
      </c>
      <c r="B107" s="364">
        <f t="shared" si="48"/>
        <v>5.3703000000000003</v>
      </c>
      <c r="C107" s="337">
        <f t="shared" si="26"/>
        <v>30.162712683509252</v>
      </c>
      <c r="D107" s="338">
        <f t="shared" si="27"/>
        <v>1.5376367335654397</v>
      </c>
      <c r="E107" s="338">
        <f t="shared" si="28"/>
        <v>1.0000910808426222</v>
      </c>
      <c r="F107" s="339">
        <f t="shared" si="29"/>
        <v>1.3496216511275807E-2</v>
      </c>
      <c r="G107" s="338">
        <f t="shared" si="30"/>
        <v>1</v>
      </c>
      <c r="H107" s="339">
        <f t="shared" si="31"/>
        <v>0</v>
      </c>
      <c r="I107" s="337">
        <f t="shared" si="32"/>
        <v>17716.854648853248</v>
      </c>
      <c r="J107" s="340">
        <f t="shared" si="33"/>
        <v>1.5707398833674175</v>
      </c>
      <c r="K107" s="348">
        <f t="shared" si="34"/>
        <v>8.8003802482972731</v>
      </c>
      <c r="L107" s="349">
        <f t="shared" si="35"/>
        <v>1.4569189043716251</v>
      </c>
      <c r="M107" s="337">
        <f t="shared" si="36"/>
        <v>1.0001522521828035</v>
      </c>
      <c r="N107" s="340">
        <f t="shared" si="37"/>
        <v>1.7448946560762166E-2</v>
      </c>
      <c r="O107" s="341">
        <f t="shared" si="38"/>
        <v>0.99971197367134124</v>
      </c>
      <c r="P107" s="342">
        <f t="shared" si="39"/>
        <v>8.0534449729135274E-3</v>
      </c>
      <c r="Q107" s="343">
        <f t="shared" si="40"/>
        <v>1.0631470710955853</v>
      </c>
      <c r="R107" s="344">
        <f t="shared" si="41"/>
        <v>-95.309460239873488</v>
      </c>
      <c r="S107" s="346">
        <f t="shared" si="42"/>
        <v>84.690539760126512</v>
      </c>
      <c r="U107" s="319">
        <f t="shared" si="49"/>
        <v>1000000000</v>
      </c>
      <c r="V107" s="319">
        <f t="shared" si="50"/>
        <v>28840122.090000004</v>
      </c>
      <c r="X107" s="345">
        <f t="shared" si="43"/>
        <v>31.628198364426691</v>
      </c>
      <c r="Y107" s="346">
        <f t="shared" si="44"/>
        <v>-7.5212127199813201</v>
      </c>
      <c r="AA107" s="345">
        <f t="shared" si="45"/>
        <v>18.182915510618535</v>
      </c>
      <c r="AB107" s="346">
        <f t="shared" si="46"/>
        <v>-87.788247519892153</v>
      </c>
      <c r="AD107">
        <f t="shared" si="51"/>
        <v>0</v>
      </c>
      <c r="AE107">
        <f t="shared" si="52"/>
        <v>0</v>
      </c>
    </row>
    <row r="108" spans="1:31" x14ac:dyDescent="0.2">
      <c r="A108" s="347">
        <v>5432.85</v>
      </c>
      <c r="B108" s="364">
        <f t="shared" si="48"/>
        <v>5.4328500000000002</v>
      </c>
      <c r="C108" s="337">
        <f t="shared" si="26"/>
        <v>30.513645750706832</v>
      </c>
      <c r="D108" s="338">
        <f t="shared" si="27"/>
        <v>1.5380182347294857</v>
      </c>
      <c r="E108" s="338">
        <f t="shared" si="28"/>
        <v>1.000093214808278</v>
      </c>
      <c r="F108" s="339">
        <f t="shared" si="29"/>
        <v>1.365339283988086E-2</v>
      </c>
      <c r="G108" s="338">
        <f t="shared" si="30"/>
        <v>1</v>
      </c>
      <c r="H108" s="339">
        <f t="shared" si="31"/>
        <v>0</v>
      </c>
      <c r="I108" s="337">
        <f t="shared" si="32"/>
        <v>17923.209834741479</v>
      </c>
      <c r="J108" s="340">
        <f t="shared" si="33"/>
        <v>1.5707405332171982</v>
      </c>
      <c r="K108" s="348">
        <f t="shared" si="34"/>
        <v>8.9015657558104913</v>
      </c>
      <c r="L108" s="349">
        <f t="shared" si="35"/>
        <v>1.4582188955261792</v>
      </c>
      <c r="M108" s="337">
        <f t="shared" si="36"/>
        <v>1.0001558192420406</v>
      </c>
      <c r="N108" s="340">
        <f t="shared" si="37"/>
        <v>1.7652139343452958E-2</v>
      </c>
      <c r="O108" s="341">
        <f t="shared" si="38"/>
        <v>0.99970522532149309</v>
      </c>
      <c r="P108" s="342">
        <f t="shared" si="39"/>
        <v>8.1473036810369489E-3</v>
      </c>
      <c r="Q108" s="343">
        <f t="shared" si="40"/>
        <v>0.96143519592204807</v>
      </c>
      <c r="R108" s="344">
        <f t="shared" si="41"/>
        <v>-95.264886129944443</v>
      </c>
      <c r="S108" s="346">
        <f t="shared" si="42"/>
        <v>84.735113870055557</v>
      </c>
      <c r="U108" s="319">
        <f t="shared" si="49"/>
        <v>1000000000</v>
      </c>
      <c r="V108" s="319">
        <f t="shared" si="50"/>
        <v>29515859.122500002</v>
      </c>
      <c r="X108" s="345">
        <f t="shared" si="43"/>
        <v>31.626883377850664</v>
      </c>
      <c r="Y108" s="346">
        <f t="shared" si="44"/>
        <v>-7.4584080358747187</v>
      </c>
      <c r="AA108" s="345">
        <f t="shared" si="45"/>
        <v>18.082518622021027</v>
      </c>
      <c r="AB108" s="346">
        <f t="shared" si="46"/>
        <v>-87.806478094069746</v>
      </c>
      <c r="AD108">
        <f t="shared" si="51"/>
        <v>0</v>
      </c>
      <c r="AE108">
        <f t="shared" si="52"/>
        <v>0</v>
      </c>
    </row>
    <row r="109" spans="1:31" x14ac:dyDescent="0.2">
      <c r="A109" s="347">
        <v>5495.4</v>
      </c>
      <c r="B109" s="364">
        <f t="shared" si="48"/>
        <v>5.4954000000000001</v>
      </c>
      <c r="C109" s="337">
        <f t="shared" si="26"/>
        <v>30.86458315796548</v>
      </c>
      <c r="D109" s="338">
        <f t="shared" si="27"/>
        <v>1.5383910604348616</v>
      </c>
      <c r="E109" s="338">
        <f t="shared" si="28"/>
        <v>1.0000953734805287</v>
      </c>
      <c r="F109" s="339">
        <f t="shared" si="29"/>
        <v>1.3810568493849179E-2</v>
      </c>
      <c r="G109" s="338">
        <f t="shared" si="30"/>
        <v>1</v>
      </c>
      <c r="H109" s="339">
        <f t="shared" si="31"/>
        <v>0</v>
      </c>
      <c r="I109" s="337">
        <f t="shared" si="32"/>
        <v>18129.565020637103</v>
      </c>
      <c r="J109" s="340">
        <f t="shared" si="33"/>
        <v>1.5707411682734778</v>
      </c>
      <c r="K109" s="348">
        <f t="shared" si="34"/>
        <v>9.0027659685925752</v>
      </c>
      <c r="L109" s="349">
        <f t="shared" si="35"/>
        <v>1.4594896623523035</v>
      </c>
      <c r="M109" s="337">
        <f t="shared" si="36"/>
        <v>1.0001594275947225</v>
      </c>
      <c r="N109" s="340">
        <f t="shared" si="37"/>
        <v>1.7855330668384222E-2</v>
      </c>
      <c r="O109" s="341">
        <f t="shared" si="38"/>
        <v>0.99969839883707656</v>
      </c>
      <c r="P109" s="342">
        <f t="shared" si="39"/>
        <v>8.2411643722302853E-3</v>
      </c>
      <c r="Q109" s="343">
        <f t="shared" si="40"/>
        <v>0.86091482480144377</v>
      </c>
      <c r="R109" s="344">
        <f t="shared" si="41"/>
        <v>-95.221488604674505</v>
      </c>
      <c r="S109" s="346">
        <f t="shared" si="42"/>
        <v>84.778511395325495</v>
      </c>
      <c r="U109" s="319">
        <f t="shared" si="49"/>
        <v>1000000000</v>
      </c>
      <c r="V109" s="319">
        <f t="shared" si="50"/>
        <v>30199421.159999996</v>
      </c>
      <c r="X109" s="345">
        <f t="shared" si="43"/>
        <v>31.625611266850623</v>
      </c>
      <c r="Y109" s="346">
        <f t="shared" si="44"/>
        <v>-7.3972768513195115</v>
      </c>
      <c r="AA109" s="345">
        <f t="shared" si="45"/>
        <v>17.983270361900466</v>
      </c>
      <c r="AB109" s="346">
        <f t="shared" si="46"/>
        <v>-87.824211753354987</v>
      </c>
      <c r="AD109">
        <f t="shared" si="51"/>
        <v>0</v>
      </c>
      <c r="AE109">
        <f t="shared" si="52"/>
        <v>0</v>
      </c>
    </row>
    <row r="110" spans="1:31" x14ac:dyDescent="0.2">
      <c r="A110" s="347">
        <v>5559.4</v>
      </c>
      <c r="B110" s="364">
        <f t="shared" si="48"/>
        <v>5.5593999999999992</v>
      </c>
      <c r="C110" s="337">
        <f t="shared" si="26"/>
        <v>31.223660144383143</v>
      </c>
      <c r="D110" s="338">
        <f t="shared" si="27"/>
        <v>1.5387638543344466</v>
      </c>
      <c r="E110" s="338">
        <f t="shared" si="28"/>
        <v>1.0000976077661121</v>
      </c>
      <c r="F110" s="339">
        <f t="shared" si="29"/>
        <v>1.3971387001769277E-2</v>
      </c>
      <c r="G110" s="338">
        <f t="shared" si="30"/>
        <v>1</v>
      </c>
      <c r="H110" s="339">
        <f t="shared" si="31"/>
        <v>0</v>
      </c>
      <c r="I110" s="337">
        <f t="shared" si="32"/>
        <v>18340.703819962164</v>
      </c>
      <c r="J110" s="340">
        <f t="shared" si="33"/>
        <v>1.5707418032602323</v>
      </c>
      <c r="K110" s="348">
        <f t="shared" si="34"/>
        <v>9.1063268587233637</v>
      </c>
      <c r="L110" s="349">
        <f t="shared" si="35"/>
        <v>1.4607606510791289</v>
      </c>
      <c r="M110" s="337">
        <f t="shared" si="36"/>
        <v>1.000163162334206</v>
      </c>
      <c r="N110" s="340">
        <f t="shared" si="37"/>
        <v>1.8063230737513022E-2</v>
      </c>
      <c r="O110" s="341">
        <f t="shared" si="38"/>
        <v>0.9996913332327455</v>
      </c>
      <c r="P110" s="342">
        <f t="shared" si="39"/>
        <v>8.337202967215936E-3</v>
      </c>
      <c r="Q110" s="343">
        <f t="shared" si="40"/>
        <v>0.75926849517554995</v>
      </c>
      <c r="R110" s="344">
        <f t="shared" si="41"/>
        <v>-95.178262394818006</v>
      </c>
      <c r="S110" s="346">
        <f t="shared" si="42"/>
        <v>84.821737605181994</v>
      </c>
      <c r="U110" s="319">
        <f t="shared" si="49"/>
        <v>1000000000</v>
      </c>
      <c r="V110" s="319">
        <f t="shared" si="50"/>
        <v>30906928.359999996</v>
      </c>
      <c r="X110" s="345">
        <f t="shared" si="43"/>
        <v>31.624352047032829</v>
      </c>
      <c r="Y110" s="346">
        <f t="shared" si="44"/>
        <v>-7.3364027399767924</v>
      </c>
      <c r="AA110" s="345">
        <f t="shared" si="45"/>
        <v>17.882883252092366</v>
      </c>
      <c r="AB110" s="346">
        <f t="shared" si="46"/>
        <v>-87.84185965484123</v>
      </c>
      <c r="AD110">
        <f t="shared" si="51"/>
        <v>0</v>
      </c>
      <c r="AE110">
        <f t="shared" si="52"/>
        <v>0</v>
      </c>
    </row>
    <row r="111" spans="1:31" x14ac:dyDescent="0.2">
      <c r="A111" s="347">
        <v>5623.4</v>
      </c>
      <c r="B111" s="364">
        <f t="shared" si="48"/>
        <v>5.6233999999999993</v>
      </c>
      <c r="C111" s="337">
        <f t="shared" si="26"/>
        <v>31.582741371446819</v>
      </c>
      <c r="D111" s="338">
        <f t="shared" si="27"/>
        <v>1.5391281712937384</v>
      </c>
      <c r="E111" s="338">
        <f t="shared" si="28"/>
        <v>1.0000998679166964</v>
      </c>
      <c r="F111" s="339">
        <f t="shared" si="29"/>
        <v>1.4132204786973027E-2</v>
      </c>
      <c r="G111" s="338">
        <f t="shared" si="30"/>
        <v>1</v>
      </c>
      <c r="H111" s="339">
        <f t="shared" si="31"/>
        <v>0</v>
      </c>
      <c r="I111" s="337">
        <f t="shared" si="32"/>
        <v>18551.842619294453</v>
      </c>
      <c r="J111" s="340">
        <f t="shared" si="33"/>
        <v>1.5707424237933993</v>
      </c>
      <c r="K111" s="348">
        <f t="shared" si="34"/>
        <v>9.2099021284890004</v>
      </c>
      <c r="L111" s="349">
        <f t="shared" si="35"/>
        <v>1.4620030545009763</v>
      </c>
      <c r="M111" s="337">
        <f t="shared" si="36"/>
        <v>1.0001669403028566</v>
      </c>
      <c r="N111" s="340">
        <f t="shared" si="37"/>
        <v>1.8271129245009961E-2</v>
      </c>
      <c r="O111" s="341">
        <f t="shared" si="38"/>
        <v>0.99968418583012397</v>
      </c>
      <c r="P111" s="342">
        <f t="shared" si="39"/>
        <v>8.4332436867317149E-3</v>
      </c>
      <c r="Q111" s="343">
        <f t="shared" si="40"/>
        <v>0.65881169411808704</v>
      </c>
      <c r="R111" s="344">
        <f t="shared" si="41"/>
        <v>-95.136187554922955</v>
      </c>
      <c r="S111" s="346">
        <f t="shared" si="42"/>
        <v>84.863812445077045</v>
      </c>
      <c r="U111" s="319">
        <f t="shared" si="49"/>
        <v>1000000000</v>
      </c>
      <c r="V111" s="319">
        <f t="shared" si="50"/>
        <v>31622627.559999995</v>
      </c>
      <c r="X111" s="345">
        <f t="shared" si="43"/>
        <v>31.623133770110829</v>
      </c>
      <c r="Y111" s="346">
        <f t="shared" si="44"/>
        <v>-7.2771655283627972</v>
      </c>
      <c r="AA111" s="345">
        <f t="shared" si="45"/>
        <v>17.783644727956901</v>
      </c>
      <c r="AB111" s="346">
        <f t="shared" si="46"/>
        <v>-87.85902202656014</v>
      </c>
      <c r="AD111">
        <f t="shared" si="51"/>
        <v>0</v>
      </c>
      <c r="AE111">
        <f t="shared" si="52"/>
        <v>0</v>
      </c>
    </row>
    <row r="112" spans="1:31" x14ac:dyDescent="0.2">
      <c r="A112" s="347">
        <v>5688.9</v>
      </c>
      <c r="B112" s="364">
        <f t="shared" si="48"/>
        <v>5.6888999999999994</v>
      </c>
      <c r="C112" s="337">
        <f t="shared" si="26"/>
        <v>31.950242806464409</v>
      </c>
      <c r="D112" s="338">
        <f t="shared" si="27"/>
        <v>1.5394925477961399</v>
      </c>
      <c r="E112" s="338">
        <f t="shared" si="28"/>
        <v>1.0001022078207982</v>
      </c>
      <c r="F112" s="339">
        <f t="shared" si="29"/>
        <v>1.4296790982019523E-2</v>
      </c>
      <c r="G112" s="338">
        <f t="shared" si="30"/>
        <v>1</v>
      </c>
      <c r="H112" s="339">
        <f t="shared" si="31"/>
        <v>0</v>
      </c>
      <c r="I112" s="337">
        <f t="shared" si="32"/>
        <v>18767.929984243325</v>
      </c>
      <c r="J112" s="340">
        <f t="shared" si="33"/>
        <v>1.5707430444136583</v>
      </c>
      <c r="K112" s="348">
        <f t="shared" si="34"/>
        <v>9.3159193322620677</v>
      </c>
      <c r="L112" s="349">
        <f t="shared" si="35"/>
        <v>1.463245969647057</v>
      </c>
      <c r="M112" s="337">
        <f t="shared" si="36"/>
        <v>1.0001708515779519</v>
      </c>
      <c r="N112" s="340">
        <f t="shared" si="37"/>
        <v>1.8483898738079419E-2</v>
      </c>
      <c r="O112" s="341">
        <f t="shared" si="38"/>
        <v>0.99967678621421141</v>
      </c>
      <c r="P112" s="342">
        <f t="shared" si="39"/>
        <v>8.531537585988765E-3</v>
      </c>
      <c r="Q112" s="343">
        <f t="shared" si="40"/>
        <v>0.55720318160277382</v>
      </c>
      <c r="R112" s="344">
        <f t="shared" si="41"/>
        <v>-95.094279082573635</v>
      </c>
      <c r="S112" s="346">
        <f t="shared" si="42"/>
        <v>84.905720917426365</v>
      </c>
      <c r="U112" s="319">
        <f t="shared" si="49"/>
        <v>1000000000</v>
      </c>
      <c r="V112" s="319">
        <f t="shared" si="50"/>
        <v>32363583.209999997</v>
      </c>
      <c r="X112" s="345">
        <f t="shared" si="43"/>
        <v>31.621927422929794</v>
      </c>
      <c r="Y112" s="346">
        <f t="shared" si="44"/>
        <v>-7.218178089015618</v>
      </c>
      <c r="AA112" s="345">
        <f t="shared" si="45"/>
        <v>17.683242562622624</v>
      </c>
      <c r="AB112" s="346">
        <f t="shared" si="46"/>
        <v>-87.876100993558026</v>
      </c>
      <c r="AD112">
        <f t="shared" si="51"/>
        <v>0</v>
      </c>
      <c r="AE112">
        <f t="shared" si="52"/>
        <v>0</v>
      </c>
    </row>
    <row r="113" spans="1:31" x14ac:dyDescent="0.2">
      <c r="A113" s="347">
        <v>5754.4</v>
      </c>
      <c r="B113" s="364">
        <f t="shared" si="48"/>
        <v>5.7543999999999995</v>
      </c>
      <c r="C113" s="337">
        <f t="shared" si="26"/>
        <v>32.317748387046159</v>
      </c>
      <c r="D113" s="338">
        <f t="shared" si="27"/>
        <v>1.539848637233062</v>
      </c>
      <c r="E113" s="338">
        <f t="shared" si="28"/>
        <v>1.0001045748161572</v>
      </c>
      <c r="F113" s="339">
        <f t="shared" si="29"/>
        <v>1.4461376402456344E-2</v>
      </c>
      <c r="G113" s="338">
        <f t="shared" si="30"/>
        <v>1</v>
      </c>
      <c r="H113" s="339">
        <f t="shared" si="31"/>
        <v>0</v>
      </c>
      <c r="I113" s="337">
        <f t="shared" si="32"/>
        <v>18984.017349199254</v>
      </c>
      <c r="J113" s="340">
        <f t="shared" si="33"/>
        <v>1.5707436509053803</v>
      </c>
      <c r="K113" s="348">
        <f t="shared" si="34"/>
        <v>9.4219506037364944</v>
      </c>
      <c r="L113" s="349">
        <f t="shared" si="35"/>
        <v>1.4644609119875218</v>
      </c>
      <c r="M113" s="337">
        <f t="shared" si="36"/>
        <v>1.0001748081312838</v>
      </c>
      <c r="N113" s="340">
        <f t="shared" si="37"/>
        <v>1.8696666557407576E-2</v>
      </c>
      <c r="O113" s="341">
        <f t="shared" si="38"/>
        <v>0.99966930092167061</v>
      </c>
      <c r="P113" s="342">
        <f t="shared" si="39"/>
        <v>8.6298337624720386E-3</v>
      </c>
      <c r="Q113" s="343">
        <f t="shared" si="40"/>
        <v>0.45678289266947858</v>
      </c>
      <c r="R113" s="344">
        <f t="shared" si="41"/>
        <v>-95.053497789505542</v>
      </c>
      <c r="S113" s="346">
        <f t="shared" si="42"/>
        <v>84.946502210494458</v>
      </c>
      <c r="U113" s="319">
        <f t="shared" si="49"/>
        <v>1000000000</v>
      </c>
      <c r="V113" s="319">
        <f t="shared" si="50"/>
        <v>33113119.359999996</v>
      </c>
      <c r="X113" s="345">
        <f t="shared" si="43"/>
        <v>31.620760187932198</v>
      </c>
      <c r="Y113" s="346">
        <f t="shared" si="44"/>
        <v>-7.1607924679693511</v>
      </c>
      <c r="AA113" s="345">
        <f t="shared" si="45"/>
        <v>17.583989508686923</v>
      </c>
      <c r="AB113" s="346">
        <f t="shared" si="46"/>
        <v>-87.89270532153617</v>
      </c>
      <c r="AD113">
        <f t="shared" si="51"/>
        <v>0</v>
      </c>
      <c r="AE113">
        <f t="shared" si="52"/>
        <v>0</v>
      </c>
    </row>
    <row r="114" spans="1:31" x14ac:dyDescent="0.2">
      <c r="A114" s="347">
        <v>5821.4</v>
      </c>
      <c r="B114" s="364">
        <f t="shared" si="48"/>
        <v>5.8213999999999997</v>
      </c>
      <c r="C114" s="337">
        <f t="shared" si="26"/>
        <v>32.693674269275547</v>
      </c>
      <c r="D114" s="338">
        <f t="shared" si="27"/>
        <v>1.5402045987305739</v>
      </c>
      <c r="E114" s="338">
        <f t="shared" si="28"/>
        <v>1.0001070240462928</v>
      </c>
      <c r="F114" s="339">
        <f t="shared" si="29"/>
        <v>1.4629730143947379E-2</v>
      </c>
      <c r="G114" s="338">
        <f t="shared" si="30"/>
        <v>1</v>
      </c>
      <c r="H114" s="339">
        <f t="shared" si="31"/>
        <v>0</v>
      </c>
      <c r="I114" s="337">
        <f t="shared" si="32"/>
        <v>19205.053279771924</v>
      </c>
      <c r="J114" s="340">
        <f t="shared" si="33"/>
        <v>1.5707442571658317</v>
      </c>
      <c r="K114" s="348">
        <f t="shared" si="34"/>
        <v>9.5304241374056904</v>
      </c>
      <c r="L114" s="349">
        <f t="shared" si="35"/>
        <v>1.4656757060502208</v>
      </c>
      <c r="M114" s="337">
        <f t="shared" si="36"/>
        <v>1.0001789021376155</v>
      </c>
      <c r="N114" s="340">
        <f t="shared" si="37"/>
        <v>1.8914305170479231E-2</v>
      </c>
      <c r="O114" s="341">
        <f t="shared" si="38"/>
        <v>0.99966155556850989</v>
      </c>
      <c r="P114" s="342">
        <f t="shared" si="39"/>
        <v>8.7303833798721437E-3</v>
      </c>
      <c r="Q114" s="343">
        <f t="shared" si="40"/>
        <v>0.35526341646077786</v>
      </c>
      <c r="R114" s="344">
        <f t="shared" si="41"/>
        <v>-95.012909928174807</v>
      </c>
      <c r="S114" s="346">
        <f t="shared" si="42"/>
        <v>84.987090071825193</v>
      </c>
      <c r="U114" s="319">
        <f t="shared" si="49"/>
        <v>1000000000</v>
      </c>
      <c r="V114" s="319">
        <f t="shared" si="50"/>
        <v>33888697.959999993</v>
      </c>
      <c r="X114" s="345">
        <f t="shared" si="43"/>
        <v>31.619604862452061</v>
      </c>
      <c r="Y114" s="346">
        <f t="shared" si="44"/>
        <v>-7.1036944052871434</v>
      </c>
      <c r="AA114" s="345">
        <f t="shared" si="45"/>
        <v>17.483625357958363</v>
      </c>
      <c r="AB114" s="346">
        <f t="shared" si="46"/>
        <v>-87.909215522887649</v>
      </c>
      <c r="AD114">
        <f t="shared" si="51"/>
        <v>0</v>
      </c>
      <c r="AE114">
        <f t="shared" si="52"/>
        <v>0</v>
      </c>
    </row>
    <row r="115" spans="1:31" x14ac:dyDescent="0.2">
      <c r="A115" s="347">
        <v>5888.4</v>
      </c>
      <c r="B115" s="364">
        <f t="shared" si="48"/>
        <v>5.8883999999999999</v>
      </c>
      <c r="C115" s="337">
        <f t="shared" si="26"/>
        <v>33.069604199890819</v>
      </c>
      <c r="D115" s="338">
        <f t="shared" si="27"/>
        <v>1.540552467245468</v>
      </c>
      <c r="E115" s="338">
        <f t="shared" si="28"/>
        <v>1.0001095016223049</v>
      </c>
      <c r="F115" s="339">
        <f t="shared" si="29"/>
        <v>1.4798083056082975E-2</v>
      </c>
      <c r="G115" s="338">
        <f t="shared" si="30"/>
        <v>1</v>
      </c>
      <c r="H115" s="339">
        <f t="shared" si="31"/>
        <v>0</v>
      </c>
      <c r="I115" s="337">
        <f t="shared" si="32"/>
        <v>19426.089210351496</v>
      </c>
      <c r="J115" s="340">
        <f t="shared" si="33"/>
        <v>1.5707448496298526</v>
      </c>
      <c r="K115" s="348">
        <f t="shared" si="34"/>
        <v>9.6389114187936809</v>
      </c>
      <c r="L115" s="349">
        <f t="shared" si="35"/>
        <v>1.4668631564821066</v>
      </c>
      <c r="M115" s="337">
        <f t="shared" si="36"/>
        <v>1.0001830435185981</v>
      </c>
      <c r="N115" s="340">
        <f t="shared" si="37"/>
        <v>1.9131941991540599E-2</v>
      </c>
      <c r="O115" s="341">
        <f t="shared" si="38"/>
        <v>0.9996537205706435</v>
      </c>
      <c r="P115" s="342">
        <f t="shared" si="39"/>
        <v>8.8309354356081206E-3</v>
      </c>
      <c r="Q115" s="343">
        <f t="shared" si="40"/>
        <v>0.25492969333162924</v>
      </c>
      <c r="R115" s="344">
        <f t="shared" si="41"/>
        <v>-94.973424341812844</v>
      </c>
      <c r="S115" s="346">
        <f t="shared" si="42"/>
        <v>85.026575658187156</v>
      </c>
      <c r="U115" s="319">
        <f t="shared" si="49"/>
        <v>1000000000</v>
      </c>
      <c r="V115" s="319">
        <f t="shared" si="50"/>
        <v>34673254.559999995</v>
      </c>
      <c r="X115" s="345">
        <f t="shared" si="43"/>
        <v>31.61848685687356</v>
      </c>
      <c r="Y115" s="346">
        <f t="shared" si="44"/>
        <v>-7.0481621240970158</v>
      </c>
      <c r="AA115" s="345">
        <f t="shared" si="45"/>
        <v>17.384409640407714</v>
      </c>
      <c r="AB115" s="346">
        <f t="shared" si="46"/>
        <v>-87.925262217715826</v>
      </c>
      <c r="AD115">
        <f t="shared" si="51"/>
        <v>0</v>
      </c>
      <c r="AE115">
        <f t="shared" si="52"/>
        <v>0</v>
      </c>
    </row>
    <row r="116" spans="1:31" x14ac:dyDescent="0.2">
      <c r="A116" s="347">
        <v>5957</v>
      </c>
      <c r="B116" s="364">
        <f t="shared" si="48"/>
        <v>5.9569999999999999</v>
      </c>
      <c r="C116" s="337">
        <f t="shared" si="26"/>
        <v>33.454515613713127</v>
      </c>
      <c r="D116" s="338">
        <f t="shared" si="27"/>
        <v>1.5409005427180018</v>
      </c>
      <c r="E116" s="338">
        <f t="shared" si="28"/>
        <v>1.0001120677334248</v>
      </c>
      <c r="F116" s="339">
        <f t="shared" si="29"/>
        <v>1.4970455467009442E-2</v>
      </c>
      <c r="G116" s="338">
        <f t="shared" si="30"/>
        <v>1</v>
      </c>
      <c r="H116" s="339">
        <f t="shared" si="31"/>
        <v>0</v>
      </c>
      <c r="I116" s="337">
        <f t="shared" si="32"/>
        <v>19652.403610921956</v>
      </c>
      <c r="J116" s="340">
        <f t="shared" si="33"/>
        <v>1.5707454424338674</v>
      </c>
      <c r="K116" s="348">
        <f t="shared" si="34"/>
        <v>9.7500032060612192</v>
      </c>
      <c r="L116" s="349">
        <f t="shared" si="35"/>
        <v>1.4680515828339151</v>
      </c>
      <c r="M116" s="337">
        <f t="shared" si="36"/>
        <v>1.0001873328827779</v>
      </c>
      <c r="N116" s="340">
        <f t="shared" si="37"/>
        <v>1.9354774231600543E-2</v>
      </c>
      <c r="O116" s="341">
        <f t="shared" si="38"/>
        <v>0.9996456055874543</v>
      </c>
      <c r="P116" s="342">
        <f t="shared" si="39"/>
        <v>8.9338912902135244E-3</v>
      </c>
      <c r="Q116" s="343">
        <f t="shared" si="40"/>
        <v>0.15339972394598178</v>
      </c>
      <c r="R116" s="344">
        <f t="shared" si="41"/>
        <v>-94.934099819432831</v>
      </c>
      <c r="S116" s="346">
        <f t="shared" si="42"/>
        <v>85.065900180567169</v>
      </c>
      <c r="U116" s="319">
        <f t="shared" si="49"/>
        <v>1000000000</v>
      </c>
      <c r="V116" s="319">
        <f t="shared" si="50"/>
        <v>35485849</v>
      </c>
      <c r="X116" s="345">
        <f t="shared" si="43"/>
        <v>31.61737907299316</v>
      </c>
      <c r="Y116" s="346">
        <f t="shared" si="44"/>
        <v>-6.9928716218760858</v>
      </c>
      <c r="AA116" s="345">
        <f t="shared" si="45"/>
        <v>17.283987454902466</v>
      </c>
      <c r="AB116" s="346">
        <f t="shared" si="46"/>
        <v>-87.941228197556754</v>
      </c>
      <c r="AD116">
        <f t="shared" si="51"/>
        <v>0</v>
      </c>
      <c r="AE116">
        <f t="shared" si="52"/>
        <v>0</v>
      </c>
    </row>
    <row r="117" spans="1:31" x14ac:dyDescent="0.2">
      <c r="A117" s="347">
        <v>6025.6</v>
      </c>
      <c r="B117" s="364">
        <f t="shared" si="48"/>
        <v>6.0256000000000007</v>
      </c>
      <c r="C117" s="337">
        <f t="shared" si="26"/>
        <v>33.839430988560174</v>
      </c>
      <c r="D117" s="338">
        <f t="shared" si="27"/>
        <v>1.5412406996816876</v>
      </c>
      <c r="E117" s="338">
        <f t="shared" si="28"/>
        <v>1.0001146635599696</v>
      </c>
      <c r="F117" s="339">
        <f t="shared" si="29"/>
        <v>1.514282698826227E-2</v>
      </c>
      <c r="G117" s="338">
        <f t="shared" si="30"/>
        <v>1</v>
      </c>
      <c r="H117" s="339">
        <f t="shared" si="31"/>
        <v>0</v>
      </c>
      <c r="I117" s="337">
        <f t="shared" si="32"/>
        <v>19878.718011499172</v>
      </c>
      <c r="J117" s="340">
        <f t="shared" si="33"/>
        <v>1.5707460217400211</v>
      </c>
      <c r="K117" s="348">
        <f t="shared" si="34"/>
        <v>9.8611084535377778</v>
      </c>
      <c r="L117" s="349">
        <f t="shared" si="35"/>
        <v>1.4692132307629149</v>
      </c>
      <c r="M117" s="337">
        <f t="shared" si="36"/>
        <v>1.0001916719100397</v>
      </c>
      <c r="N117" s="340">
        <f t="shared" si="37"/>
        <v>1.9577604549345113E-2</v>
      </c>
      <c r="O117" s="341">
        <f t="shared" si="38"/>
        <v>0.99963739662796969</v>
      </c>
      <c r="P117" s="342">
        <f t="shared" si="39"/>
        <v>9.0368497606790558E-3</v>
      </c>
      <c r="Q117" s="343">
        <f t="shared" si="40"/>
        <v>5.3055372928910591E-2</v>
      </c>
      <c r="R117" s="344">
        <f t="shared" si="41"/>
        <v>-94.895855207867285</v>
      </c>
      <c r="S117" s="346">
        <f t="shared" si="42"/>
        <v>85.104144792132715</v>
      </c>
      <c r="U117" s="319">
        <f t="shared" si="49"/>
        <v>1000000000</v>
      </c>
      <c r="V117" s="319">
        <f t="shared" si="50"/>
        <v>36307855.360000007</v>
      </c>
      <c r="X117" s="345">
        <f t="shared" si="43"/>
        <v>31.616306962103607</v>
      </c>
      <c r="Y117" s="346">
        <f t="shared" si="44"/>
        <v>-6.939114526754846</v>
      </c>
      <c r="AA117" s="345">
        <f t="shared" si="45"/>
        <v>17.184715214774947</v>
      </c>
      <c r="AB117" s="346">
        <f t="shared" si="46"/>
        <v>-87.956740681112407</v>
      </c>
      <c r="AD117">
        <f t="shared" si="51"/>
        <v>6025.6</v>
      </c>
      <c r="AE117">
        <f t="shared" si="52"/>
        <v>85.104144792132715</v>
      </c>
    </row>
    <row r="118" spans="1:31" x14ac:dyDescent="0.2">
      <c r="A118" s="347">
        <v>6095.8</v>
      </c>
      <c r="B118" s="364">
        <f t="shared" si="48"/>
        <v>6.0958000000000006</v>
      </c>
      <c r="C118" s="337">
        <f t="shared" si="26"/>
        <v>34.233327942761647</v>
      </c>
      <c r="D118" s="338">
        <f t="shared" si="27"/>
        <v>1.5415808712312389</v>
      </c>
      <c r="E118" s="338">
        <f t="shared" si="28"/>
        <v>1.0001173506934464</v>
      </c>
      <c r="F118" s="339">
        <f t="shared" si="29"/>
        <v>1.5319217904820878E-2</v>
      </c>
      <c r="G118" s="338">
        <f t="shared" si="30"/>
        <v>1</v>
      </c>
      <c r="H118" s="339">
        <f t="shared" si="31"/>
        <v>0</v>
      </c>
      <c r="I118" s="337">
        <f t="shared" si="32"/>
        <v>20110.310882067439</v>
      </c>
      <c r="J118" s="340">
        <f t="shared" si="33"/>
        <v>1.5707466010593634</v>
      </c>
      <c r="K118" s="348">
        <f t="shared" si="34"/>
        <v>9.9748185425688032</v>
      </c>
      <c r="L118" s="349">
        <f t="shared" si="35"/>
        <v>1.4703751803167824</v>
      </c>
      <c r="M118" s="337">
        <f t="shared" si="36"/>
        <v>1.0001961635525025</v>
      </c>
      <c r="N118" s="340">
        <f t="shared" si="37"/>
        <v>1.980563006251498E-2</v>
      </c>
      <c r="O118" s="341">
        <f t="shared" si="38"/>
        <v>0.99962889891679152</v>
      </c>
      <c r="P118" s="342">
        <f t="shared" si="39"/>
        <v>9.1422123344769221E-3</v>
      </c>
      <c r="Q118" s="343">
        <f t="shared" si="40"/>
        <v>-4.8430684509550813E-2</v>
      </c>
      <c r="R118" s="344">
        <f t="shared" si="41"/>
        <v>-94.857799264292993</v>
      </c>
      <c r="S118" s="346">
        <f t="shared" si="42"/>
        <v>85.142200735707007</v>
      </c>
      <c r="U118" s="319">
        <f t="shared" si="49"/>
        <v>6095.8</v>
      </c>
      <c r="V118" s="319">
        <f t="shared" si="50"/>
        <v>37158777.640000001</v>
      </c>
      <c r="X118" s="345">
        <f t="shared" si="43"/>
        <v>31.615245104810302</v>
      </c>
      <c r="Y118" s="346">
        <f t="shared" si="44"/>
        <v>-6.8856378133292537</v>
      </c>
      <c r="AA118" s="345">
        <f t="shared" si="45"/>
        <v>17.084291014629787</v>
      </c>
      <c r="AB118" s="346">
        <f t="shared" si="46"/>
        <v>-87.972161450963739</v>
      </c>
      <c r="AD118">
        <f t="shared" si="51"/>
        <v>0</v>
      </c>
      <c r="AE118">
        <f t="shared" si="52"/>
        <v>0</v>
      </c>
    </row>
    <row r="119" spans="1:31" x14ac:dyDescent="0.2">
      <c r="A119" s="347">
        <v>6166</v>
      </c>
      <c r="B119" s="364">
        <f t="shared" si="48"/>
        <v>6.1660000000000004</v>
      </c>
      <c r="C119" s="337">
        <f t="shared" si="26"/>
        <v>34.627228768206123</v>
      </c>
      <c r="D119" s="338">
        <f t="shared" si="27"/>
        <v>1.5419133035994883</v>
      </c>
      <c r="E119" s="338">
        <f t="shared" si="28"/>
        <v>1.0001200689441618</v>
      </c>
      <c r="F119" s="339">
        <f t="shared" si="29"/>
        <v>1.5495607868033267E-2</v>
      </c>
      <c r="G119" s="338">
        <f t="shared" si="30"/>
        <v>1</v>
      </c>
      <c r="H119" s="339">
        <f t="shared" si="31"/>
        <v>0</v>
      </c>
      <c r="I119" s="337">
        <f t="shared" si="32"/>
        <v>20341.903752642305</v>
      </c>
      <c r="J119" s="340">
        <f t="shared" si="33"/>
        <v>1.5707471671875874</v>
      </c>
      <c r="K119" s="348">
        <f t="shared" si="34"/>
        <v>10.088541795273974</v>
      </c>
      <c r="L119" s="349">
        <f t="shared" si="35"/>
        <v>1.4715109351846121</v>
      </c>
      <c r="M119" s="337">
        <f t="shared" si="36"/>
        <v>1.0002007072003312</v>
      </c>
      <c r="N119" s="340">
        <f t="shared" si="37"/>
        <v>2.0033653515821537E-2</v>
      </c>
      <c r="O119" s="341">
        <f t="shared" si="38"/>
        <v>0.99962030279563674</v>
      </c>
      <c r="P119" s="342">
        <f t="shared" si="39"/>
        <v>9.2475777115573771E-3</v>
      </c>
      <c r="Q119" s="343">
        <f t="shared" si="40"/>
        <v>-0.14873249873631555</v>
      </c>
      <c r="R119" s="344">
        <f t="shared" si="41"/>
        <v>-94.820800084672257</v>
      </c>
      <c r="S119" s="346">
        <f t="shared" si="42"/>
        <v>85.179199915327743</v>
      </c>
      <c r="U119" s="319">
        <f t="shared" si="49"/>
        <v>6166</v>
      </c>
      <c r="V119" s="319">
        <f t="shared" si="50"/>
        <v>38019556</v>
      </c>
      <c r="X119" s="345">
        <f t="shared" si="43"/>
        <v>31.614217303512142</v>
      </c>
      <c r="Y119" s="346">
        <f t="shared" si="44"/>
        <v>-6.8336610710441477</v>
      </c>
      <c r="AA119" s="345">
        <f t="shared" si="45"/>
        <v>16.985017001701191</v>
      </c>
      <c r="AB119" s="346">
        <f t="shared" si="46"/>
        <v>-87.987139013628081</v>
      </c>
      <c r="AD119">
        <f t="shared" si="51"/>
        <v>0</v>
      </c>
      <c r="AE119">
        <f t="shared" si="52"/>
        <v>0</v>
      </c>
    </row>
    <row r="120" spans="1:31" x14ac:dyDescent="0.2">
      <c r="A120" s="347">
        <v>6237.8</v>
      </c>
      <c r="B120" s="364">
        <f t="shared" si="48"/>
        <v>6.2378</v>
      </c>
      <c r="C120" s="337">
        <f t="shared" si="26"/>
        <v>35.030111258723529</v>
      </c>
      <c r="D120" s="338">
        <f t="shared" si="27"/>
        <v>1.5422455790377068</v>
      </c>
      <c r="E120" s="338">
        <f t="shared" si="28"/>
        <v>1.0001228813382037</v>
      </c>
      <c r="F120" s="339">
        <f t="shared" si="29"/>
        <v>1.5676017117688203E-2</v>
      </c>
      <c r="G120" s="338">
        <f t="shared" si="30"/>
        <v>1</v>
      </c>
      <c r="H120" s="339">
        <f t="shared" si="31"/>
        <v>0</v>
      </c>
      <c r="I120" s="337">
        <f t="shared" si="32"/>
        <v>20578.775093208373</v>
      </c>
      <c r="J120" s="340">
        <f t="shared" si="33"/>
        <v>1.5707477330376947</v>
      </c>
      <c r="K120" s="348">
        <f t="shared" si="34"/>
        <v>10.204870189372487</v>
      </c>
      <c r="L120" s="349">
        <f t="shared" si="35"/>
        <v>1.4726463889587835</v>
      </c>
      <c r="M120" s="337">
        <f t="shared" si="36"/>
        <v>1.0002054082031804</v>
      </c>
      <c r="N120" s="340">
        <f t="shared" si="37"/>
        <v>2.0266871929366197E-2</v>
      </c>
      <c r="O120" s="341">
        <f t="shared" si="38"/>
        <v>0.99961140895214173</v>
      </c>
      <c r="P120" s="342">
        <f t="shared" si="39"/>
        <v>9.3553475122933778E-3</v>
      </c>
      <c r="Q120" s="343">
        <f t="shared" si="40"/>
        <v>-0.25012399774972915</v>
      </c>
      <c r="R120" s="344">
        <f t="shared" si="41"/>
        <v>-94.78401427355837</v>
      </c>
      <c r="S120" s="346">
        <f t="shared" si="42"/>
        <v>85.21598572644163</v>
      </c>
      <c r="U120" s="319">
        <f t="shared" si="49"/>
        <v>6237.8</v>
      </c>
      <c r="V120" s="319">
        <f t="shared" si="50"/>
        <v>38910148.840000004</v>
      </c>
      <c r="X120" s="345">
        <f t="shared" si="43"/>
        <v>31.613199708866148</v>
      </c>
      <c r="Y120" s="346">
        <f t="shared" si="44"/>
        <v>-6.7819992135167206</v>
      </c>
      <c r="AA120" s="345">
        <f t="shared" si="45"/>
        <v>16.884643097333765</v>
      </c>
      <c r="AB120" s="346">
        <f t="shared" si="46"/>
        <v>-88.002015060041643</v>
      </c>
      <c r="AD120">
        <f t="shared" si="51"/>
        <v>0</v>
      </c>
      <c r="AE120">
        <f t="shared" si="52"/>
        <v>0</v>
      </c>
    </row>
    <row r="121" spans="1:31" x14ac:dyDescent="0.2">
      <c r="A121" s="347">
        <v>6309.6</v>
      </c>
      <c r="B121" s="364">
        <f t="shared" si="48"/>
        <v>6.3096000000000005</v>
      </c>
      <c r="C121" s="337">
        <f t="shared" si="26"/>
        <v>35.432997528858486</v>
      </c>
      <c r="D121" s="338">
        <f t="shared" si="27"/>
        <v>1.5425702983221632</v>
      </c>
      <c r="E121" s="338">
        <f t="shared" si="28"/>
        <v>1.0001257262835588</v>
      </c>
      <c r="F121" s="339">
        <f t="shared" si="29"/>
        <v>1.5856425346835082E-2</v>
      </c>
      <c r="G121" s="338">
        <f t="shared" si="30"/>
        <v>1</v>
      </c>
      <c r="H121" s="339">
        <f t="shared" si="31"/>
        <v>0</v>
      </c>
      <c r="I121" s="337">
        <f t="shared" si="32"/>
        <v>20815.646433780879</v>
      </c>
      <c r="J121" s="340">
        <f t="shared" si="33"/>
        <v>1.570748286009636</v>
      </c>
      <c r="K121" s="348">
        <f t="shared" si="34"/>
        <v>10.321211443571048</v>
      </c>
      <c r="L121" s="349">
        <f t="shared" si="35"/>
        <v>1.47375624634425</v>
      </c>
      <c r="M121" s="337">
        <f t="shared" si="36"/>
        <v>1.0002101636075174</v>
      </c>
      <c r="N121" s="340">
        <f t="shared" si="37"/>
        <v>2.0500088137965933E-2</v>
      </c>
      <c r="O121" s="341">
        <f t="shared" si="38"/>
        <v>0.99960241216291068</v>
      </c>
      <c r="P121" s="342">
        <f t="shared" si="39"/>
        <v>9.4631203140337697E-3</v>
      </c>
      <c r="Q121" s="343">
        <f t="shared" si="40"/>
        <v>-0.35033377957567746</v>
      </c>
      <c r="R121" s="344">
        <f t="shared" si="41"/>
        <v>-94.74826145798643</v>
      </c>
      <c r="S121" s="346">
        <f t="shared" si="42"/>
        <v>85.25173854201357</v>
      </c>
      <c r="U121" s="319">
        <f t="shared" si="49"/>
        <v>6309.6</v>
      </c>
      <c r="V121" s="319">
        <f t="shared" si="50"/>
        <v>39811052.160000004</v>
      </c>
      <c r="X121" s="345">
        <f t="shared" si="43"/>
        <v>31.612214588658581</v>
      </c>
      <c r="Y121" s="346">
        <f t="shared" si="44"/>
        <v>-6.7318030568359548</v>
      </c>
      <c r="AA121" s="345">
        <f t="shared" si="45"/>
        <v>16.785418435715385</v>
      </c>
      <c r="AB121" s="346">
        <f t="shared" si="46"/>
        <v>-88.016458401150487</v>
      </c>
      <c r="AD121">
        <f t="shared" si="51"/>
        <v>0</v>
      </c>
      <c r="AE121">
        <f t="shared" si="52"/>
        <v>0</v>
      </c>
    </row>
    <row r="122" spans="1:31" x14ac:dyDescent="0.2">
      <c r="A122" s="347">
        <v>6383.05</v>
      </c>
      <c r="B122" s="364">
        <f t="shared" si="48"/>
        <v>6.3830499999999999</v>
      </c>
      <c r="C122" s="337">
        <f t="shared" si="26"/>
        <v>35.845146105505762</v>
      </c>
      <c r="D122" s="338">
        <f t="shared" si="27"/>
        <v>1.5428949267877161</v>
      </c>
      <c r="E122" s="338">
        <f t="shared" si="28"/>
        <v>1.0001286702888714</v>
      </c>
      <c r="F122" s="339">
        <f t="shared" si="29"/>
        <v>1.6040978379352526E-2</v>
      </c>
      <c r="G122" s="338">
        <f t="shared" si="30"/>
        <v>1</v>
      </c>
      <c r="H122" s="339">
        <f t="shared" si="31"/>
        <v>0</v>
      </c>
      <c r="I122" s="337">
        <f t="shared" si="32"/>
        <v>21057.961196531753</v>
      </c>
      <c r="J122" s="340">
        <f t="shared" si="33"/>
        <v>1.570748838816785</v>
      </c>
      <c r="K122" s="348">
        <f t="shared" si="34"/>
        <v>10.440239136654453</v>
      </c>
      <c r="L122" s="349">
        <f t="shared" si="35"/>
        <v>1.4748660127411384</v>
      </c>
      <c r="M122" s="337">
        <f t="shared" si="36"/>
        <v>1.0002150845837339</v>
      </c>
      <c r="N122" s="340">
        <f t="shared" si="37"/>
        <v>2.0738661464020508E-2</v>
      </c>
      <c r="O122" s="341">
        <f t="shared" si="38"/>
        <v>0.99959310210210628</v>
      </c>
      <c r="P122" s="342">
        <f t="shared" si="39"/>
        <v>9.5733729301462553E-3</v>
      </c>
      <c r="Q122" s="343">
        <f t="shared" si="40"/>
        <v>-0.45165221363222735</v>
      </c>
      <c r="R122" s="344">
        <f t="shared" si="41"/>
        <v>-94.712720186072474</v>
      </c>
      <c r="S122" s="346">
        <f t="shared" si="42"/>
        <v>85.287279813927526</v>
      </c>
      <c r="U122" s="319">
        <f t="shared" si="49"/>
        <v>6383.05</v>
      </c>
      <c r="V122" s="319">
        <f t="shared" si="50"/>
        <v>40743327.302500002</v>
      </c>
      <c r="X122" s="345">
        <f t="shared" si="43"/>
        <v>31.611238907387765</v>
      </c>
      <c r="Y122" s="346">
        <f t="shared" si="44"/>
        <v>-6.6819190441956531</v>
      </c>
      <c r="AA122" s="345">
        <f t="shared" si="45"/>
        <v>16.685075682929654</v>
      </c>
      <c r="AB122" s="346">
        <f t="shared" si="46"/>
        <v>-88.030801141876793</v>
      </c>
      <c r="AD122">
        <f t="shared" si="51"/>
        <v>0</v>
      </c>
      <c r="AE122">
        <f t="shared" si="52"/>
        <v>0</v>
      </c>
    </row>
    <row r="123" spans="1:31" x14ac:dyDescent="0.2">
      <c r="A123" s="347">
        <v>6456.5</v>
      </c>
      <c r="B123" s="364">
        <f t="shared" si="48"/>
        <v>6.4565000000000001</v>
      </c>
      <c r="C123" s="337">
        <f t="shared" si="26"/>
        <v>36.257298373764826</v>
      </c>
      <c r="D123" s="338">
        <f t="shared" si="27"/>
        <v>1.5432121749039458</v>
      </c>
      <c r="E123" s="338">
        <f t="shared" si="28"/>
        <v>1.0001316483581872</v>
      </c>
      <c r="F123" s="339">
        <f t="shared" si="29"/>
        <v>1.6225530319076989E-2</v>
      </c>
      <c r="G123" s="338">
        <f t="shared" si="30"/>
        <v>1</v>
      </c>
      <c r="H123" s="339">
        <f t="shared" si="31"/>
        <v>0</v>
      </c>
      <c r="I123" s="337">
        <f t="shared" si="32"/>
        <v>21300.275959288912</v>
      </c>
      <c r="J123" s="340">
        <f t="shared" si="33"/>
        <v>1.5707493790463192</v>
      </c>
      <c r="K123" s="348">
        <f t="shared" si="34"/>
        <v>10.559279397854281</v>
      </c>
      <c r="L123" s="349">
        <f t="shared" si="35"/>
        <v>1.4759507584987666</v>
      </c>
      <c r="M123" s="337">
        <f t="shared" si="36"/>
        <v>1.0002200624888622</v>
      </c>
      <c r="N123" s="340">
        <f t="shared" si="37"/>
        <v>2.0977232428985575E-2</v>
      </c>
      <c r="O123" s="341">
        <f t="shared" si="38"/>
        <v>0.99958368431112021</v>
      </c>
      <c r="P123" s="342">
        <f t="shared" si="39"/>
        <v>9.6836287600941505E-3</v>
      </c>
      <c r="Q123" s="343">
        <f t="shared" si="40"/>
        <v>-0.55179093405500046</v>
      </c>
      <c r="R123" s="344">
        <f t="shared" si="41"/>
        <v>-94.678189019149301</v>
      </c>
      <c r="S123" s="346">
        <f t="shared" si="42"/>
        <v>85.321810980850699</v>
      </c>
      <c r="U123" s="319">
        <f t="shared" si="49"/>
        <v>6456.5</v>
      </c>
      <c r="V123" s="319">
        <f t="shared" si="50"/>
        <v>41686392.25</v>
      </c>
      <c r="X123" s="345">
        <f t="shared" si="43"/>
        <v>31.610294200127896</v>
      </c>
      <c r="Y123" s="346">
        <f t="shared" si="44"/>
        <v>-6.6334677526626127</v>
      </c>
      <c r="AA123" s="345">
        <f t="shared" si="45"/>
        <v>16.585881669766749</v>
      </c>
      <c r="AB123" s="346">
        <f t="shared" si="46"/>
        <v>-88.04472126648669</v>
      </c>
      <c r="AD123">
        <f t="shared" si="51"/>
        <v>0</v>
      </c>
      <c r="AE123">
        <f t="shared" si="52"/>
        <v>0</v>
      </c>
    </row>
    <row r="124" spans="1:31" x14ac:dyDescent="0.2">
      <c r="A124" s="347">
        <v>6531.7</v>
      </c>
      <c r="B124" s="364">
        <f t="shared" si="48"/>
        <v>6.5316999999999998</v>
      </c>
      <c r="C124" s="337">
        <f t="shared" si="26"/>
        <v>36.679274166066044</v>
      </c>
      <c r="D124" s="338">
        <f t="shared" si="27"/>
        <v>1.5435295952161145</v>
      </c>
      <c r="E124" s="338">
        <f t="shared" si="28"/>
        <v>1.0001347326729373</v>
      </c>
      <c r="F124" s="339">
        <f t="shared" si="29"/>
        <v>1.6414478198543178E-2</v>
      </c>
      <c r="G124" s="338">
        <f t="shared" si="30"/>
        <v>1</v>
      </c>
      <c r="H124" s="339">
        <f t="shared" si="31"/>
        <v>0</v>
      </c>
      <c r="I124" s="337">
        <f t="shared" si="32"/>
        <v>21548.364048598662</v>
      </c>
      <c r="J124" s="340">
        <f t="shared" si="33"/>
        <v>1.570749919559614</v>
      </c>
      <c r="K124" s="348">
        <f t="shared" si="34"/>
        <v>10.681168462435318</v>
      </c>
      <c r="L124" s="349">
        <f t="shared" si="35"/>
        <v>1.477036298127745</v>
      </c>
      <c r="M124" s="337">
        <f t="shared" si="36"/>
        <v>1.0002252179749649</v>
      </c>
      <c r="N124" s="340">
        <f t="shared" si="37"/>
        <v>2.1221485047311441E-2</v>
      </c>
      <c r="O124" s="341">
        <f t="shared" si="38"/>
        <v>0.9995739305242447</v>
      </c>
      <c r="P124" s="342">
        <f t="shared" si="39"/>
        <v>9.7965148842009686E-3</v>
      </c>
      <c r="Q124" s="343">
        <f t="shared" si="40"/>
        <v>-0.6531218247748628</v>
      </c>
      <c r="R124" s="344">
        <f t="shared" si="41"/>
        <v>-94.643846619825595</v>
      </c>
      <c r="S124" s="346">
        <f t="shared" si="42"/>
        <v>85.356153380174405</v>
      </c>
      <c r="U124" s="319">
        <f t="shared" si="49"/>
        <v>6531.7</v>
      </c>
      <c r="V124" s="319">
        <f t="shared" si="50"/>
        <v>42663104.890000001</v>
      </c>
      <c r="X124" s="345">
        <f t="shared" si="43"/>
        <v>31.609357615506084</v>
      </c>
      <c r="Y124" s="346">
        <f t="shared" si="44"/>
        <v>-6.5852965266685555</v>
      </c>
      <c r="AA124" s="345">
        <f t="shared" si="45"/>
        <v>16.485487363668696</v>
      </c>
      <c r="AB124" s="346">
        <f t="shared" si="46"/>
        <v>-88.058550093157052</v>
      </c>
      <c r="AD124">
        <f t="shared" si="51"/>
        <v>0</v>
      </c>
      <c r="AE124">
        <f t="shared" si="52"/>
        <v>0</v>
      </c>
    </row>
    <row r="125" spans="1:31" x14ac:dyDescent="0.2">
      <c r="A125" s="347">
        <v>6606.9</v>
      </c>
      <c r="B125" s="364">
        <f t="shared" si="48"/>
        <v>6.6068999999999996</v>
      </c>
      <c r="C125" s="337">
        <f t="shared" si="26"/>
        <v>37.10125356994557</v>
      </c>
      <c r="D125" s="338">
        <f t="shared" si="27"/>
        <v>1.543839795057147</v>
      </c>
      <c r="E125" s="338">
        <f t="shared" si="28"/>
        <v>1.0001378526935774</v>
      </c>
      <c r="F125" s="339">
        <f t="shared" si="29"/>
        <v>1.6603424905874915E-2</v>
      </c>
      <c r="G125" s="338">
        <f t="shared" si="30"/>
        <v>1</v>
      </c>
      <c r="H125" s="339">
        <f t="shared" si="31"/>
        <v>0</v>
      </c>
      <c r="I125" s="337">
        <f t="shared" si="32"/>
        <v>21796.452137914555</v>
      </c>
      <c r="J125" s="340">
        <f t="shared" si="33"/>
        <v>1.5707504477686209</v>
      </c>
      <c r="K125" s="348">
        <f t="shared" si="34"/>
        <v>10.803069829631331</v>
      </c>
      <c r="L125" s="349">
        <f t="shared" si="35"/>
        <v>1.478097340620308</v>
      </c>
      <c r="M125" s="337">
        <f t="shared" si="36"/>
        <v>1.0002304331332283</v>
      </c>
      <c r="N125" s="340">
        <f t="shared" si="37"/>
        <v>2.1465735133163782E-2</v>
      </c>
      <c r="O125" s="341">
        <f t="shared" si="38"/>
        <v>0.9995640638140797</v>
      </c>
      <c r="P125" s="342">
        <f t="shared" si="39"/>
        <v>9.9094044557769319E-3</v>
      </c>
      <c r="Q125" s="343">
        <f t="shared" si="40"/>
        <v>-0.75327300328230362</v>
      </c>
      <c r="R125" s="344">
        <f t="shared" si="41"/>
        <v>-94.610493515107578</v>
      </c>
      <c r="S125" s="346">
        <f t="shared" si="42"/>
        <v>85.389506484892422</v>
      </c>
      <c r="U125" s="319">
        <f t="shared" si="49"/>
        <v>6606.9</v>
      </c>
      <c r="V125" s="319">
        <f t="shared" si="50"/>
        <v>43651127.609999992</v>
      </c>
      <c r="X125" s="345">
        <f t="shared" si="43"/>
        <v>31.608450617353295</v>
      </c>
      <c r="Y125" s="346">
        <f t="shared" si="44"/>
        <v>-6.5385280331190643</v>
      </c>
      <c r="AA125" s="345">
        <f t="shared" si="45"/>
        <v>16.38624318331405</v>
      </c>
      <c r="AB125" s="346">
        <f t="shared" si="46"/>
        <v>-88.071965481988514</v>
      </c>
      <c r="AD125">
        <f t="shared" si="51"/>
        <v>0</v>
      </c>
      <c r="AE125">
        <f t="shared" si="52"/>
        <v>0</v>
      </c>
    </row>
    <row r="126" spans="1:31" x14ac:dyDescent="0.2">
      <c r="A126" s="347">
        <v>6683.85</v>
      </c>
      <c r="B126" s="364">
        <f t="shared" si="48"/>
        <v>6.6838500000000005</v>
      </c>
      <c r="C126" s="337">
        <f t="shared" si="26"/>
        <v>37.533056584798949</v>
      </c>
      <c r="D126" s="338">
        <f t="shared" si="27"/>
        <v>1.5441499931718115</v>
      </c>
      <c r="E126" s="338">
        <f t="shared" si="28"/>
        <v>1.0001410822826735</v>
      </c>
      <c r="F126" s="339">
        <f t="shared" si="29"/>
        <v>1.6796767416864873E-2</v>
      </c>
      <c r="G126" s="338">
        <f t="shared" si="30"/>
        <v>1</v>
      </c>
      <c r="H126" s="339">
        <f t="shared" si="31"/>
        <v>0</v>
      </c>
      <c r="I126" s="337">
        <f t="shared" si="32"/>
        <v>22050.313553783188</v>
      </c>
      <c r="J126" s="340">
        <f t="shared" si="33"/>
        <v>1.5707509759658527</v>
      </c>
      <c r="K126" s="348">
        <f t="shared" si="34"/>
        <v>10.927820303151789</v>
      </c>
      <c r="L126" s="349">
        <f t="shared" si="35"/>
        <v>1.4791585688163871</v>
      </c>
      <c r="M126" s="337">
        <f t="shared" si="36"/>
        <v>1.000235831425198</v>
      </c>
      <c r="N126" s="340">
        <f t="shared" si="37"/>
        <v>2.1715666578401814E-2</v>
      </c>
      <c r="O126" s="341">
        <f t="shared" si="38"/>
        <v>0.99955385059813417</v>
      </c>
      <c r="P126" s="342">
        <f t="shared" si="39"/>
        <v>1.0024924722062003E-2</v>
      </c>
      <c r="Q126" s="343">
        <f t="shared" si="40"/>
        <v>-0.85456207526407602</v>
      </c>
      <c r="R126" s="344">
        <f t="shared" si="41"/>
        <v>-94.577354055395304</v>
      </c>
      <c r="S126" s="346">
        <f t="shared" si="42"/>
        <v>85.422645944604696</v>
      </c>
      <c r="U126" s="319">
        <f t="shared" si="49"/>
        <v>6683.85</v>
      </c>
      <c r="V126" s="319">
        <f t="shared" si="50"/>
        <v>44673850.822500005</v>
      </c>
      <c r="X126" s="345">
        <f t="shared" si="43"/>
        <v>31.607551744089257</v>
      </c>
      <c r="Y126" s="346">
        <f t="shared" si="44"/>
        <v>-6.4920744167822386</v>
      </c>
      <c r="AA126" s="345">
        <f t="shared" si="45"/>
        <v>16.28585298459631</v>
      </c>
      <c r="AB126" s="346">
        <f t="shared" si="46"/>
        <v>-88.085279638613073</v>
      </c>
      <c r="AD126">
        <f t="shared" si="51"/>
        <v>0</v>
      </c>
      <c r="AE126">
        <f t="shared" si="52"/>
        <v>0</v>
      </c>
    </row>
    <row r="127" spans="1:31" x14ac:dyDescent="0.2">
      <c r="A127" s="347">
        <v>6760.8</v>
      </c>
      <c r="B127" s="364">
        <f t="shared" si="48"/>
        <v>6.7608000000000006</v>
      </c>
      <c r="C127" s="337">
        <f t="shared" si="26"/>
        <v>37.964863129037056</v>
      </c>
      <c r="D127" s="338">
        <f t="shared" si="27"/>
        <v>1.5444531350233088</v>
      </c>
      <c r="E127" s="338">
        <f t="shared" si="28"/>
        <v>1.0001443492581279</v>
      </c>
      <c r="F127" s="339">
        <f t="shared" si="29"/>
        <v>1.6990108671973998E-2</v>
      </c>
      <c r="G127" s="338">
        <f t="shared" si="30"/>
        <v>1</v>
      </c>
      <c r="H127" s="339">
        <f t="shared" si="31"/>
        <v>0</v>
      </c>
      <c r="I127" s="337">
        <f t="shared" si="32"/>
        <v>22304.174969657834</v>
      </c>
      <c r="J127" s="340">
        <f t="shared" si="33"/>
        <v>1.5707514921394254</v>
      </c>
      <c r="K127" s="348">
        <f t="shared" si="34"/>
        <v>11.05258280581578</v>
      </c>
      <c r="L127" s="349">
        <f t="shared" si="35"/>
        <v>1.4801958396889763</v>
      </c>
      <c r="M127" s="337">
        <f t="shared" si="36"/>
        <v>1.0002412921969497</v>
      </c>
      <c r="N127" s="340">
        <f t="shared" si="37"/>
        <v>2.196559531027301E-2</v>
      </c>
      <c r="O127" s="341">
        <f t="shared" si="38"/>
        <v>0.99954351914370443</v>
      </c>
      <c r="P127" s="342">
        <f t="shared" si="39"/>
        <v>1.014044868246179E-2</v>
      </c>
      <c r="Q127" s="343">
        <f t="shared" si="40"/>
        <v>-0.95467267172959769</v>
      </c>
      <c r="R127" s="344">
        <f t="shared" si="41"/>
        <v>-94.545182394354455</v>
      </c>
      <c r="S127" s="346">
        <f t="shared" si="42"/>
        <v>85.454817605645545</v>
      </c>
      <c r="U127" s="319">
        <f t="shared" si="49"/>
        <v>6760.8</v>
      </c>
      <c r="V127" s="319">
        <f t="shared" si="50"/>
        <v>45708416.640000001</v>
      </c>
      <c r="X127" s="345">
        <f t="shared" si="43"/>
        <v>31.60668109557076</v>
      </c>
      <c r="Y127" s="346">
        <f t="shared" si="44"/>
        <v>-6.4469926096020131</v>
      </c>
      <c r="AA127" s="345">
        <f t="shared" si="45"/>
        <v>16.186613036649284</v>
      </c>
      <c r="AB127" s="346">
        <f t="shared" si="46"/>
        <v>-88.098189784752449</v>
      </c>
      <c r="AD127">
        <f t="shared" si="51"/>
        <v>0</v>
      </c>
      <c r="AE127">
        <f t="shared" si="52"/>
        <v>0</v>
      </c>
    </row>
    <row r="128" spans="1:31" x14ac:dyDescent="0.2">
      <c r="A128" s="347">
        <v>6839.55</v>
      </c>
      <c r="B128" s="364">
        <f t="shared" si="48"/>
        <v>6.83955</v>
      </c>
      <c r="C128" s="337">
        <f t="shared" si="26"/>
        <v>38.406773941127554</v>
      </c>
      <c r="D128" s="338">
        <f t="shared" si="27"/>
        <v>1.5447563104109023</v>
      </c>
      <c r="E128" s="338">
        <f t="shared" si="28"/>
        <v>1.0001477313620668</v>
      </c>
      <c r="F128" s="339">
        <f t="shared" si="29"/>
        <v>1.7187971214181971E-2</v>
      </c>
      <c r="G128" s="338">
        <f t="shared" si="30"/>
        <v>1</v>
      </c>
      <c r="H128" s="339">
        <f t="shared" si="31"/>
        <v>0</v>
      </c>
      <c r="I128" s="337">
        <f t="shared" si="32"/>
        <v>22563.974664272399</v>
      </c>
      <c r="J128" s="340">
        <f t="shared" si="33"/>
        <v>1.5707520083618542</v>
      </c>
      <c r="K128" s="348">
        <f t="shared" si="34"/>
        <v>11.180275763907581</v>
      </c>
      <c r="L128" s="349">
        <f t="shared" si="35"/>
        <v>1.4812334042994055</v>
      </c>
      <c r="M128" s="337">
        <f t="shared" si="36"/>
        <v>1.0002469453941332</v>
      </c>
      <c r="N128" s="340">
        <f t="shared" si="37"/>
        <v>2.2221367486422026E-2</v>
      </c>
      <c r="O128" s="341">
        <f t="shared" si="38"/>
        <v>0.99953282359918605</v>
      </c>
      <c r="P128" s="342">
        <f t="shared" si="39"/>
        <v>1.0258678826974281E-2</v>
      </c>
      <c r="Q128" s="343">
        <f t="shared" si="40"/>
        <v>-1.0559332961655101</v>
      </c>
      <c r="R128" s="344">
        <f t="shared" si="41"/>
        <v>-94.513226634605786</v>
      </c>
      <c r="S128" s="346">
        <f t="shared" si="42"/>
        <v>85.486773365394214</v>
      </c>
      <c r="U128" s="319">
        <f t="shared" si="49"/>
        <v>6839.55</v>
      </c>
      <c r="V128" s="319">
        <f t="shared" si="50"/>
        <v>46779444.202500001</v>
      </c>
      <c r="X128" s="345">
        <f t="shared" si="43"/>
        <v>31.605817969764974</v>
      </c>
      <c r="Y128" s="346">
        <f t="shared" si="44"/>
        <v>-6.4022287799778015</v>
      </c>
      <c r="AA128" s="345">
        <f t="shared" si="45"/>
        <v>16.086215538019161</v>
      </c>
      <c r="AB128" s="346">
        <f t="shared" si="46"/>
        <v>-88.110997854627968</v>
      </c>
      <c r="AD128">
        <f t="shared" si="51"/>
        <v>0</v>
      </c>
      <c r="AE128">
        <f t="shared" si="52"/>
        <v>0</v>
      </c>
    </row>
    <row r="129" spans="1:31" x14ac:dyDescent="0.2">
      <c r="A129" s="347">
        <v>6918.3</v>
      </c>
      <c r="B129" s="364">
        <f t="shared" si="48"/>
        <v>6.9183000000000003</v>
      </c>
      <c r="C129" s="337">
        <f t="shared" si="26"/>
        <v>38.848688203075966</v>
      </c>
      <c r="D129" s="338">
        <f t="shared" si="27"/>
        <v>1.5450525884222983</v>
      </c>
      <c r="E129" s="338">
        <f t="shared" si="28"/>
        <v>1.0001511526211093</v>
      </c>
      <c r="F129" s="339">
        <f t="shared" si="29"/>
        <v>1.7385832410462671E-2</v>
      </c>
      <c r="G129" s="338">
        <f t="shared" si="30"/>
        <v>1</v>
      </c>
      <c r="H129" s="339">
        <f t="shared" si="31"/>
        <v>0</v>
      </c>
      <c r="I129" s="337">
        <f t="shared" si="32"/>
        <v>22823.774358892839</v>
      </c>
      <c r="J129" s="340">
        <f t="shared" si="33"/>
        <v>1.570752512832114</v>
      </c>
      <c r="K129" s="348">
        <f t="shared" si="34"/>
        <v>11.307980486181256</v>
      </c>
      <c r="L129" s="349">
        <f t="shared" si="35"/>
        <v>1.4822475348681019</v>
      </c>
      <c r="M129" s="337">
        <f t="shared" si="36"/>
        <v>1.0002526640261358</v>
      </c>
      <c r="N129" s="340">
        <f t="shared" si="37"/>
        <v>2.2477136754708197E-2</v>
      </c>
      <c r="O129" s="341">
        <f t="shared" si="38"/>
        <v>0.99952200422172299</v>
      </c>
      <c r="P129" s="342">
        <f t="shared" si="39"/>
        <v>1.0376912930841061E-2</v>
      </c>
      <c r="Q129" s="343">
        <f t="shared" si="40"/>
        <v>-1.156016351282724</v>
      </c>
      <c r="R129" s="344">
        <f t="shared" si="41"/>
        <v>-94.482217820012863</v>
      </c>
      <c r="S129" s="346">
        <f t="shared" si="42"/>
        <v>85.517782179987137</v>
      </c>
      <c r="U129" s="319">
        <f t="shared" si="49"/>
        <v>6918.3</v>
      </c>
      <c r="V129" s="319">
        <f t="shared" si="50"/>
        <v>47862874.890000001</v>
      </c>
      <c r="X129" s="345">
        <f t="shared" si="43"/>
        <v>31.60498177069568</v>
      </c>
      <c r="Y129" s="346">
        <f t="shared" si="44"/>
        <v>-6.3588067820854102</v>
      </c>
      <c r="AA129" s="345">
        <f t="shared" si="45"/>
        <v>15.986968681971241</v>
      </c>
      <c r="AB129" s="346">
        <f t="shared" si="46"/>
        <v>-88.123411037927454</v>
      </c>
      <c r="AD129">
        <f t="shared" si="51"/>
        <v>0</v>
      </c>
      <c r="AE129">
        <f t="shared" si="52"/>
        <v>0</v>
      </c>
    </row>
    <row r="130" spans="1:31" x14ac:dyDescent="0.2">
      <c r="A130" s="347">
        <v>6998.9</v>
      </c>
      <c r="B130" s="364">
        <f t="shared" si="48"/>
        <v>6.9988999999999999</v>
      </c>
      <c r="C130" s="337">
        <f t="shared" si="26"/>
        <v>39.300987393849525</v>
      </c>
      <c r="D130" s="338">
        <f t="shared" si="27"/>
        <v>1.5453489270517036</v>
      </c>
      <c r="E130" s="338">
        <f t="shared" si="28"/>
        <v>1.0001546947978264</v>
      </c>
      <c r="F130" s="339">
        <f t="shared" si="29"/>
        <v>1.7588340364648968E-2</v>
      </c>
      <c r="G130" s="338">
        <f t="shared" si="30"/>
        <v>1</v>
      </c>
      <c r="H130" s="339">
        <f t="shared" si="31"/>
        <v>0</v>
      </c>
      <c r="I130" s="337">
        <f t="shared" si="32"/>
        <v>23089.677284440397</v>
      </c>
      <c r="J130" s="340">
        <f t="shared" si="33"/>
        <v>1.5707530173978881</v>
      </c>
      <c r="K130" s="348">
        <f t="shared" si="34"/>
        <v>11.43869702667039</v>
      </c>
      <c r="L130" s="349">
        <f t="shared" si="35"/>
        <v>1.4832620401481351</v>
      </c>
      <c r="M130" s="337">
        <f t="shared" si="36"/>
        <v>1.0002585847581063</v>
      </c>
      <c r="N130" s="340">
        <f t="shared" si="37"/>
        <v>2.2738911524880265E-2</v>
      </c>
      <c r="O130" s="341">
        <f t="shared" si="38"/>
        <v>0.99951080244500556</v>
      </c>
      <c r="P130" s="342">
        <f t="shared" si="39"/>
        <v>1.0497928745471072E-2</v>
      </c>
      <c r="Q130" s="343">
        <f t="shared" si="40"/>
        <v>-1.2572595412921928</v>
      </c>
      <c r="R130" s="344">
        <f t="shared" si="41"/>
        <v>-94.451428245252814</v>
      </c>
      <c r="S130" s="346">
        <f t="shared" si="42"/>
        <v>85.548571754747186</v>
      </c>
      <c r="U130" s="319">
        <f t="shared" si="49"/>
        <v>6998.9</v>
      </c>
      <c r="V130" s="319">
        <f t="shared" si="50"/>
        <v>48984601.209999993</v>
      </c>
      <c r="X130" s="345">
        <f t="shared" si="43"/>
        <v>31.604152534825126</v>
      </c>
      <c r="Y130" s="346">
        <f t="shared" si="44"/>
        <v>-6.3157074101997157</v>
      </c>
      <c r="AA130" s="345">
        <f t="shared" si="45"/>
        <v>15.886554727832321</v>
      </c>
      <c r="AB130" s="346">
        <f t="shared" si="46"/>
        <v>-88.135720835053064</v>
      </c>
      <c r="AD130">
        <f t="shared" si="51"/>
        <v>0</v>
      </c>
      <c r="AE130">
        <f t="shared" si="52"/>
        <v>0</v>
      </c>
    </row>
    <row r="131" spans="1:31" x14ac:dyDescent="0.2">
      <c r="A131" s="347">
        <v>7079.5</v>
      </c>
      <c r="B131" s="364">
        <f t="shared" si="48"/>
        <v>7.0795000000000003</v>
      </c>
      <c r="C131" s="337">
        <f t="shared" si="26"/>
        <v>39.753289957366448</v>
      </c>
      <c r="D131" s="338">
        <f t="shared" si="27"/>
        <v>1.5456385223788089</v>
      </c>
      <c r="E131" s="338">
        <f t="shared" si="28"/>
        <v>1.0001582779900673</v>
      </c>
      <c r="F131" s="339">
        <f t="shared" si="29"/>
        <v>1.7790846876119707E-2</v>
      </c>
      <c r="G131" s="338">
        <f t="shared" si="30"/>
        <v>1</v>
      </c>
      <c r="H131" s="339">
        <f t="shared" si="31"/>
        <v>0</v>
      </c>
      <c r="I131" s="337">
        <f t="shared" si="32"/>
        <v>23355.580209993706</v>
      </c>
      <c r="J131" s="340">
        <f t="shared" si="33"/>
        <v>1.5707535104747148</v>
      </c>
      <c r="K131" s="348">
        <f t="shared" si="34"/>
        <v>11.569425074067285</v>
      </c>
      <c r="L131" s="349">
        <f t="shared" si="35"/>
        <v>1.4842536197424854</v>
      </c>
      <c r="M131" s="337">
        <f t="shared" si="36"/>
        <v>1.0002645740330129</v>
      </c>
      <c r="N131" s="340">
        <f t="shared" si="37"/>
        <v>2.300068317813761E-2</v>
      </c>
      <c r="O131" s="341">
        <f t="shared" si="38"/>
        <v>0.99949947095086311</v>
      </c>
      <c r="P131" s="342">
        <f t="shared" si="39"/>
        <v>1.0618948804598216E-2</v>
      </c>
      <c r="Q131" s="343">
        <f t="shared" si="40"/>
        <v>-1.357325792989853</v>
      </c>
      <c r="R131" s="344">
        <f t="shared" si="41"/>
        <v>-94.421565341763127</v>
      </c>
      <c r="S131" s="346">
        <f t="shared" si="42"/>
        <v>85.578434658236873</v>
      </c>
      <c r="U131" s="319">
        <f t="shared" si="49"/>
        <v>7079.5</v>
      </c>
      <c r="V131" s="319">
        <f t="shared" si="50"/>
        <v>50119320.25</v>
      </c>
      <c r="X131" s="345">
        <f t="shared" si="43"/>
        <v>31.603348986704699</v>
      </c>
      <c r="Y131" s="346">
        <f t="shared" si="44"/>
        <v>-6.2739207464933582</v>
      </c>
      <c r="AA131" s="345">
        <f t="shared" si="45"/>
        <v>15.787292024255091</v>
      </c>
      <c r="AB131" s="346">
        <f t="shared" si="46"/>
        <v>-88.147644595269767</v>
      </c>
      <c r="AD131">
        <f t="shared" si="51"/>
        <v>0</v>
      </c>
      <c r="AE131">
        <f t="shared" si="52"/>
        <v>0</v>
      </c>
    </row>
    <row r="132" spans="1:31" x14ac:dyDescent="0.2">
      <c r="A132" s="347">
        <v>7161.95</v>
      </c>
      <c r="B132" s="364">
        <f t="shared" si="48"/>
        <v>7.16195</v>
      </c>
      <c r="C132" s="337">
        <f t="shared" si="26"/>
        <v>40.215977526511772</v>
      </c>
      <c r="D132" s="338">
        <f t="shared" si="27"/>
        <v>1.5459280246666443</v>
      </c>
      <c r="E132" s="338">
        <f t="shared" si="28"/>
        <v>1.0001619858647985</v>
      </c>
      <c r="F132" s="339">
        <f t="shared" si="29"/>
        <v>1.7997999979833056E-2</v>
      </c>
      <c r="G132" s="338">
        <f t="shared" si="30"/>
        <v>1</v>
      </c>
      <c r="H132" s="339">
        <f t="shared" si="31"/>
        <v>0</v>
      </c>
      <c r="I132" s="337">
        <f t="shared" si="32"/>
        <v>23627.586366474261</v>
      </c>
      <c r="J132" s="340">
        <f t="shared" si="33"/>
        <v>1.5707540033859462</v>
      </c>
      <c r="K132" s="348">
        <f t="shared" si="34"/>
        <v>11.703165207272717</v>
      </c>
      <c r="L132" s="349">
        <f t="shared" si="35"/>
        <v>1.4852450368767367</v>
      </c>
      <c r="M132" s="337">
        <f t="shared" si="36"/>
        <v>1.0002707716984609</v>
      </c>
      <c r="N132" s="340">
        <f t="shared" si="37"/>
        <v>2.3268459975433985E-2</v>
      </c>
      <c r="O132" s="341">
        <f t="shared" si="38"/>
        <v>0.99948774515001815</v>
      </c>
      <c r="P132" s="342">
        <f t="shared" si="39"/>
        <v>1.0742751062300524E-2</v>
      </c>
      <c r="Q132" s="343">
        <f t="shared" si="40"/>
        <v>-1.4584993853628438</v>
      </c>
      <c r="R132" s="344">
        <f t="shared" si="41"/>
        <v>-94.39194365382663</v>
      </c>
      <c r="S132" s="346">
        <f t="shared" si="42"/>
        <v>85.60805634617337</v>
      </c>
      <c r="U132" s="319">
        <f t="shared" si="49"/>
        <v>7161.95</v>
      </c>
      <c r="V132" s="319">
        <f t="shared" si="50"/>
        <v>51293527.802499995</v>
      </c>
      <c r="X132" s="345">
        <f t="shared" si="43"/>
        <v>31.602552354857131</v>
      </c>
      <c r="Y132" s="346">
        <f t="shared" si="44"/>
        <v>-6.2324874509863104</v>
      </c>
      <c r="AA132" s="345">
        <f t="shared" si="45"/>
        <v>15.686915063729664</v>
      </c>
      <c r="AB132" s="346">
        <f t="shared" si="46"/>
        <v>-88.159456202840332</v>
      </c>
      <c r="AD132">
        <f t="shared" si="51"/>
        <v>0</v>
      </c>
      <c r="AE132">
        <f t="shared" si="52"/>
        <v>0</v>
      </c>
    </row>
    <row r="133" spans="1:31" x14ac:dyDescent="0.2">
      <c r="A133" s="347">
        <v>7244.4</v>
      </c>
      <c r="B133" s="364">
        <f t="shared" si="48"/>
        <v>7.2443999999999997</v>
      </c>
      <c r="C133" s="337">
        <f t="shared" si="26"/>
        <v>40.678668389546331</v>
      </c>
      <c r="D133" s="338">
        <f t="shared" si="27"/>
        <v>1.5462109412133265</v>
      </c>
      <c r="E133" s="338">
        <f t="shared" si="28"/>
        <v>1.0001657366585703</v>
      </c>
      <c r="F133" s="339">
        <f t="shared" si="29"/>
        <v>1.8205151538716085E-2</v>
      </c>
      <c r="G133" s="338">
        <f t="shared" si="30"/>
        <v>1</v>
      </c>
      <c r="H133" s="339">
        <f t="shared" si="31"/>
        <v>0</v>
      </c>
      <c r="I133" s="337">
        <f t="shared" si="32"/>
        <v>23899.592522960425</v>
      </c>
      <c r="J133" s="340">
        <f t="shared" si="33"/>
        <v>1.5707544850773305</v>
      </c>
      <c r="K133" s="348">
        <f t="shared" si="34"/>
        <v>11.836916583667838</v>
      </c>
      <c r="L133" s="349">
        <f t="shared" si="35"/>
        <v>1.4862140498867402</v>
      </c>
      <c r="M133" s="337">
        <f t="shared" si="36"/>
        <v>1.000277041086846</v>
      </c>
      <c r="N133" s="340">
        <f t="shared" si="37"/>
        <v>2.3536233435267152E-2</v>
      </c>
      <c r="O133" s="341">
        <f t="shared" si="38"/>
        <v>0.99947588361087703</v>
      </c>
      <c r="P133" s="342">
        <f t="shared" si="39"/>
        <v>1.086655786539209E-2</v>
      </c>
      <c r="Q133" s="343">
        <f t="shared" si="40"/>
        <v>-1.5584978552735487</v>
      </c>
      <c r="R133" s="344">
        <f t="shared" si="41"/>
        <v>-94.363227807352672</v>
      </c>
      <c r="S133" s="346">
        <f t="shared" si="42"/>
        <v>85.636772192647328</v>
      </c>
      <c r="U133" s="319">
        <f t="shared" si="49"/>
        <v>7244.4</v>
      </c>
      <c r="V133" s="319">
        <f t="shared" si="50"/>
        <v>52481331.359999992</v>
      </c>
      <c r="X133" s="345">
        <f t="shared" si="43"/>
        <v>31.601780197613742</v>
      </c>
      <c r="Y133" s="346">
        <f t="shared" si="44"/>
        <v>-6.1923369831713639</v>
      </c>
      <c r="AA133" s="345">
        <f t="shared" si="45"/>
        <v>15.587688751062352</v>
      </c>
      <c r="AB133" s="346">
        <f t="shared" si="46"/>
        <v>-88.170890824181299</v>
      </c>
      <c r="AD133">
        <f t="shared" si="51"/>
        <v>0</v>
      </c>
      <c r="AE133">
        <f t="shared" si="52"/>
        <v>0</v>
      </c>
    </row>
    <row r="134" spans="1:31" x14ac:dyDescent="0.2">
      <c r="A134" s="347">
        <v>7328.75</v>
      </c>
      <c r="B134" s="364">
        <f t="shared" si="48"/>
        <v>7.3287500000000003</v>
      </c>
      <c r="C134" s="337">
        <f t="shared" si="26"/>
        <v>41.152024918174625</v>
      </c>
      <c r="D134" s="338">
        <f t="shared" si="27"/>
        <v>1.5464937938262326</v>
      </c>
      <c r="E134" s="338">
        <f t="shared" si="28"/>
        <v>1.000169618300133</v>
      </c>
      <c r="F134" s="339">
        <f t="shared" si="29"/>
        <v>1.8417075136737873E-2</v>
      </c>
      <c r="G134" s="338">
        <f t="shared" si="30"/>
        <v>1</v>
      </c>
      <c r="H134" s="339">
        <f t="shared" si="31"/>
        <v>0</v>
      </c>
      <c r="I134" s="337">
        <f t="shared" si="32"/>
        <v>24177.866862561041</v>
      </c>
      <c r="J134" s="340">
        <f t="shared" si="33"/>
        <v>1.5707549666531617</v>
      </c>
      <c r="K134" s="348">
        <f t="shared" si="34"/>
        <v>11.973761404714645</v>
      </c>
      <c r="L134" s="349">
        <f t="shared" si="35"/>
        <v>1.4871829896319797</v>
      </c>
      <c r="M134" s="337">
        <f t="shared" si="36"/>
        <v>1.0002835291684833</v>
      </c>
      <c r="N134" s="340">
        <f t="shared" si="37"/>
        <v>2.3810174045117264E-2</v>
      </c>
      <c r="O134" s="341">
        <f t="shared" si="38"/>
        <v>0.99946360826611313</v>
      </c>
      <c r="P134" s="342">
        <f t="shared" si="39"/>
        <v>1.0993222464252031E-2</v>
      </c>
      <c r="Q134" s="343">
        <f t="shared" si="40"/>
        <v>-1.6596128938788643</v>
      </c>
      <c r="R134" s="344">
        <f t="shared" si="41"/>
        <v>-94.334756162485988</v>
      </c>
      <c r="S134" s="346">
        <f t="shared" si="42"/>
        <v>85.665243837514012</v>
      </c>
      <c r="U134" s="319">
        <f t="shared" si="49"/>
        <v>7328.75</v>
      </c>
      <c r="V134" s="319">
        <f t="shared" si="50"/>
        <v>53710576.5625</v>
      </c>
      <c r="X134" s="345">
        <f t="shared" si="43"/>
        <v>31.601014409595788</v>
      </c>
      <c r="Y134" s="346">
        <f t="shared" si="44"/>
        <v>-6.1525440581654909</v>
      </c>
      <c r="AA134" s="345">
        <f t="shared" si="45"/>
        <v>15.48733950047499</v>
      </c>
      <c r="AB134" s="346">
        <f t="shared" si="46"/>
        <v>-88.182212104320513</v>
      </c>
      <c r="AD134">
        <f t="shared" si="51"/>
        <v>0</v>
      </c>
      <c r="AE134">
        <f t="shared" si="52"/>
        <v>0</v>
      </c>
    </row>
    <row r="135" spans="1:31" x14ac:dyDescent="0.2">
      <c r="A135" s="347">
        <v>7413.1</v>
      </c>
      <c r="B135" s="364">
        <f t="shared" si="48"/>
        <v>7.4131</v>
      </c>
      <c r="C135" s="337">
        <f t="shared" si="26"/>
        <v>41.625384664314218</v>
      </c>
      <c r="D135" s="338">
        <f t="shared" si="27"/>
        <v>1.5467702133171133</v>
      </c>
      <c r="E135" s="338">
        <f t="shared" si="28"/>
        <v>1.0001735448605749</v>
      </c>
      <c r="F135" s="339">
        <f t="shared" si="29"/>
        <v>1.862899708030449E-2</v>
      </c>
      <c r="G135" s="338">
        <f t="shared" si="30"/>
        <v>1</v>
      </c>
      <c r="H135" s="339">
        <f t="shared" si="31"/>
        <v>0</v>
      </c>
      <c r="I135" s="337">
        <f t="shared" si="32"/>
        <v>24456.141202167135</v>
      </c>
      <c r="J135" s="340">
        <f t="shared" si="33"/>
        <v>1.5707554372697663</v>
      </c>
      <c r="K135" s="348">
        <f t="shared" si="34"/>
        <v>12.110617213203923</v>
      </c>
      <c r="L135" s="349">
        <f t="shared" si="35"/>
        <v>1.4881300312779078</v>
      </c>
      <c r="M135" s="337">
        <f t="shared" si="36"/>
        <v>1.0002900923138782</v>
      </c>
      <c r="N135" s="340">
        <f t="shared" si="37"/>
        <v>2.4084111080743046E-2</v>
      </c>
      <c r="O135" s="341">
        <f t="shared" si="38"/>
        <v>0.99945119085744405</v>
      </c>
      <c r="P135" s="342">
        <f t="shared" si="39"/>
        <v>1.1119891931578247E-2</v>
      </c>
      <c r="Q135" s="343">
        <f t="shared" si="40"/>
        <v>-1.7595543496601154</v>
      </c>
      <c r="R135" s="344">
        <f t="shared" si="41"/>
        <v>-94.307170136579586</v>
      </c>
      <c r="S135" s="346">
        <f t="shared" si="42"/>
        <v>85.692829863420414</v>
      </c>
      <c r="U135" s="319">
        <f t="shared" si="49"/>
        <v>7413.1</v>
      </c>
      <c r="V135" s="319">
        <f t="shared" si="50"/>
        <v>54954051.610000007</v>
      </c>
      <c r="X135" s="345">
        <f t="shared" si="43"/>
        <v>31.600271939424612</v>
      </c>
      <c r="Y135" s="346">
        <f t="shared" si="44"/>
        <v>-6.114004969125542</v>
      </c>
      <c r="AA135" s="345">
        <f t="shared" si="45"/>
        <v>15.388140514864917</v>
      </c>
      <c r="AB135" s="346">
        <f t="shared" si="46"/>
        <v>-88.19316516745404</v>
      </c>
      <c r="AD135">
        <f t="shared" si="51"/>
        <v>0</v>
      </c>
      <c r="AE135">
        <f t="shared" si="52"/>
        <v>0</v>
      </c>
    </row>
    <row r="136" spans="1:31" x14ac:dyDescent="0.2">
      <c r="A136" s="347">
        <v>7499.45</v>
      </c>
      <c r="B136" s="364">
        <f t="shared" si="48"/>
        <v>7.4994499999999995</v>
      </c>
      <c r="C136" s="337">
        <f t="shared" si="26"/>
        <v>42.10997133473137</v>
      </c>
      <c r="D136" s="338">
        <f t="shared" si="27"/>
        <v>1.547046749638789</v>
      </c>
      <c r="E136" s="338">
        <f t="shared" si="28"/>
        <v>1.0001776110511706</v>
      </c>
      <c r="F136" s="339">
        <f t="shared" si="29"/>
        <v>1.8845942114050721E-2</v>
      </c>
      <c r="G136" s="338">
        <f t="shared" si="30"/>
        <v>1</v>
      </c>
      <c r="H136" s="339">
        <f t="shared" si="31"/>
        <v>0</v>
      </c>
      <c r="I136" s="337">
        <f t="shared" si="32"/>
        <v>24741.013629261954</v>
      </c>
      <c r="J136" s="340">
        <f t="shared" si="33"/>
        <v>1.5707559080790243</v>
      </c>
      <c r="K136" s="348">
        <f t="shared" si="34"/>
        <v>12.250728969561312</v>
      </c>
      <c r="L136" s="349">
        <f t="shared" si="35"/>
        <v>1.4890776093465743</v>
      </c>
      <c r="M136" s="337">
        <f t="shared" si="36"/>
        <v>1.0002968888292756</v>
      </c>
      <c r="N136" s="340">
        <f t="shared" si="37"/>
        <v>2.436453961801234E-2</v>
      </c>
      <c r="O136" s="341">
        <f t="shared" si="38"/>
        <v>0.99943833186778197</v>
      </c>
      <c r="P136" s="342">
        <f t="shared" si="39"/>
        <v>1.124956992602277E-2</v>
      </c>
      <c r="Q136" s="343">
        <f t="shared" si="40"/>
        <v>-1.8606780355259986</v>
      </c>
      <c r="R136" s="344">
        <f t="shared" si="41"/>
        <v>-94.27981659055007</v>
      </c>
      <c r="S136" s="346">
        <f t="shared" si="42"/>
        <v>85.72018340944993</v>
      </c>
      <c r="U136" s="319">
        <f t="shared" si="49"/>
        <v>7499.45</v>
      </c>
      <c r="V136" s="319">
        <f t="shared" si="50"/>
        <v>56241750.302499995</v>
      </c>
      <c r="X136" s="345">
        <f t="shared" si="43"/>
        <v>31.599534905347294</v>
      </c>
      <c r="Y136" s="346">
        <f t="shared" si="44"/>
        <v>-6.075807092012143</v>
      </c>
      <c r="AA136" s="345">
        <f t="shared" si="45"/>
        <v>15.287753863076345</v>
      </c>
      <c r="AB136" s="346">
        <f t="shared" si="46"/>
        <v>-88.204009498537928</v>
      </c>
      <c r="AD136">
        <f t="shared" si="51"/>
        <v>0</v>
      </c>
      <c r="AE136">
        <f t="shared" si="52"/>
        <v>0</v>
      </c>
    </row>
    <row r="137" spans="1:31" x14ac:dyDescent="0.2">
      <c r="A137" s="347">
        <v>7585.8</v>
      </c>
      <c r="B137" s="364">
        <f t="shared" si="48"/>
        <v>7.5857999999999999</v>
      </c>
      <c r="C137" s="337">
        <f t="shared" si="26"/>
        <v>42.594561152124548</v>
      </c>
      <c r="D137" s="338">
        <f t="shared" si="27"/>
        <v>1.5473169937837092</v>
      </c>
      <c r="E137" s="338">
        <f t="shared" si="28"/>
        <v>1.0001817243148894</v>
      </c>
      <c r="F137" s="339">
        <f t="shared" si="29"/>
        <v>1.9062885373627343E-2</v>
      </c>
      <c r="G137" s="338">
        <f t="shared" si="30"/>
        <v>1</v>
      </c>
      <c r="H137" s="339">
        <f t="shared" si="31"/>
        <v>0</v>
      </c>
      <c r="I137" s="337">
        <f t="shared" si="32"/>
        <v>25025.886056362142</v>
      </c>
      <c r="J137" s="340">
        <f t="shared" si="33"/>
        <v>1.570756368169735</v>
      </c>
      <c r="K137" s="348">
        <f t="shared" si="34"/>
        <v>12.390851477125484</v>
      </c>
      <c r="L137" s="349">
        <f t="shared" si="35"/>
        <v>1.4900037567718445</v>
      </c>
      <c r="M137" s="337">
        <f t="shared" si="36"/>
        <v>1.0003037640071124</v>
      </c>
      <c r="N137" s="340">
        <f t="shared" si="37"/>
        <v>2.4644964322512859E-2</v>
      </c>
      <c r="O137" s="341">
        <f t="shared" si="38"/>
        <v>0.99942532400016149</v>
      </c>
      <c r="P137" s="342">
        <f t="shared" si="39"/>
        <v>1.1379253141800126E-2</v>
      </c>
      <c r="Q137" s="343">
        <f t="shared" si="40"/>
        <v>-1.9606281073276373</v>
      </c>
      <c r="R137" s="344">
        <f t="shared" si="41"/>
        <v>-94.253329981852133</v>
      </c>
      <c r="S137" s="346">
        <f t="shared" si="42"/>
        <v>85.746670018147867</v>
      </c>
      <c r="U137" s="319">
        <f t="shared" si="49"/>
        <v>7585.8</v>
      </c>
      <c r="V137" s="319">
        <f t="shared" si="50"/>
        <v>57544361.640000001</v>
      </c>
      <c r="X137" s="345">
        <f t="shared" si="43"/>
        <v>31.59882010990097</v>
      </c>
      <c r="Y137" s="346">
        <f t="shared" si="44"/>
        <v>-6.0388362665900033</v>
      </c>
      <c r="AA137" s="345">
        <f t="shared" si="45"/>
        <v>15.188518586721038</v>
      </c>
      <c r="AB137" s="346">
        <f t="shared" si="46"/>
        <v>-88.214493715262137</v>
      </c>
      <c r="AD137">
        <f t="shared" si="51"/>
        <v>0</v>
      </c>
      <c r="AE137">
        <f t="shared" si="52"/>
        <v>0</v>
      </c>
    </row>
    <row r="138" spans="1:31" x14ac:dyDescent="0.2">
      <c r="A138" s="347">
        <v>7674.15</v>
      </c>
      <c r="B138" s="364">
        <f t="shared" si="48"/>
        <v>7.67415</v>
      </c>
      <c r="C138" s="337">
        <f t="shared" si="26"/>
        <v>43.090377968102835</v>
      </c>
      <c r="D138" s="338">
        <f t="shared" si="27"/>
        <v>1.5475872061045082</v>
      </c>
      <c r="E138" s="338">
        <f t="shared" si="28"/>
        <v>1.0001859815687522</v>
      </c>
      <c r="F138" s="339">
        <f t="shared" si="29"/>
        <v>1.9284851518193483E-2</v>
      </c>
      <c r="G138" s="338">
        <f t="shared" si="30"/>
        <v>1</v>
      </c>
      <c r="H138" s="339">
        <f t="shared" si="31"/>
        <v>0</v>
      </c>
      <c r="I138" s="337">
        <f t="shared" si="32"/>
        <v>25317.356570951186</v>
      </c>
      <c r="J138" s="340">
        <f t="shared" si="33"/>
        <v>1.5707568282004261</v>
      </c>
      <c r="K138" s="348">
        <f t="shared" si="34"/>
        <v>12.534230190948421</v>
      </c>
      <c r="L138" s="349">
        <f t="shared" si="35"/>
        <v>1.4909299222758392</v>
      </c>
      <c r="M138" s="337">
        <f t="shared" si="36"/>
        <v>1.0003108798395004</v>
      </c>
      <c r="N138" s="340">
        <f t="shared" si="37"/>
        <v>2.4931880085465544E-2</v>
      </c>
      <c r="O138" s="341">
        <f t="shared" si="38"/>
        <v>0.99941186076132749</v>
      </c>
      <c r="P138" s="342">
        <f t="shared" si="39"/>
        <v>1.1511945489169353E-2</v>
      </c>
      <c r="Q138" s="343">
        <f t="shared" si="40"/>
        <v>-2.0617066343630168</v>
      </c>
      <c r="R138" s="344">
        <f t="shared" si="41"/>
        <v>-94.227097041176393</v>
      </c>
      <c r="S138" s="346">
        <f t="shared" si="42"/>
        <v>85.772902958823607</v>
      </c>
      <c r="U138" s="319">
        <f t="shared" si="49"/>
        <v>7674.15</v>
      </c>
      <c r="V138" s="319">
        <f t="shared" si="50"/>
        <v>58892578.222499996</v>
      </c>
      <c r="X138" s="345">
        <f t="shared" si="43"/>
        <v>31.598110711804047</v>
      </c>
      <c r="Y138" s="346">
        <f t="shared" si="44"/>
        <v>-6.0022363121486961</v>
      </c>
      <c r="AA138" s="345">
        <f t="shared" si="45"/>
        <v>15.088149457782578</v>
      </c>
      <c r="AB138" s="346">
        <f t="shared" si="46"/>
        <v>-88.224860729027711</v>
      </c>
      <c r="AD138">
        <f t="shared" si="51"/>
        <v>0</v>
      </c>
      <c r="AE138">
        <f t="shared" si="52"/>
        <v>0</v>
      </c>
    </row>
    <row r="139" spans="1:31" x14ac:dyDescent="0.2">
      <c r="A139" s="347">
        <v>7762.5</v>
      </c>
      <c r="B139" s="364">
        <f t="shared" si="48"/>
        <v>7.7625000000000002</v>
      </c>
      <c r="C139" s="337">
        <f t="shared" si="26"/>
        <v>43.586197858731758</v>
      </c>
      <c r="D139" s="338">
        <f t="shared" si="27"/>
        <v>1.5478512707805172</v>
      </c>
      <c r="E139" s="338">
        <f t="shared" si="28"/>
        <v>1.0001902881003266</v>
      </c>
      <c r="F139" s="339">
        <f t="shared" si="29"/>
        <v>1.9506815762250808E-2</v>
      </c>
      <c r="G139" s="338">
        <f t="shared" si="30"/>
        <v>1</v>
      </c>
      <c r="H139" s="339">
        <f t="shared" si="31"/>
        <v>0</v>
      </c>
      <c r="I139" s="337">
        <f t="shared" si="32"/>
        <v>25608.827085545465</v>
      </c>
      <c r="J139" s="340">
        <f t="shared" si="33"/>
        <v>1.5707572777593077</v>
      </c>
      <c r="K139" s="348">
        <f t="shared" si="34"/>
        <v>12.677619413216444</v>
      </c>
      <c r="L139" s="349">
        <f t="shared" si="35"/>
        <v>1.4918351378968322</v>
      </c>
      <c r="M139" s="337">
        <f t="shared" si="36"/>
        <v>1.0003180780169596</v>
      </c>
      <c r="N139" s="340">
        <f t="shared" si="37"/>
        <v>2.5218791742808964E-2</v>
      </c>
      <c r="O139" s="341">
        <f t="shared" si="38"/>
        <v>0.99939824167113134</v>
      </c>
      <c r="P139" s="342">
        <f t="shared" si="39"/>
        <v>1.1644643430346267E-2</v>
      </c>
      <c r="Q139" s="343">
        <f t="shared" si="40"/>
        <v>-2.1616127382216805</v>
      </c>
      <c r="R139" s="344">
        <f t="shared" si="41"/>
        <v>-94.201711800446645</v>
      </c>
      <c r="S139" s="346">
        <f t="shared" si="42"/>
        <v>85.798288199553355</v>
      </c>
      <c r="U139" s="319">
        <f t="shared" si="49"/>
        <v>7762.5</v>
      </c>
      <c r="V139" s="319">
        <f t="shared" si="50"/>
        <v>60256406.25</v>
      </c>
      <c r="X139" s="345">
        <f t="shared" si="43"/>
        <v>31.597422493918998</v>
      </c>
      <c r="Y139" s="346">
        <f t="shared" si="44"/>
        <v>-5.9668358623614761</v>
      </c>
      <c r="AA139" s="345">
        <f t="shared" si="45"/>
        <v>14.988931571808969</v>
      </c>
      <c r="AB139" s="346">
        <f t="shared" si="46"/>
        <v>-88.234875938085182</v>
      </c>
      <c r="AD139">
        <f t="shared" si="51"/>
        <v>0</v>
      </c>
      <c r="AE139">
        <f t="shared" si="52"/>
        <v>0</v>
      </c>
    </row>
    <row r="140" spans="1:31" x14ac:dyDescent="0.2">
      <c r="A140" s="347">
        <v>7852.9</v>
      </c>
      <c r="B140" s="364">
        <f t="shared" si="48"/>
        <v>7.8529</v>
      </c>
      <c r="C140" s="337">
        <f t="shared" si="26"/>
        <v>44.093525416483921</v>
      </c>
      <c r="D140" s="338">
        <f t="shared" si="27"/>
        <v>1.5481153156091398</v>
      </c>
      <c r="E140" s="338">
        <f t="shared" si="28"/>
        <v>1.0001947455624931</v>
      </c>
      <c r="F140" s="339">
        <f t="shared" si="29"/>
        <v>1.9733928290267155E-2</v>
      </c>
      <c r="G140" s="338">
        <f t="shared" si="30"/>
        <v>1</v>
      </c>
      <c r="H140" s="339">
        <f t="shared" si="31"/>
        <v>0</v>
      </c>
      <c r="I140" s="337">
        <f t="shared" si="32"/>
        <v>25907.060639815812</v>
      </c>
      <c r="J140" s="340">
        <f t="shared" si="33"/>
        <v>1.5707577272789519</v>
      </c>
      <c r="K140" s="348">
        <f t="shared" si="34"/>
        <v>12.824346229219495</v>
      </c>
      <c r="L140" s="349">
        <f t="shared" si="35"/>
        <v>1.4927404041860857</v>
      </c>
      <c r="M140" s="337">
        <f t="shared" si="36"/>
        <v>1.0003255284463322</v>
      </c>
      <c r="N140" s="340">
        <f t="shared" si="37"/>
        <v>2.5512356361099758E-2</v>
      </c>
      <c r="O140" s="341">
        <f t="shared" si="38"/>
        <v>0.9993841452587805</v>
      </c>
      <c r="P140" s="342">
        <f t="shared" si="39"/>
        <v>1.1780426241742938E-2</v>
      </c>
      <c r="Q140" s="343">
        <f t="shared" si="40"/>
        <v>-2.2626515431340191</v>
      </c>
      <c r="R140" s="344">
        <f t="shared" si="41"/>
        <v>-94.176585478905011</v>
      </c>
      <c r="S140" s="346">
        <f t="shared" si="42"/>
        <v>85.823414521094989</v>
      </c>
      <c r="U140" s="319">
        <f t="shared" si="49"/>
        <v>7852.9</v>
      </c>
      <c r="V140" s="319">
        <f t="shared" si="50"/>
        <v>61668038.409999996</v>
      </c>
      <c r="X140" s="345">
        <f t="shared" si="43"/>
        <v>31.596739213653017</v>
      </c>
      <c r="Y140" s="346">
        <f t="shared" si="44"/>
        <v>-5.9318136938326074</v>
      </c>
      <c r="AA140" s="345">
        <f t="shared" si="45"/>
        <v>14.888576047162609</v>
      </c>
      <c r="AB140" s="346">
        <f t="shared" si="46"/>
        <v>-88.244771785072388</v>
      </c>
      <c r="AD140">
        <f t="shared" si="51"/>
        <v>0</v>
      </c>
      <c r="AE140">
        <f t="shared" si="52"/>
        <v>0</v>
      </c>
    </row>
    <row r="141" spans="1:31" x14ac:dyDescent="0.2">
      <c r="A141" s="347">
        <v>7943.3</v>
      </c>
      <c r="B141" s="364">
        <f t="shared" si="48"/>
        <v>7.9432999999999998</v>
      </c>
      <c r="C141" s="337">
        <f t="shared" ref="C141:C204" si="53">SQRT(1+(A141/pole1)^2)</f>
        <v>44.60085597848532</v>
      </c>
      <c r="D141" s="338">
        <f t="shared" ref="D141:D204" si="54">ATAN(A141/pole1)</f>
        <v>1.5483733534849928</v>
      </c>
      <c r="E141" s="338">
        <f t="shared" ref="E141:E204" si="55">SQRT(1+(A141/Zero1)^2)</f>
        <v>1.0001992546143439</v>
      </c>
      <c r="F141" s="339">
        <f t="shared" ref="F141:F204" si="56">ATAN(A141/Zero1)</f>
        <v>1.996103878228149E-2</v>
      </c>
      <c r="G141" s="338">
        <f t="shared" ref="G141:G204" si="57">IF(VIN_nom&gt;Vout, 1, SQRT(1+(A141/z_RHP)^2))</f>
        <v>1</v>
      </c>
      <c r="H141" s="339">
        <f t="shared" ref="H141:H204" si="58">IF(VIN_nom&gt;Vout, 0, -ATAN(A141/z_RHP))</f>
        <v>0</v>
      </c>
      <c r="I141" s="337">
        <f t="shared" ref="I141:I204" si="59">SQRT(1+(A141/Pole2)^2)</f>
        <v>26205.294194091282</v>
      </c>
      <c r="J141" s="340">
        <f t="shared" ref="J141:J204" si="60">ATAN(A141/Pole2)</f>
        <v>1.5707581665669352</v>
      </c>
      <c r="K141" s="348">
        <f t="shared" ref="K141:K147" si="61">SQRT(1+(A141/Zero2)^2)</f>
        <v>12.971083317093015</v>
      </c>
      <c r="L141" s="349">
        <f t="shared" ref="L141:L147" si="62">ATAN(A141/Zero2)</f>
        <v>1.4936251892986383</v>
      </c>
      <c r="M141" s="337">
        <f t="shared" ref="M141:M204" si="63">SQRT(1+(A141/pole4)^2)</f>
        <v>1.0003330650826556</v>
      </c>
      <c r="N141" s="340">
        <f t="shared" ref="N141:N204" si="64">ATAN(A141/pole4)</f>
        <v>2.5805916581183093E-2</v>
      </c>
      <c r="O141" s="341">
        <f t="shared" ref="O141:O204" si="65">SQRT((1-(V141/pterm2))^2+(A141/pterm1)^2)</f>
        <v>0.99936988568190444</v>
      </c>
      <c r="P141" s="342">
        <f t="shared" ref="P141:P204" si="66">IF((ATAN((A141/pterm1)/(1-A141^2/pterm2))&gt;0),ATAN((A141/pterm1)/(1-A141^2/pterm2)),PI()+ATAN((A141/pterm1)/(1-A141^2/pterm2)))</f>
        <v>1.1916215046489896E-2</v>
      </c>
      <c r="Q141" s="343">
        <f t="shared" ref="Q141:Q204" si="67">20*LOG10(((E141*K141*G141)/(C141*I141*O141*M141))*Adc)</f>
        <v>-2.3625189706537366</v>
      </c>
      <c r="R141" s="344">
        <f t="shared" ref="R141:R204" si="68">((F141+L141+H141)-(D141+J141+P141+N141))*radconv</f>
        <v>-94.152288091125556</v>
      </c>
      <c r="S141" s="346">
        <f t="shared" ref="S141:S204" si="69">IF(R141&gt;0,R141,R141+180)</f>
        <v>85.847711908874444</v>
      </c>
      <c r="U141" s="319">
        <f t="shared" si="49"/>
        <v>7943.3</v>
      </c>
      <c r="V141" s="319">
        <f t="shared" si="50"/>
        <v>63096014.890000001</v>
      </c>
      <c r="X141" s="345">
        <f t="shared" ref="X141:X204" si="70">20*LOG10((K141/(I141*M141))*AEA)</f>
        <v>31.596076101041174</v>
      </c>
      <c r="Y141" s="346">
        <f t="shared" ref="Y141:Y204" si="71">(L141-(J141+N141))*radconv</f>
        <v>-5.8979641720597957</v>
      </c>
      <c r="AA141" s="345">
        <f t="shared" ref="AA141:AA204" si="72">20*LOG10((E141*G141/(C141*O141))*Acs*Am)</f>
        <v>14.789371732254734</v>
      </c>
      <c r="AB141" s="346">
        <f t="shared" ref="AB141:AB204" si="73">(F141+H141-(D141+P141))*radconv</f>
        <v>-88.254323919065769</v>
      </c>
      <c r="AD141">
        <f t="shared" si="51"/>
        <v>0</v>
      </c>
      <c r="AE141">
        <f t="shared" si="52"/>
        <v>0</v>
      </c>
    </row>
    <row r="142" spans="1:31" x14ac:dyDescent="0.2">
      <c r="A142" s="347">
        <v>8035.8</v>
      </c>
      <c r="B142" s="364">
        <f t="shared" ref="B142:B205" si="74">A142/1000</f>
        <v>8.0358000000000001</v>
      </c>
      <c r="C142" s="337">
        <f t="shared" si="53"/>
        <v>45.11997487837138</v>
      </c>
      <c r="D142" s="338">
        <f t="shared" si="54"/>
        <v>1.5486313790481976</v>
      </c>
      <c r="E142" s="338">
        <f t="shared" si="55"/>
        <v>1.0002039218123933</v>
      </c>
      <c r="F142" s="339">
        <f t="shared" si="56"/>
        <v>2.0193422939217543E-2</v>
      </c>
      <c r="G142" s="338">
        <f t="shared" si="57"/>
        <v>1</v>
      </c>
      <c r="H142" s="339">
        <f t="shared" si="58"/>
        <v>0</v>
      </c>
      <c r="I142" s="337">
        <f t="shared" si="59"/>
        <v>26510.455740230031</v>
      </c>
      <c r="J142" s="340">
        <f t="shared" si="60"/>
        <v>1.5707586058288734</v>
      </c>
      <c r="K142" s="348">
        <f t="shared" si="61"/>
        <v>13.121239393590294</v>
      </c>
      <c r="L142" s="349">
        <f t="shared" si="62"/>
        <v>1.4945100430250347</v>
      </c>
      <c r="M142" s="337">
        <f t="shared" si="63"/>
        <v>1.0003408660277786</v>
      </c>
      <c r="N142" s="340">
        <f t="shared" si="64"/>
        <v>2.61062916258329E-2</v>
      </c>
      <c r="O142" s="341">
        <f t="shared" si="65"/>
        <v>0.99935512596149334</v>
      </c>
      <c r="P142" s="342">
        <f t="shared" si="66"/>
        <v>1.2055164513252677E-2</v>
      </c>
      <c r="Q142" s="343">
        <f t="shared" si="67"/>
        <v>-2.4635218774792351</v>
      </c>
      <c r="R142" s="344">
        <f t="shared" si="68"/>
        <v>-94.128255459644876</v>
      </c>
      <c r="S142" s="346">
        <f t="shared" si="69"/>
        <v>85.871744540355124</v>
      </c>
      <c r="U142" s="319">
        <f t="shared" ref="U142:U205" si="75">IF(Q142&lt;0,A142,1000000000)</f>
        <v>8035.8</v>
      </c>
      <c r="V142" s="319">
        <f t="shared" ref="V142:V205" si="76">A142^2</f>
        <v>64574081.640000001</v>
      </c>
      <c r="X142" s="345">
        <f t="shared" si="70"/>
        <v>31.595417488752375</v>
      </c>
      <c r="Y142" s="346">
        <f t="shared" si="71"/>
        <v>-5.8645011781972789</v>
      </c>
      <c r="AA142" s="345">
        <f t="shared" si="72"/>
        <v>14.689027437718034</v>
      </c>
      <c r="AB142" s="346">
        <f t="shared" si="73"/>
        <v>-88.263754281447618</v>
      </c>
      <c r="AD142">
        <f t="shared" ref="AD142:AD205" si="77">SUM((Q143&lt;0)*(Q142&gt;0))*A142</f>
        <v>0</v>
      </c>
      <c r="AE142">
        <f t="shared" si="52"/>
        <v>0</v>
      </c>
    </row>
    <row r="143" spans="1:31" x14ac:dyDescent="0.2">
      <c r="A143" s="347">
        <v>8128.3</v>
      </c>
      <c r="B143" s="364">
        <f t="shared" si="74"/>
        <v>8.1282999999999994</v>
      </c>
      <c r="C143" s="337">
        <f t="shared" si="53"/>
        <v>45.639096713881798</v>
      </c>
      <c r="D143" s="338">
        <f t="shared" si="54"/>
        <v>1.5488835348051284</v>
      </c>
      <c r="E143" s="338">
        <f t="shared" si="55"/>
        <v>1.0002086430233457</v>
      </c>
      <c r="F143" s="339">
        <f t="shared" si="56"/>
        <v>2.0425804914891148E-2</v>
      </c>
      <c r="G143" s="338">
        <f t="shared" si="57"/>
        <v>1</v>
      </c>
      <c r="H143" s="339">
        <f t="shared" si="58"/>
        <v>0</v>
      </c>
      <c r="I143" s="337">
        <f t="shared" si="59"/>
        <v>26815.617286373785</v>
      </c>
      <c r="J143" s="340">
        <f t="shared" si="60"/>
        <v>1.5707590350932157</v>
      </c>
      <c r="K143" s="348">
        <f t="shared" si="61"/>
        <v>13.271405511095107</v>
      </c>
      <c r="L143" s="349">
        <f t="shared" si="62"/>
        <v>1.4953748731541352</v>
      </c>
      <c r="M143" s="337">
        <f t="shared" si="63"/>
        <v>1.0003487572274115</v>
      </c>
      <c r="N143" s="340">
        <f t="shared" si="64"/>
        <v>2.6406661958597186E-2</v>
      </c>
      <c r="O143" s="341">
        <f t="shared" si="65"/>
        <v>0.99934019541140318</v>
      </c>
      <c r="P143" s="342">
        <f t="shared" si="66"/>
        <v>1.2194120401799948E-2</v>
      </c>
      <c r="Q143" s="343">
        <f t="shared" si="67"/>
        <v>-2.5633543451293592</v>
      </c>
      <c r="R143" s="344">
        <f t="shared" si="68"/>
        <v>-94.105033430781901</v>
      </c>
      <c r="S143" s="346">
        <f t="shared" si="69"/>
        <v>85.894966569218099</v>
      </c>
      <c r="U143" s="319">
        <f t="shared" si="75"/>
        <v>8128.3</v>
      </c>
      <c r="V143" s="319">
        <f t="shared" si="76"/>
        <v>66069260.890000001</v>
      </c>
      <c r="X143" s="345">
        <f t="shared" si="70"/>
        <v>31.594778074494478</v>
      </c>
      <c r="Y143" s="346">
        <f t="shared" si="71"/>
        <v>-5.8321846091605734</v>
      </c>
      <c r="AA143" s="345">
        <f t="shared" si="72"/>
        <v>14.589834384325808</v>
      </c>
      <c r="AB143" s="346">
        <f t="shared" si="73"/>
        <v>-88.272848821621309</v>
      </c>
      <c r="AD143">
        <f t="shared" si="77"/>
        <v>0</v>
      </c>
      <c r="AE143">
        <f t="shared" si="52"/>
        <v>0</v>
      </c>
    </row>
    <row r="144" spans="1:31" x14ac:dyDescent="0.2">
      <c r="A144" s="347">
        <v>8222.9500000000007</v>
      </c>
      <c r="B144" s="364">
        <f t="shared" si="74"/>
        <v>8.2229500000000009</v>
      </c>
      <c r="C144" s="337">
        <f t="shared" si="53"/>
        <v>46.17028755996084</v>
      </c>
      <c r="D144" s="338">
        <f t="shared" si="54"/>
        <v>1.5491356819432116</v>
      </c>
      <c r="E144" s="338">
        <f t="shared" si="55"/>
        <v>1.0002135298804002</v>
      </c>
      <c r="F144" s="339">
        <f t="shared" si="56"/>
        <v>2.0663585917301032E-2</v>
      </c>
      <c r="G144" s="338">
        <f t="shared" si="57"/>
        <v>1</v>
      </c>
      <c r="H144" s="339">
        <f t="shared" si="58"/>
        <v>0</v>
      </c>
      <c r="I144" s="337">
        <f t="shared" si="59"/>
        <v>27127.871776568038</v>
      </c>
      <c r="J144" s="340">
        <f t="shared" si="60"/>
        <v>1.5707594643381413</v>
      </c>
      <c r="K144" s="348">
        <f t="shared" si="61"/>
        <v>13.425072018512392</v>
      </c>
      <c r="L144" s="349">
        <f t="shared" si="62"/>
        <v>1.4962397772062794</v>
      </c>
      <c r="M144" s="337">
        <f t="shared" si="63"/>
        <v>1.0003569252674895</v>
      </c>
      <c r="N144" s="340">
        <f t="shared" si="64"/>
        <v>2.6714008938209192E-2</v>
      </c>
      <c r="O144" s="341">
        <f t="shared" si="65"/>
        <v>0.99932474099703217</v>
      </c>
      <c r="P144" s="342">
        <f t="shared" si="66"/>
        <v>1.2336312800714223E-2</v>
      </c>
      <c r="Q144" s="343">
        <f t="shared" si="67"/>
        <v>-2.6643236972795012</v>
      </c>
      <c r="R144" s="344">
        <f t="shared" si="68"/>
        <v>-94.082082500863137</v>
      </c>
      <c r="S144" s="346">
        <f t="shared" si="69"/>
        <v>85.917917499136863</v>
      </c>
      <c r="U144" s="319">
        <f t="shared" si="75"/>
        <v>8222.9500000000007</v>
      </c>
      <c r="V144" s="319">
        <f t="shared" si="76"/>
        <v>67616906.702500015</v>
      </c>
      <c r="X144" s="345">
        <f t="shared" si="70"/>
        <v>31.594142742610035</v>
      </c>
      <c r="Y144" s="346">
        <f t="shared" si="71"/>
        <v>-5.8002635359529462</v>
      </c>
      <c r="AA144" s="345">
        <f t="shared" si="72"/>
        <v>14.489500364060106</v>
      </c>
      <c r="AB144" s="346">
        <f t="shared" si="73"/>
        <v>-88.281818964910173</v>
      </c>
      <c r="AD144">
        <f t="shared" si="77"/>
        <v>0</v>
      </c>
      <c r="AE144">
        <f t="shared" si="52"/>
        <v>0</v>
      </c>
    </row>
    <row r="145" spans="1:31" x14ac:dyDescent="0.2">
      <c r="A145" s="347">
        <v>8270.2750000000015</v>
      </c>
      <c r="B145" s="364">
        <f t="shared" si="74"/>
        <v>8.2702750000000016</v>
      </c>
      <c r="C145" s="337">
        <f t="shared" si="53"/>
        <v>46.435884064895724</v>
      </c>
      <c r="D145" s="338">
        <f t="shared" si="54"/>
        <v>1.5492595922311319</v>
      </c>
      <c r="E145" s="338">
        <f t="shared" si="55"/>
        <v>1.0002159945157263</v>
      </c>
      <c r="F145" s="339">
        <f t="shared" si="56"/>
        <v>2.0782475543831846E-2</v>
      </c>
      <c r="G145" s="338">
        <f t="shared" si="57"/>
        <v>1</v>
      </c>
      <c r="H145" s="339">
        <f t="shared" si="58"/>
        <v>0</v>
      </c>
      <c r="I145" s="337">
        <f t="shared" si="59"/>
        <v>27283.999021667005</v>
      </c>
      <c r="J145" s="340">
        <f t="shared" si="60"/>
        <v>1.5707596752762014</v>
      </c>
      <c r="K145" s="348">
        <f t="shared" si="61"/>
        <v>13.501908973957789</v>
      </c>
      <c r="L145" s="349">
        <f t="shared" si="62"/>
        <v>1.496664846407268</v>
      </c>
      <c r="M145" s="337">
        <f t="shared" si="63"/>
        <v>1.0003610447230493</v>
      </c>
      <c r="N145" s="340">
        <f t="shared" si="64"/>
        <v>2.6867680538619827E-2</v>
      </c>
      <c r="O145" s="341">
        <f t="shared" si="65"/>
        <v>0.99931694671746574</v>
      </c>
      <c r="P145" s="342">
        <f t="shared" si="66"/>
        <v>1.2407411575591115E-2</v>
      </c>
      <c r="Q145" s="343">
        <f t="shared" si="67"/>
        <v>-2.7143680845922722</v>
      </c>
      <c r="R145" s="344">
        <f t="shared" si="68"/>
        <v>-94.070905972064807</v>
      </c>
      <c r="S145" s="346">
        <f t="shared" si="69"/>
        <v>85.929094027935193</v>
      </c>
      <c r="U145" s="319">
        <f t="shared" si="75"/>
        <v>8270.2750000000015</v>
      </c>
      <c r="V145" s="319">
        <f t="shared" si="76"/>
        <v>68397448.575625017</v>
      </c>
      <c r="X145" s="345">
        <f t="shared" si="70"/>
        <v>31.593831981711595</v>
      </c>
      <c r="Y145" s="346">
        <f t="shared" si="71"/>
        <v>-5.7847256847126829</v>
      </c>
      <c r="AA145" s="345">
        <f t="shared" si="72"/>
        <v>14.439766737645776</v>
      </c>
      <c r="AB145" s="346">
        <f t="shared" si="73"/>
        <v>-88.286180287352138</v>
      </c>
      <c r="AD145">
        <f t="shared" si="77"/>
        <v>0</v>
      </c>
      <c r="AE145">
        <f t="shared" si="52"/>
        <v>0</v>
      </c>
    </row>
    <row r="146" spans="1:31" x14ac:dyDescent="0.2">
      <c r="A146" s="347">
        <v>8317.6</v>
      </c>
      <c r="B146" s="364">
        <f t="shared" si="74"/>
        <v>8.3176000000000005</v>
      </c>
      <c r="C146" s="337">
        <f t="shared" si="53"/>
        <v>46.701481274686557</v>
      </c>
      <c r="D146" s="338">
        <f t="shared" si="54"/>
        <v>1.5493820931340676</v>
      </c>
      <c r="E146" s="338">
        <f t="shared" si="55"/>
        <v>1.0002184732887787</v>
      </c>
      <c r="F146" s="339">
        <f t="shared" si="56"/>
        <v>2.0901364582771056E-2</v>
      </c>
      <c r="G146" s="338">
        <f t="shared" si="57"/>
        <v>1</v>
      </c>
      <c r="H146" s="339">
        <f t="shared" si="58"/>
        <v>0</v>
      </c>
      <c r="I146" s="337">
        <f t="shared" si="59"/>
        <v>27440.126266767169</v>
      </c>
      <c r="J146" s="340">
        <f t="shared" si="60"/>
        <v>1.570759883813895</v>
      </c>
      <c r="K146" s="348">
        <f t="shared" si="61"/>
        <v>13.578748341370233</v>
      </c>
      <c r="L146" s="349">
        <f t="shared" si="62"/>
        <v>1.4970851049236491</v>
      </c>
      <c r="M146" s="337">
        <f t="shared" si="63"/>
        <v>1.0003651878019011</v>
      </c>
      <c r="N146" s="340">
        <f t="shared" si="64"/>
        <v>2.702135086977708E-2</v>
      </c>
      <c r="O146" s="341">
        <f t="shared" si="65"/>
        <v>0.99930910772331094</v>
      </c>
      <c r="P146" s="342">
        <f t="shared" si="66"/>
        <v>1.2478512080672584E-2</v>
      </c>
      <c r="Q146" s="343">
        <f t="shared" si="67"/>
        <v>-2.7641234752773105</v>
      </c>
      <c r="R146" s="344">
        <f t="shared" si="68"/>
        <v>-94.059924245926226</v>
      </c>
      <c r="S146" s="346">
        <f t="shared" si="69"/>
        <v>85.940075754073774</v>
      </c>
      <c r="U146" s="319">
        <f t="shared" si="75"/>
        <v>8317.6</v>
      </c>
      <c r="V146" s="319">
        <f t="shared" si="76"/>
        <v>69182469.760000005</v>
      </c>
      <c r="X146" s="345">
        <f t="shared" si="70"/>
        <v>31.593525679419368</v>
      </c>
      <c r="Y146" s="346">
        <f t="shared" si="71"/>
        <v>-5.7694632551435685</v>
      </c>
      <c r="AA146" s="345">
        <f t="shared" si="72"/>
        <v>14.390317649252966</v>
      </c>
      <c r="AB146" s="346">
        <f t="shared" si="73"/>
        <v>-88.29046099078262</v>
      </c>
      <c r="AD146">
        <f t="shared" si="77"/>
        <v>0</v>
      </c>
      <c r="AE146">
        <f t="shared" si="52"/>
        <v>0</v>
      </c>
    </row>
    <row r="147" spans="1:31" x14ac:dyDescent="0.2">
      <c r="A147" s="347">
        <v>8366.0499999999993</v>
      </c>
      <c r="B147" s="364">
        <f t="shared" si="74"/>
        <v>8.3660499999999995</v>
      </c>
      <c r="C147" s="337">
        <f t="shared" si="53"/>
        <v>46.973392923492391</v>
      </c>
      <c r="D147" s="338">
        <f t="shared" si="54"/>
        <v>1.5495060710227431</v>
      </c>
      <c r="E147" s="338">
        <f t="shared" si="55"/>
        <v>1.0002210256324353</v>
      </c>
      <c r="F147" s="339">
        <f t="shared" si="56"/>
        <v>2.1023079214858832E-2</v>
      </c>
      <c r="G147" s="338">
        <f t="shared" si="57"/>
        <v>1</v>
      </c>
      <c r="H147" s="339">
        <f t="shared" si="58"/>
        <v>0</v>
      </c>
      <c r="I147" s="337">
        <f t="shared" si="59"/>
        <v>27599.964936078544</v>
      </c>
      <c r="J147" s="340">
        <f t="shared" si="60"/>
        <v>1.5707600948648006</v>
      </c>
      <c r="K147" s="348">
        <f t="shared" si="61"/>
        <v>13.657416774296379</v>
      </c>
      <c r="L147" s="349">
        <f t="shared" si="62"/>
        <v>1.4975104547845959</v>
      </c>
      <c r="M147" s="337">
        <f t="shared" si="63"/>
        <v>1.0003694538411687</v>
      </c>
      <c r="N147" s="340">
        <f t="shared" si="64"/>
        <v>2.7178672897467764E-2</v>
      </c>
      <c r="O147" s="341">
        <f t="shared" si="65"/>
        <v>0.99930103606084786</v>
      </c>
      <c r="P147" s="342">
        <f t="shared" si="66"/>
        <v>1.2551304574859276E-2</v>
      </c>
      <c r="Q147" s="343">
        <f t="shared" si="67"/>
        <v>-2.8147657270766242</v>
      </c>
      <c r="R147" s="344">
        <f t="shared" si="68"/>
        <v>-94.048879852349671</v>
      </c>
      <c r="S147" s="346">
        <f t="shared" si="69"/>
        <v>85.951120147650329</v>
      </c>
      <c r="U147" s="319">
        <f t="shared" si="75"/>
        <v>8366.0499999999993</v>
      </c>
      <c r="V147" s="319">
        <f t="shared" si="76"/>
        <v>69990792.602499992</v>
      </c>
      <c r="X147" s="345">
        <f t="shared" si="70"/>
        <v>31.593216605255069</v>
      </c>
      <c r="Y147" s="346">
        <f t="shared" si="71"/>
        <v>-5.7541184838145805</v>
      </c>
      <c r="AA147" s="345">
        <f t="shared" si="72"/>
        <v>14.339984471617948</v>
      </c>
      <c r="AB147" s="346">
        <f t="shared" si="73"/>
        <v>-88.294761368535092</v>
      </c>
      <c r="AD147">
        <f t="shared" si="77"/>
        <v>0</v>
      </c>
      <c r="AE147">
        <f t="shared" si="52"/>
        <v>0</v>
      </c>
    </row>
    <row r="148" spans="1:31" x14ac:dyDescent="0.2">
      <c r="A148" s="350">
        <v>8414.5</v>
      </c>
      <c r="B148" s="364">
        <f t="shared" si="74"/>
        <v>8.4145000000000003</v>
      </c>
      <c r="C148" s="337">
        <f t="shared" si="53"/>
        <v>47.245305285992821</v>
      </c>
      <c r="D148" s="338">
        <f t="shared" si="54"/>
        <v>1.5496286218457522</v>
      </c>
      <c r="E148" s="338">
        <f t="shared" si="55"/>
        <v>1.0002235927937426</v>
      </c>
      <c r="F148" s="339">
        <f t="shared" si="56"/>
        <v>2.1144793223967232E-2</v>
      </c>
      <c r="G148" s="338">
        <f t="shared" si="57"/>
        <v>1</v>
      </c>
      <c r="H148" s="339">
        <f t="shared" si="58"/>
        <v>0</v>
      </c>
      <c r="I148" s="337">
        <f t="shared" si="59"/>
        <v>27759.803605391142</v>
      </c>
      <c r="J148" s="340">
        <f t="shared" si="60"/>
        <v>1.5707603034852784</v>
      </c>
      <c r="K148" s="348">
        <f t="shared" ref="K148:K157" si="78">SQRT(1+(A148/Zero2)^2)</f>
        <v>13.736087649853566</v>
      </c>
      <c r="L148" s="349">
        <f t="shared" ref="L148:L157" si="79">ATAN(A148/Zero2)</f>
        <v>1.4979309324971801</v>
      </c>
      <c r="M148" s="337">
        <f t="shared" si="63"/>
        <v>1.0003737446395893</v>
      </c>
      <c r="N148" s="340">
        <f t="shared" si="64"/>
        <v>2.7335993579482326E-2</v>
      </c>
      <c r="O148" s="341">
        <f t="shared" si="65"/>
        <v>0.99929291753317051</v>
      </c>
      <c r="P148" s="342">
        <f t="shared" si="66"/>
        <v>1.2624098903582806E-2</v>
      </c>
      <c r="Q148" s="343">
        <f t="shared" si="67"/>
        <v>-2.8651120656192974</v>
      </c>
      <c r="R148" s="344">
        <f t="shared" si="68"/>
        <v>-94.038032771922431</v>
      </c>
      <c r="S148" s="346">
        <f t="shared" si="69"/>
        <v>85.961967228077569</v>
      </c>
      <c r="U148" s="319">
        <f t="shared" si="75"/>
        <v>8414.5</v>
      </c>
      <c r="V148" s="319">
        <f t="shared" si="76"/>
        <v>70803810.25</v>
      </c>
      <c r="X148" s="345">
        <f t="shared" si="70"/>
        <v>31.592911985167756</v>
      </c>
      <c r="Y148" s="346">
        <f t="shared" si="71"/>
        <v>-5.7390526496694312</v>
      </c>
      <c r="AA148" s="345">
        <f t="shared" si="72"/>
        <v>14.28994275316259</v>
      </c>
      <c r="AB148" s="346">
        <f t="shared" si="73"/>
        <v>-88.298980122253013</v>
      </c>
      <c r="AD148">
        <f t="shared" si="77"/>
        <v>0</v>
      </c>
      <c r="AE148">
        <f t="shared" si="52"/>
        <v>0</v>
      </c>
    </row>
    <row r="149" spans="1:31" x14ac:dyDescent="0.2">
      <c r="A149" s="350">
        <v>8462.9500000000007</v>
      </c>
      <c r="B149" s="364">
        <f t="shared" si="74"/>
        <v>8.4629500000000011</v>
      </c>
      <c r="C149" s="337">
        <f t="shared" si="53"/>
        <v>47.517218349935696</v>
      </c>
      <c r="D149" s="338">
        <f t="shared" si="54"/>
        <v>1.5497497700981517</v>
      </c>
      <c r="E149" s="338">
        <f t="shared" si="55"/>
        <v>1.000226174772586</v>
      </c>
      <c r="F149" s="339">
        <f t="shared" si="56"/>
        <v>2.1266506606494862E-2</v>
      </c>
      <c r="G149" s="338">
        <f t="shared" si="57"/>
        <v>1</v>
      </c>
      <c r="H149" s="339">
        <f t="shared" si="58"/>
        <v>0</v>
      </c>
      <c r="I149" s="337">
        <f t="shared" si="59"/>
        <v>27919.642274704933</v>
      </c>
      <c r="J149" s="340">
        <f t="shared" si="60"/>
        <v>1.5707605097170712</v>
      </c>
      <c r="K149" s="348">
        <f t="shared" si="78"/>
        <v>13.81476092631166</v>
      </c>
      <c r="L149" s="349">
        <f t="shared" si="79"/>
        <v>1.4983466211501988</v>
      </c>
      <c r="M149" s="337">
        <f t="shared" si="63"/>
        <v>1.0003780601968442</v>
      </c>
      <c r="N149" s="340">
        <f t="shared" si="64"/>
        <v>2.7493312908050817E-2</v>
      </c>
      <c r="O149" s="341">
        <f t="shared" si="65"/>
        <v>0.99928475214055112</v>
      </c>
      <c r="P149" s="342">
        <f t="shared" si="66"/>
        <v>1.2696895077515482E-2</v>
      </c>
      <c r="Q149" s="343">
        <f t="shared" si="67"/>
        <v>-2.9151659331725992</v>
      </c>
      <c r="R149" s="344">
        <f t="shared" si="68"/>
        <v>-94.027379650234792</v>
      </c>
      <c r="S149" s="346">
        <f t="shared" si="69"/>
        <v>85.972620349765208</v>
      </c>
      <c r="U149" s="319">
        <f t="shared" si="75"/>
        <v>8462.9500000000007</v>
      </c>
      <c r="V149" s="319">
        <f t="shared" si="76"/>
        <v>71621522.702500015</v>
      </c>
      <c r="X149" s="345">
        <f t="shared" si="70"/>
        <v>31.592611713020634</v>
      </c>
      <c r="Y149" s="346">
        <f t="shared" si="71"/>
        <v>-5.7242609940172118</v>
      </c>
      <c r="AA149" s="345">
        <f t="shared" si="72"/>
        <v>14.240189157756408</v>
      </c>
      <c r="AB149" s="346">
        <f t="shared" si="73"/>
        <v>-88.303118656217578</v>
      </c>
      <c r="AD149">
        <f t="shared" si="77"/>
        <v>0</v>
      </c>
      <c r="AE149">
        <f t="shared" si="52"/>
        <v>0</v>
      </c>
    </row>
    <row r="150" spans="1:31" x14ac:dyDescent="0.2">
      <c r="A150" s="350">
        <v>8511.4</v>
      </c>
      <c r="B150" s="364">
        <f t="shared" si="74"/>
        <v>8.5114000000000001</v>
      </c>
      <c r="C150" s="337">
        <f t="shared" si="53"/>
        <v>47.789132103347711</v>
      </c>
      <c r="D150" s="338">
        <f t="shared" si="54"/>
        <v>1.5498695397176707</v>
      </c>
      <c r="E150" s="338">
        <f t="shared" si="55"/>
        <v>1.0002287715688507</v>
      </c>
      <c r="F150" s="339">
        <f t="shared" si="56"/>
        <v>2.1388219358840416E-2</v>
      </c>
      <c r="G150" s="338">
        <f t="shared" si="57"/>
        <v>1</v>
      </c>
      <c r="H150" s="339">
        <f t="shared" si="58"/>
        <v>0</v>
      </c>
      <c r="I150" s="337">
        <f t="shared" si="59"/>
        <v>28079.480944019888</v>
      </c>
      <c r="J150" s="340">
        <f t="shared" si="60"/>
        <v>1.5707607136009702</v>
      </c>
      <c r="K150" s="348">
        <f t="shared" si="78"/>
        <v>13.893436562884478</v>
      </c>
      <c r="L150" s="349">
        <f t="shared" si="79"/>
        <v>1.4987576019570974</v>
      </c>
      <c r="M150" s="337">
        <f t="shared" si="63"/>
        <v>1.000382400512613</v>
      </c>
      <c r="N150" s="340">
        <f t="shared" si="64"/>
        <v>2.7650630875403689E-2</v>
      </c>
      <c r="O150" s="341">
        <f t="shared" si="65"/>
        <v>0.99927653988326404</v>
      </c>
      <c r="P150" s="342">
        <f t="shared" si="66"/>
        <v>1.2769693107330456E-2</v>
      </c>
      <c r="Q150" s="343">
        <f t="shared" si="67"/>
        <v>-2.9649307119739361</v>
      </c>
      <c r="R150" s="344">
        <f t="shared" si="68"/>
        <v>-94.016917208339777</v>
      </c>
      <c r="S150" s="346">
        <f t="shared" si="69"/>
        <v>85.983082791660223</v>
      </c>
      <c r="U150" s="319">
        <f t="shared" si="75"/>
        <v>8511.4</v>
      </c>
      <c r="V150" s="319">
        <f t="shared" si="76"/>
        <v>72443929.959999993</v>
      </c>
      <c r="X150" s="345">
        <f t="shared" si="70"/>
        <v>31.592315685673622</v>
      </c>
      <c r="Y150" s="346">
        <f t="shared" si="71"/>
        <v>-5.7097388655622705</v>
      </c>
      <c r="AA150" s="345">
        <f t="shared" si="72"/>
        <v>14.190720406302084</v>
      </c>
      <c r="AB150" s="346">
        <f t="shared" si="73"/>
        <v>-88.307178342777476</v>
      </c>
      <c r="AD150">
        <f t="shared" si="77"/>
        <v>0</v>
      </c>
      <c r="AE150">
        <f t="shared" si="52"/>
        <v>0</v>
      </c>
    </row>
    <row r="151" spans="1:31" x14ac:dyDescent="0.2">
      <c r="A151" s="350">
        <v>8560.9500000000007</v>
      </c>
      <c r="B151" s="364">
        <f t="shared" si="74"/>
        <v>8.5609500000000001</v>
      </c>
      <c r="C151" s="337">
        <f t="shared" si="53"/>
        <v>48.067220038162624</v>
      </c>
      <c r="D151" s="338">
        <f t="shared" si="54"/>
        <v>1.5499906270053032</v>
      </c>
      <c r="E151" s="338">
        <f t="shared" si="55"/>
        <v>1.0002314426480443</v>
      </c>
      <c r="F151" s="339">
        <f t="shared" si="56"/>
        <v>2.1512694799849734E-2</v>
      </c>
      <c r="G151" s="338">
        <f t="shared" si="57"/>
        <v>1</v>
      </c>
      <c r="H151" s="339">
        <f t="shared" si="58"/>
        <v>0</v>
      </c>
      <c r="I151" s="337">
        <f t="shared" si="59"/>
        <v>28242.948561452591</v>
      </c>
      <c r="J151" s="340">
        <f t="shared" si="60"/>
        <v>1.5707609197268975</v>
      </c>
      <c r="K151" s="348">
        <f t="shared" si="78"/>
        <v>13.97390083637503</v>
      </c>
      <c r="L151" s="349">
        <f t="shared" si="79"/>
        <v>1.4991731269346655</v>
      </c>
      <c r="M151" s="337">
        <f t="shared" si="63"/>
        <v>1.0003868649778509</v>
      </c>
      <c r="N151" s="340">
        <f t="shared" si="64"/>
        <v>2.7811519145293433E-2</v>
      </c>
      <c r="O151" s="341">
        <f t="shared" si="65"/>
        <v>0.99926809270390982</v>
      </c>
      <c r="P151" s="342">
        <f t="shared" si="66"/>
        <v>1.2844145861079853E-2</v>
      </c>
      <c r="Q151" s="343">
        <f t="shared" si="67"/>
        <v>-3.0155297962075354</v>
      </c>
      <c r="R151" s="344">
        <f t="shared" si="68"/>
        <v>-94.006411111488475</v>
      </c>
      <c r="S151" s="346">
        <f t="shared" si="69"/>
        <v>85.993588888511525</v>
      </c>
      <c r="U151" s="319">
        <f t="shared" si="75"/>
        <v>8560.9500000000007</v>
      </c>
      <c r="V151" s="319">
        <f t="shared" si="76"/>
        <v>73289864.902500018</v>
      </c>
      <c r="X151" s="345">
        <f t="shared" si="70"/>
        <v>31.592017223377361</v>
      </c>
      <c r="Y151" s="346">
        <f t="shared" si="71"/>
        <v>-5.6951610670322159</v>
      </c>
      <c r="AA151" s="345">
        <f t="shared" si="72"/>
        <v>14.140419784364745</v>
      </c>
      <c r="AB151" s="346">
        <f t="shared" si="73"/>
        <v>-88.311250044456273</v>
      </c>
      <c r="AD151">
        <f t="shared" si="77"/>
        <v>0</v>
      </c>
      <c r="AE151">
        <f t="shared" si="52"/>
        <v>0</v>
      </c>
    </row>
    <row r="152" spans="1:31" x14ac:dyDescent="0.2">
      <c r="A152" s="350">
        <v>8610.5</v>
      </c>
      <c r="B152" s="364">
        <f t="shared" si="74"/>
        <v>8.6105</v>
      </c>
      <c r="C152" s="337">
        <f t="shared" si="53"/>
        <v>48.345308669637582</v>
      </c>
      <c r="D152" s="338">
        <f t="shared" si="54"/>
        <v>1.5501103212743776</v>
      </c>
      <c r="E152" s="338">
        <f t="shared" si="55"/>
        <v>1.0002341292248766</v>
      </c>
      <c r="F152" s="339">
        <f t="shared" si="56"/>
        <v>2.1637169574118556E-2</v>
      </c>
      <c r="G152" s="338">
        <f t="shared" si="57"/>
        <v>1</v>
      </c>
      <c r="H152" s="339">
        <f t="shared" si="58"/>
        <v>0</v>
      </c>
      <c r="I152" s="337">
        <f t="shared" si="59"/>
        <v>28406.416178886473</v>
      </c>
      <c r="J152" s="340">
        <f t="shared" si="60"/>
        <v>1.5707611234804797</v>
      </c>
      <c r="K152" s="348">
        <f t="shared" si="78"/>
        <v>14.054367494986128</v>
      </c>
      <c r="L152" s="349">
        <f t="shared" si="79"/>
        <v>1.4995838939019031</v>
      </c>
      <c r="M152" s="337">
        <f t="shared" si="63"/>
        <v>1.0003913553379069</v>
      </c>
      <c r="N152" s="340">
        <f t="shared" si="64"/>
        <v>2.7972405975020428E-2</v>
      </c>
      <c r="O152" s="341">
        <f t="shared" si="65"/>
        <v>0.99925959650830176</v>
      </c>
      <c r="P152" s="342">
        <f t="shared" si="66"/>
        <v>1.2918600578522146E-2</v>
      </c>
      <c r="Q152" s="343">
        <f t="shared" si="67"/>
        <v>-3.0658334850383397</v>
      </c>
      <c r="R152" s="344">
        <f t="shared" si="68"/>
        <v>-93.996097746736183</v>
      </c>
      <c r="S152" s="346">
        <f t="shared" si="69"/>
        <v>86.003902253263817</v>
      </c>
      <c r="U152" s="319">
        <f t="shared" si="75"/>
        <v>8610.5</v>
      </c>
      <c r="V152" s="319">
        <f t="shared" si="76"/>
        <v>74140710.25</v>
      </c>
      <c r="X152" s="345">
        <f t="shared" si="70"/>
        <v>31.591722991777473</v>
      </c>
      <c r="Y152" s="346">
        <f t="shared" si="71"/>
        <v>-5.6808556639726859</v>
      </c>
      <c r="AA152" s="345">
        <f t="shared" si="72"/>
        <v>14.090410327133831</v>
      </c>
      <c r="AB152" s="346">
        <f t="shared" si="73"/>
        <v>-88.315242082763532</v>
      </c>
      <c r="AD152">
        <f t="shared" si="77"/>
        <v>0</v>
      </c>
      <c r="AE152">
        <f t="shared" si="52"/>
        <v>0</v>
      </c>
    </row>
    <row r="153" spans="1:31" x14ac:dyDescent="0.2">
      <c r="A153" s="350">
        <v>8660.0499999999993</v>
      </c>
      <c r="B153" s="364">
        <f t="shared" si="74"/>
        <v>8.66005</v>
      </c>
      <c r="C153" s="337">
        <f t="shared" si="53"/>
        <v>48.623397985819523</v>
      </c>
      <c r="D153" s="338">
        <f t="shared" si="54"/>
        <v>1.5502286464224939</v>
      </c>
      <c r="E153" s="338">
        <f t="shared" si="55"/>
        <v>1.0002368312992223</v>
      </c>
      <c r="F153" s="339">
        <f t="shared" si="56"/>
        <v>2.176164367779505E-2</v>
      </c>
      <c r="G153" s="338">
        <f t="shared" si="57"/>
        <v>1</v>
      </c>
      <c r="H153" s="339">
        <f t="shared" si="58"/>
        <v>0</v>
      </c>
      <c r="I153" s="337">
        <f t="shared" si="59"/>
        <v>28569.883796321519</v>
      </c>
      <c r="J153" s="340">
        <f t="shared" si="60"/>
        <v>1.5707613249024377</v>
      </c>
      <c r="K153" s="348">
        <f t="shared" si="78"/>
        <v>14.134836497983802</v>
      </c>
      <c r="L153" s="349">
        <f t="shared" si="79"/>
        <v>1.4999899839804263</v>
      </c>
      <c r="M153" s="337">
        <f t="shared" si="63"/>
        <v>1.0003958715924322</v>
      </c>
      <c r="N153" s="340">
        <f t="shared" si="64"/>
        <v>2.8133291356275146E-2</v>
      </c>
      <c r="O153" s="341">
        <f t="shared" si="65"/>
        <v>0.99925105129673819</v>
      </c>
      <c r="P153" s="342">
        <f t="shared" si="66"/>
        <v>1.2993057271076818E-2</v>
      </c>
      <c r="Q153" s="343">
        <f t="shared" si="67"/>
        <v>-3.1158452104685703</v>
      </c>
      <c r="R153" s="344">
        <f t="shared" si="68"/>
        <v>-93.985973838120344</v>
      </c>
      <c r="S153" s="346">
        <f t="shared" si="69"/>
        <v>86.014026161879656</v>
      </c>
      <c r="U153" s="319">
        <f t="shared" si="75"/>
        <v>8660.0499999999993</v>
      </c>
      <c r="V153" s="319">
        <f t="shared" si="76"/>
        <v>74996466.002499983</v>
      </c>
      <c r="X153" s="345">
        <f t="shared" si="70"/>
        <v>31.591432889630138</v>
      </c>
      <c r="Y153" s="346">
        <f t="shared" si="71"/>
        <v>-5.6668180103144712</v>
      </c>
      <c r="AA153" s="345">
        <f t="shared" si="72"/>
        <v>14.040688703850934</v>
      </c>
      <c r="AB153" s="346">
        <f t="shared" si="73"/>
        <v>-88.319155827805872</v>
      </c>
      <c r="AD153">
        <f t="shared" si="77"/>
        <v>0</v>
      </c>
      <c r="AE153">
        <f t="shared" si="52"/>
        <v>0</v>
      </c>
    </row>
    <row r="154" spans="1:31" x14ac:dyDescent="0.2">
      <c r="A154" s="350">
        <v>8709.6</v>
      </c>
      <c r="B154" s="364">
        <f t="shared" si="74"/>
        <v>8.7096</v>
      </c>
      <c r="C154" s="337">
        <f t="shared" si="53"/>
        <v>48.90148797502723</v>
      </c>
      <c r="D154" s="338">
        <f t="shared" si="54"/>
        <v>1.5503456258038102</v>
      </c>
      <c r="E154" s="338">
        <f t="shared" si="55"/>
        <v>1.0002395488709563</v>
      </c>
      <c r="F154" s="339">
        <f t="shared" si="56"/>
        <v>2.1886117107027522E-2</v>
      </c>
      <c r="G154" s="338">
        <f t="shared" si="57"/>
        <v>1</v>
      </c>
      <c r="H154" s="339">
        <f t="shared" si="58"/>
        <v>0</v>
      </c>
      <c r="I154" s="337">
        <f t="shared" si="59"/>
        <v>28733.351413757715</v>
      </c>
      <c r="J154" s="340">
        <f t="shared" si="60"/>
        <v>1.5707615240325665</v>
      </c>
      <c r="K154" s="348">
        <f t="shared" si="78"/>
        <v>14.215307805555247</v>
      </c>
      <c r="L154" s="349">
        <f t="shared" si="79"/>
        <v>1.5003914764612201</v>
      </c>
      <c r="M154" s="337">
        <f t="shared" si="63"/>
        <v>1.0004004137410756</v>
      </c>
      <c r="N154" s="340">
        <f t="shared" si="64"/>
        <v>2.8294175280748533E-2</v>
      </c>
      <c r="O154" s="341">
        <f t="shared" si="65"/>
        <v>0.99924245706951897</v>
      </c>
      <c r="P154" s="342">
        <f t="shared" si="66"/>
        <v>1.3067515950164284E-2</v>
      </c>
      <c r="Q154" s="343">
        <f t="shared" si="67"/>
        <v>-3.1655683447294143</v>
      </c>
      <c r="R154" s="344">
        <f t="shared" si="68"/>
        <v>-93.976036183375797</v>
      </c>
      <c r="S154" s="346">
        <f t="shared" si="69"/>
        <v>86.023963816624203</v>
      </c>
      <c r="U154" s="319">
        <f t="shared" si="75"/>
        <v>8709.6</v>
      </c>
      <c r="V154" s="319">
        <f t="shared" si="76"/>
        <v>75857132.160000011</v>
      </c>
      <c r="X154" s="345">
        <f t="shared" si="70"/>
        <v>31.591146818549159</v>
      </c>
      <c r="Y154" s="346">
        <f t="shared" si="71"/>
        <v>-5.6530435648228021</v>
      </c>
      <c r="AA154" s="345">
        <f t="shared" si="72"/>
        <v>13.991251640671072</v>
      </c>
      <c r="AB154" s="346">
        <f t="shared" si="73"/>
        <v>-88.322992618553016</v>
      </c>
      <c r="AD154">
        <f t="shared" si="77"/>
        <v>0</v>
      </c>
      <c r="AE154">
        <f t="shared" ref="AE154:AE217" si="80">IF(AD154&gt;0,S154,0)</f>
        <v>0</v>
      </c>
    </row>
    <row r="155" spans="1:31" x14ac:dyDescent="0.2">
      <c r="A155" s="350">
        <v>8760.3250000000007</v>
      </c>
      <c r="B155" s="364">
        <f t="shared" si="74"/>
        <v>8.7603249999999999</v>
      </c>
      <c r="C155" s="337">
        <f t="shared" si="53"/>
        <v>49.18617311440206</v>
      </c>
      <c r="D155" s="338">
        <f t="shared" si="54"/>
        <v>1.5504640089802579</v>
      </c>
      <c r="E155" s="338">
        <f t="shared" si="55"/>
        <v>1.0002423469384696</v>
      </c>
      <c r="F155" s="339">
        <f t="shared" si="56"/>
        <v>2.2013541524419266E-2</v>
      </c>
      <c r="G155" s="338">
        <f t="shared" si="57"/>
        <v>1</v>
      </c>
      <c r="H155" s="339">
        <f t="shared" si="58"/>
        <v>0</v>
      </c>
      <c r="I155" s="337">
        <f t="shared" si="59"/>
        <v>28900.695407592408</v>
      </c>
      <c r="J155" s="340">
        <f t="shared" si="60"/>
        <v>1.5707617255513591</v>
      </c>
      <c r="K155" s="348">
        <f t="shared" si="78"/>
        <v>14.297689709674154</v>
      </c>
      <c r="L155" s="349">
        <f t="shared" si="79"/>
        <v>1.500797808188993</v>
      </c>
      <c r="M155" s="337">
        <f t="shared" si="63"/>
        <v>1.0004050904216892</v>
      </c>
      <c r="N155" s="340">
        <f t="shared" si="64"/>
        <v>2.8458872795737462E-2</v>
      </c>
      <c r="O155" s="341">
        <f t="shared" si="65"/>
        <v>0.99923360827115837</v>
      </c>
      <c r="P155" s="342">
        <f t="shared" si="66"/>
        <v>1.3143742368917112E-2</v>
      </c>
      <c r="Q155" s="343">
        <f t="shared" si="67"/>
        <v>-3.2161751064888886</v>
      </c>
      <c r="R155" s="344">
        <f t="shared" si="68"/>
        <v>-93.966052536096484</v>
      </c>
      <c r="S155" s="346">
        <f t="shared" si="69"/>
        <v>86.033947463903516</v>
      </c>
      <c r="U155" s="319">
        <f t="shared" si="75"/>
        <v>8760.3250000000007</v>
      </c>
      <c r="V155" s="319">
        <f t="shared" si="76"/>
        <v>76743294.105625018</v>
      </c>
      <c r="X155" s="345">
        <f t="shared" si="70"/>
        <v>31.590858039510216</v>
      </c>
      <c r="Y155" s="346">
        <f t="shared" si="71"/>
        <v>-5.6392104904048113</v>
      </c>
      <c r="AA155" s="345">
        <f t="shared" si="72"/>
        <v>13.940933657950538</v>
      </c>
      <c r="AB155" s="346">
        <f t="shared" si="73"/>
        <v>-88.326842045691691</v>
      </c>
      <c r="AD155">
        <f t="shared" si="77"/>
        <v>0</v>
      </c>
      <c r="AE155">
        <f t="shared" si="80"/>
        <v>0</v>
      </c>
    </row>
    <row r="156" spans="1:31" x14ac:dyDescent="0.2">
      <c r="A156" s="350">
        <v>8811.0499999999993</v>
      </c>
      <c r="B156" s="364">
        <f t="shared" si="74"/>
        <v>8.8110499999999998</v>
      </c>
      <c r="C156" s="337">
        <f t="shared" si="53"/>
        <v>49.470858935166682</v>
      </c>
      <c r="D156" s="338">
        <f t="shared" si="54"/>
        <v>1.5505810296587705</v>
      </c>
      <c r="E156" s="338">
        <f t="shared" si="55"/>
        <v>1.0002451612468093</v>
      </c>
      <c r="F156" s="339">
        <f t="shared" si="56"/>
        <v>2.2140965226832572E-2</v>
      </c>
      <c r="G156" s="338">
        <f t="shared" si="57"/>
        <v>1</v>
      </c>
      <c r="H156" s="339">
        <f t="shared" si="58"/>
        <v>0</v>
      </c>
      <c r="I156" s="337">
        <f t="shared" si="59"/>
        <v>29068.03940142825</v>
      </c>
      <c r="J156" s="340">
        <f t="shared" si="60"/>
        <v>1.5707619247498743</v>
      </c>
      <c r="K156" s="348">
        <f t="shared" si="78"/>
        <v>14.380073947372097</v>
      </c>
      <c r="L156" s="349">
        <f t="shared" si="79"/>
        <v>1.5011994841886416</v>
      </c>
      <c r="M156" s="337">
        <f t="shared" si="63"/>
        <v>1.0004097942383083</v>
      </c>
      <c r="N156" s="340">
        <f t="shared" si="64"/>
        <v>2.8623568766414635E-2</v>
      </c>
      <c r="O156" s="341">
        <f t="shared" si="65"/>
        <v>0.99922470810556341</v>
      </c>
      <c r="P156" s="342">
        <f t="shared" si="66"/>
        <v>1.321997089375856E-2</v>
      </c>
      <c r="Q156" s="343">
        <f t="shared" si="67"/>
        <v>-3.2664863937863315</v>
      </c>
      <c r="R156" s="344">
        <f t="shared" si="68"/>
        <v>-93.956257517218802</v>
      </c>
      <c r="S156" s="346">
        <f t="shared" si="69"/>
        <v>86.043742482781198</v>
      </c>
      <c r="U156" s="319">
        <f t="shared" si="75"/>
        <v>8811.0499999999993</v>
      </c>
      <c r="V156" s="319">
        <f t="shared" si="76"/>
        <v>77634602.102499992</v>
      </c>
      <c r="X156" s="345">
        <f t="shared" si="70"/>
        <v>31.590573285088794</v>
      </c>
      <c r="Y156" s="346">
        <f t="shared" si="71"/>
        <v>-5.6256439481345666</v>
      </c>
      <c r="AA156" s="345">
        <f t="shared" si="72"/>
        <v>13.890907125074516</v>
      </c>
      <c r="AB156" s="346">
        <f t="shared" si="73"/>
        <v>-88.33061356908425</v>
      </c>
      <c r="AD156">
        <f t="shared" si="77"/>
        <v>0</v>
      </c>
      <c r="AE156">
        <f t="shared" si="80"/>
        <v>0</v>
      </c>
    </row>
    <row r="157" spans="1:31" x14ac:dyDescent="0.2">
      <c r="A157" s="350">
        <v>8861.7749999999996</v>
      </c>
      <c r="B157" s="364">
        <f t="shared" si="74"/>
        <v>8.8617749999999997</v>
      </c>
      <c r="C157" s="337">
        <f t="shared" si="53"/>
        <v>49.755545425625037</v>
      </c>
      <c r="D157" s="338">
        <f t="shared" si="54"/>
        <v>1.5506967112235437</v>
      </c>
      <c r="E157" s="338">
        <f t="shared" si="55"/>
        <v>1.0002479917958378</v>
      </c>
      <c r="F157" s="339">
        <f t="shared" si="56"/>
        <v>2.2268388210135586E-2</v>
      </c>
      <c r="G157" s="338">
        <f t="shared" si="57"/>
        <v>1</v>
      </c>
      <c r="H157" s="339">
        <f t="shared" si="58"/>
        <v>0</v>
      </c>
      <c r="I157" s="337">
        <f t="shared" si="59"/>
        <v>29235.383395265239</v>
      </c>
      <c r="J157" s="340">
        <f t="shared" si="60"/>
        <v>1.5707621216679559</v>
      </c>
      <c r="K157" s="348">
        <f t="shared" si="78"/>
        <v>14.462460478769948</v>
      </c>
      <c r="L157" s="349">
        <f t="shared" si="79"/>
        <v>1.5015965838945824</v>
      </c>
      <c r="M157" s="337">
        <f t="shared" si="63"/>
        <v>1.0004145251905501</v>
      </c>
      <c r="N157" s="340">
        <f t="shared" si="64"/>
        <v>2.8788263183867242E-2</v>
      </c>
      <c r="O157" s="341">
        <f t="shared" si="65"/>
        <v>0.99921575657306183</v>
      </c>
      <c r="P157" s="342">
        <f t="shared" si="66"/>
        <v>1.3296201536943993E-2</v>
      </c>
      <c r="Q157" s="343">
        <f t="shared" si="67"/>
        <v>-3.3165056387650704</v>
      </c>
      <c r="R157" s="344">
        <f t="shared" si="68"/>
        <v>-93.946647918012744</v>
      </c>
      <c r="S157" s="346">
        <f t="shared" si="69"/>
        <v>86.053352081987256</v>
      </c>
      <c r="U157" s="319">
        <f t="shared" si="75"/>
        <v>8861.7749999999996</v>
      </c>
      <c r="V157" s="319">
        <f t="shared" si="76"/>
        <v>78531056.15062499</v>
      </c>
      <c r="X157" s="345">
        <f t="shared" si="70"/>
        <v>31.590292458422653</v>
      </c>
      <c r="Y157" s="346">
        <f t="shared" si="71"/>
        <v>-5.612339388527448</v>
      </c>
      <c r="AA157" s="345">
        <f t="shared" si="72"/>
        <v>13.841168706761923</v>
      </c>
      <c r="AB157" s="346">
        <f t="shared" si="73"/>
        <v>-88.334308529485313</v>
      </c>
      <c r="AD157">
        <f t="shared" si="77"/>
        <v>0</v>
      </c>
      <c r="AE157">
        <f t="shared" si="80"/>
        <v>0</v>
      </c>
    </row>
    <row r="158" spans="1:31" x14ac:dyDescent="0.2">
      <c r="A158" s="347">
        <v>8912.5</v>
      </c>
      <c r="B158" s="364">
        <f t="shared" si="74"/>
        <v>8.9124999999999996</v>
      </c>
      <c r="C158" s="337">
        <f t="shared" si="53"/>
        <v>50.040232574347122</v>
      </c>
      <c r="D158" s="338">
        <f t="shared" si="54"/>
        <v>1.5508110765267726</v>
      </c>
      <c r="E158" s="338">
        <f t="shared" si="55"/>
        <v>1.0002508385854176</v>
      </c>
      <c r="F158" s="339">
        <f t="shared" si="56"/>
        <v>2.2395810470196589E-2</v>
      </c>
      <c r="G158" s="338">
        <f t="shared" si="57"/>
        <v>1</v>
      </c>
      <c r="H158" s="339">
        <f t="shared" si="58"/>
        <v>0</v>
      </c>
      <c r="I158" s="337">
        <f t="shared" si="59"/>
        <v>29402.727389103351</v>
      </c>
      <c r="J158" s="340">
        <f t="shared" si="60"/>
        <v>1.5707623163445408</v>
      </c>
      <c r="K158" s="348">
        <f t="shared" ref="K158:K214" si="81">SQRT(1+(A158/Zero2)^2)</f>
        <v>14.544849264891026</v>
      </c>
      <c r="L158" s="349">
        <f t="shared" ref="L158:L214" si="82">ATAN(A158/Zero2)</f>
        <v>1.5019891849472664</v>
      </c>
      <c r="M158" s="337">
        <f t="shared" si="63"/>
        <v>1.0004192832780296</v>
      </c>
      <c r="N158" s="340">
        <f t="shared" si="64"/>
        <v>2.895295603918294E-2</v>
      </c>
      <c r="O158" s="341">
        <f t="shared" si="65"/>
        <v>0.99920675367398293</v>
      </c>
      <c r="P158" s="342">
        <f t="shared" si="66"/>
        <v>1.3372434310729818E-2</v>
      </c>
      <c r="Q158" s="343">
        <f t="shared" si="67"/>
        <v>-3.3662362138143549</v>
      </c>
      <c r="R158" s="344">
        <f t="shared" si="68"/>
        <v>-93.937220602001773</v>
      </c>
      <c r="S158" s="346">
        <f t="shared" si="69"/>
        <v>86.062779397998227</v>
      </c>
      <c r="U158" s="319">
        <f t="shared" si="75"/>
        <v>8912.5</v>
      </c>
      <c r="V158" s="319">
        <f t="shared" si="76"/>
        <v>79432656.25</v>
      </c>
      <c r="X158" s="345">
        <f t="shared" si="70"/>
        <v>31.590015465385214</v>
      </c>
      <c r="Y158" s="346">
        <f t="shared" si="71"/>
        <v>-5.5992923648335911</v>
      </c>
      <c r="AA158" s="345">
        <f t="shared" si="72"/>
        <v>13.791715124750075</v>
      </c>
      <c r="AB158" s="346">
        <f t="shared" si="73"/>
        <v>-88.337928237168171</v>
      </c>
      <c r="AD158">
        <f t="shared" si="77"/>
        <v>0</v>
      </c>
      <c r="AE158">
        <f t="shared" si="80"/>
        <v>0</v>
      </c>
    </row>
    <row r="159" spans="1:31" x14ac:dyDescent="0.2">
      <c r="A159" s="347">
        <v>8964.4</v>
      </c>
      <c r="B159" s="364">
        <f t="shared" si="74"/>
        <v>8.9643999999999995</v>
      </c>
      <c r="C159" s="337">
        <f t="shared" si="53"/>
        <v>50.331514920079847</v>
      </c>
      <c r="D159" s="338">
        <f t="shared" si="54"/>
        <v>1.5509267519446335</v>
      </c>
      <c r="E159" s="338">
        <f t="shared" si="55"/>
        <v>1.0002537681274342</v>
      </c>
      <c r="F159" s="339">
        <f t="shared" si="56"/>
        <v>2.2526183601937765E-2</v>
      </c>
      <c r="G159" s="338">
        <f t="shared" si="57"/>
        <v>1</v>
      </c>
      <c r="H159" s="339">
        <f t="shared" si="58"/>
        <v>0</v>
      </c>
      <c r="I159" s="337">
        <f t="shared" si="59"/>
        <v>29573.94775934003</v>
      </c>
      <c r="J159" s="340">
        <f t="shared" si="60"/>
        <v>1.5707625132503429</v>
      </c>
      <c r="K159" s="348">
        <f t="shared" si="81"/>
        <v>14.629148808699821</v>
      </c>
      <c r="L159" s="349">
        <f t="shared" si="82"/>
        <v>1.5023863032372407</v>
      </c>
      <c r="M159" s="337">
        <f t="shared" si="63"/>
        <v>1.0004241796673796</v>
      </c>
      <c r="N159" s="340">
        <f t="shared" si="64"/>
        <v>2.9121462233475139E-2</v>
      </c>
      <c r="O159" s="341">
        <f t="shared" si="65"/>
        <v>0.99919748906586214</v>
      </c>
      <c r="P159" s="342">
        <f t="shared" si="66"/>
        <v>1.3450435167641933E-2</v>
      </c>
      <c r="Q159" s="343">
        <f t="shared" si="67"/>
        <v>-3.4168234325273223</v>
      </c>
      <c r="R159" s="344">
        <f t="shared" si="68"/>
        <v>-93.927760378559782</v>
      </c>
      <c r="S159" s="346">
        <f t="shared" si="69"/>
        <v>86.072239621440218</v>
      </c>
      <c r="U159" s="319">
        <f t="shared" si="75"/>
        <v>8964.4</v>
      </c>
      <c r="V159" s="319">
        <f t="shared" si="76"/>
        <v>80360467.359999999</v>
      </c>
      <c r="X159" s="345">
        <f t="shared" si="70"/>
        <v>31.589735928507167</v>
      </c>
      <c r="Y159" s="346">
        <f t="shared" si="71"/>
        <v>-5.5862051384618372</v>
      </c>
      <c r="AA159" s="345">
        <f t="shared" si="72"/>
        <v>13.741407442915154</v>
      </c>
      <c r="AB159" s="346">
        <f t="shared" si="73"/>
        <v>-88.341555240097961</v>
      </c>
      <c r="AD159">
        <f t="shared" si="77"/>
        <v>0</v>
      </c>
      <c r="AE159">
        <f t="shared" si="80"/>
        <v>0</v>
      </c>
    </row>
    <row r="160" spans="1:31" x14ac:dyDescent="0.2">
      <c r="A160" s="347">
        <v>9016.2999999999993</v>
      </c>
      <c r="B160" s="364">
        <f t="shared" si="74"/>
        <v>9.0162999999999993</v>
      </c>
      <c r="C160" s="337">
        <f t="shared" si="53"/>
        <v>50.622797931538301</v>
      </c>
      <c r="D160" s="338">
        <f t="shared" si="54"/>
        <v>1.5510410961738961</v>
      </c>
      <c r="E160" s="338">
        <f t="shared" si="55"/>
        <v>1.0002567146708181</v>
      </c>
      <c r="F160" s="339">
        <f t="shared" si="56"/>
        <v>2.2656555967791904E-2</v>
      </c>
      <c r="G160" s="338">
        <f t="shared" si="57"/>
        <v>1</v>
      </c>
      <c r="H160" s="339">
        <f t="shared" si="58"/>
        <v>0</v>
      </c>
      <c r="I160" s="337">
        <f t="shared" si="59"/>
        <v>29745.168129577844</v>
      </c>
      <c r="J160" s="340">
        <f t="shared" si="60"/>
        <v>1.5707627078892703</v>
      </c>
      <c r="K160" s="348">
        <f t="shared" si="81"/>
        <v>14.713450633131897</v>
      </c>
      <c r="L160" s="349">
        <f t="shared" si="82"/>
        <v>1.5027788709501835</v>
      </c>
      <c r="M160" s="337">
        <f t="shared" si="63"/>
        <v>1.0004291044628331</v>
      </c>
      <c r="N160" s="340">
        <f t="shared" si="64"/>
        <v>2.9289966773546686E-2</v>
      </c>
      <c r="O160" s="341">
        <f t="shared" si="65"/>
        <v>0.99918817068458254</v>
      </c>
      <c r="P160" s="342">
        <f t="shared" si="66"/>
        <v>1.3528438280966846E-2</v>
      </c>
      <c r="Q160" s="343">
        <f t="shared" si="67"/>
        <v>-3.4671154098656558</v>
      </c>
      <c r="R160" s="344">
        <f t="shared" si="68"/>
        <v>-93.918484560990692</v>
      </c>
      <c r="S160" s="346">
        <f t="shared" si="69"/>
        <v>86.081515439009308</v>
      </c>
      <c r="U160" s="319">
        <f t="shared" si="75"/>
        <v>9016.2999999999993</v>
      </c>
      <c r="V160" s="319">
        <f t="shared" si="76"/>
        <v>81293665.689999983</v>
      </c>
      <c r="X160" s="345">
        <f t="shared" si="70"/>
        <v>31.589460213938928</v>
      </c>
      <c r="Y160" s="346">
        <f t="shared" si="71"/>
        <v>-5.5733784162864106</v>
      </c>
      <c r="AA160" s="345">
        <f t="shared" si="72"/>
        <v>13.691391180145063</v>
      </c>
      <c r="AB160" s="346">
        <f t="shared" si="73"/>
        <v>-88.34510614470426</v>
      </c>
      <c r="AD160">
        <f t="shared" si="77"/>
        <v>0</v>
      </c>
      <c r="AE160">
        <f t="shared" si="80"/>
        <v>0</v>
      </c>
    </row>
    <row r="161" spans="1:31" x14ac:dyDescent="0.2">
      <c r="A161" s="347">
        <v>9068.2000000000007</v>
      </c>
      <c r="B161" s="364">
        <f t="shared" si="74"/>
        <v>9.0682000000000009</v>
      </c>
      <c r="C161" s="337">
        <f t="shared" si="53"/>
        <v>50.91408159729648</v>
      </c>
      <c r="D161" s="338">
        <f t="shared" si="54"/>
        <v>1.5511541320590641</v>
      </c>
      <c r="E161" s="338">
        <f t="shared" si="55"/>
        <v>1.0002596782154187</v>
      </c>
      <c r="F161" s="339">
        <f t="shared" si="56"/>
        <v>2.278692756333392E-2</v>
      </c>
      <c r="G161" s="338">
        <f t="shared" si="57"/>
        <v>1</v>
      </c>
      <c r="H161" s="339">
        <f t="shared" si="58"/>
        <v>0</v>
      </c>
      <c r="I161" s="337">
        <f t="shared" si="59"/>
        <v>29916.388499816781</v>
      </c>
      <c r="J161" s="340">
        <f t="shared" si="60"/>
        <v>1.570762900300245</v>
      </c>
      <c r="K161" s="348">
        <f t="shared" si="81"/>
        <v>14.79775469920958</v>
      </c>
      <c r="L161" s="349">
        <f t="shared" si="82"/>
        <v>1.5031669657391242</v>
      </c>
      <c r="M161" s="337">
        <f t="shared" si="63"/>
        <v>1.0004340576639699</v>
      </c>
      <c r="N161" s="340">
        <f t="shared" si="64"/>
        <v>2.9458469649853117E-2</v>
      </c>
      <c r="O161" s="341">
        <f t="shared" si="65"/>
        <v>0.99917879853050329</v>
      </c>
      <c r="P161" s="342">
        <f t="shared" si="66"/>
        <v>1.3606443663836027E-2</v>
      </c>
      <c r="Q161" s="343">
        <f t="shared" si="67"/>
        <v>-3.5171155727171572</v>
      </c>
      <c r="R161" s="344">
        <f t="shared" si="68"/>
        <v>-93.909390011686327</v>
      </c>
      <c r="S161" s="346">
        <f t="shared" si="69"/>
        <v>86.090609988313673</v>
      </c>
      <c r="U161" s="319">
        <f t="shared" si="75"/>
        <v>9068.2000000000007</v>
      </c>
      <c r="V161" s="319">
        <f t="shared" si="76"/>
        <v>82232251.24000001</v>
      </c>
      <c r="X161" s="345">
        <f t="shared" si="70"/>
        <v>31.589188229163973</v>
      </c>
      <c r="Y161" s="346">
        <f t="shared" si="71"/>
        <v>-5.5608077507996834</v>
      </c>
      <c r="AA161" s="345">
        <f t="shared" si="72"/>
        <v>13.641663002068519</v>
      </c>
      <c r="AB161" s="346">
        <f t="shared" si="73"/>
        <v>-88.348582260886658</v>
      </c>
      <c r="AD161">
        <f t="shared" si="77"/>
        <v>0</v>
      </c>
      <c r="AE161">
        <f t="shared" si="80"/>
        <v>0</v>
      </c>
    </row>
    <row r="162" spans="1:31" x14ac:dyDescent="0.2">
      <c r="A162" s="347">
        <v>9120.1</v>
      </c>
      <c r="B162" s="364">
        <f t="shared" si="74"/>
        <v>9.1201000000000008</v>
      </c>
      <c r="C162" s="337">
        <f t="shared" si="53"/>
        <v>51.205365906188348</v>
      </c>
      <c r="D162" s="338">
        <f t="shared" si="54"/>
        <v>1.5512658819249683</v>
      </c>
      <c r="E162" s="338">
        <f t="shared" si="55"/>
        <v>1.000262658761085</v>
      </c>
      <c r="F162" s="339">
        <f t="shared" si="56"/>
        <v>2.2917298384138887E-2</v>
      </c>
      <c r="G162" s="338">
        <f t="shared" si="57"/>
        <v>1</v>
      </c>
      <c r="H162" s="339">
        <f t="shared" si="58"/>
        <v>0</v>
      </c>
      <c r="I162" s="337">
        <f t="shared" si="59"/>
        <v>30087.608870056803</v>
      </c>
      <c r="J162" s="340">
        <f t="shared" si="60"/>
        <v>1.570763090521303</v>
      </c>
      <c r="K162" s="348">
        <f t="shared" si="81"/>
        <v>14.882060968837365</v>
      </c>
      <c r="L162" s="349">
        <f t="shared" si="82"/>
        <v>1.5035506635029479</v>
      </c>
      <c r="M162" s="337">
        <f t="shared" si="63"/>
        <v>1.0004390392703688</v>
      </c>
      <c r="N162" s="340">
        <f t="shared" si="64"/>
        <v>2.9626970852850532E-2</v>
      </c>
      <c r="O162" s="341">
        <f t="shared" si="65"/>
        <v>0.99916937260398553</v>
      </c>
      <c r="P162" s="342">
        <f t="shared" si="66"/>
        <v>1.3684451329382112E-2</v>
      </c>
      <c r="Q162" s="343">
        <f t="shared" si="67"/>
        <v>-3.5668272883566061</v>
      </c>
      <c r="R162" s="344">
        <f t="shared" si="68"/>
        <v>-93.900473663718003</v>
      </c>
      <c r="S162" s="346">
        <f t="shared" si="69"/>
        <v>86.099526336281997</v>
      </c>
      <c r="U162" s="319">
        <f t="shared" si="75"/>
        <v>9120.1</v>
      </c>
      <c r="V162" s="319">
        <f t="shared" si="76"/>
        <v>83176224.010000005</v>
      </c>
      <c r="X162" s="345">
        <f t="shared" si="70"/>
        <v>31.588919884278997</v>
      </c>
      <c r="Y162" s="346">
        <f t="shared" si="71"/>
        <v>-5.5484887949483257</v>
      </c>
      <c r="AA162" s="345">
        <f t="shared" si="72"/>
        <v>13.592219631314041</v>
      </c>
      <c r="AB162" s="346">
        <f t="shared" si="73"/>
        <v>-88.351984868769691</v>
      </c>
      <c r="AD162">
        <f t="shared" si="77"/>
        <v>0</v>
      </c>
      <c r="AE162">
        <f t="shared" si="80"/>
        <v>0</v>
      </c>
    </row>
    <row r="163" spans="1:31" x14ac:dyDescent="0.2">
      <c r="A163" s="347">
        <v>9173.2000000000007</v>
      </c>
      <c r="B163" s="364">
        <f t="shared" si="74"/>
        <v>9.1732000000000014</v>
      </c>
      <c r="C163" s="337">
        <f t="shared" si="53"/>
        <v>51.503385766626074</v>
      </c>
      <c r="D163" s="338">
        <f t="shared" si="54"/>
        <v>1.5513789073914714</v>
      </c>
      <c r="E163" s="338">
        <f t="shared" si="55"/>
        <v>1.0002657258161858</v>
      </c>
      <c r="F163" s="339">
        <f t="shared" si="56"/>
        <v>2.3050682752753796E-2</v>
      </c>
      <c r="G163" s="338">
        <f t="shared" si="57"/>
        <v>1</v>
      </c>
      <c r="H163" s="339">
        <f t="shared" si="58"/>
        <v>0</v>
      </c>
      <c r="I163" s="337">
        <f t="shared" si="59"/>
        <v>30262.788092789044</v>
      </c>
      <c r="J163" s="340">
        <f t="shared" si="60"/>
        <v>1.5707632829128486</v>
      </c>
      <c r="K163" s="348">
        <f t="shared" si="81"/>
        <v>14.968318758106903</v>
      </c>
      <c r="L163" s="349">
        <f t="shared" si="82"/>
        <v>1.5039387595616589</v>
      </c>
      <c r="M163" s="337">
        <f t="shared" si="63"/>
        <v>1.0004441654559844</v>
      </c>
      <c r="N163" s="340">
        <f t="shared" si="64"/>
        <v>2.9799366295677039E-2</v>
      </c>
      <c r="O163" s="341">
        <f t="shared" si="65"/>
        <v>0.99915967308559706</v>
      </c>
      <c r="P163" s="342">
        <f t="shared" si="66"/>
        <v>1.3764265016527019E-2</v>
      </c>
      <c r="Q163" s="343">
        <f t="shared" si="67"/>
        <v>-3.6173933303025603</v>
      </c>
      <c r="R163" s="344">
        <f t="shared" si="68"/>
        <v>-93.891532460257068</v>
      </c>
      <c r="S163" s="346">
        <f t="shared" si="69"/>
        <v>86.108467539742932</v>
      </c>
      <c r="U163" s="319">
        <f t="shared" si="75"/>
        <v>9173.2000000000007</v>
      </c>
      <c r="V163" s="319">
        <f t="shared" si="76"/>
        <v>84147598.24000001</v>
      </c>
      <c r="X163" s="345">
        <f t="shared" si="70"/>
        <v>31.588649010875841</v>
      </c>
      <c r="Y163" s="346">
        <f t="shared" si="71"/>
        <v>-5.5361410832292375</v>
      </c>
      <c r="AA163" s="345">
        <f t="shared" si="72"/>
        <v>13.541924462771245</v>
      </c>
      <c r="AB163" s="346">
        <f t="shared" si="73"/>
        <v>-88.355391377027829</v>
      </c>
      <c r="AD163">
        <f t="shared" si="77"/>
        <v>0</v>
      </c>
      <c r="AE163">
        <f t="shared" si="80"/>
        <v>0</v>
      </c>
    </row>
    <row r="164" spans="1:31" x14ac:dyDescent="0.2">
      <c r="A164" s="347">
        <v>9226.2999999999993</v>
      </c>
      <c r="B164" s="364">
        <f t="shared" si="74"/>
        <v>9.2262999999999984</v>
      </c>
      <c r="C164" s="337">
        <f t="shared" si="53"/>
        <v>51.80140627743652</v>
      </c>
      <c r="D164" s="338">
        <f t="shared" si="54"/>
        <v>1.5514906323577347</v>
      </c>
      <c r="E164" s="338">
        <f t="shared" si="55"/>
        <v>1.0002688106672948</v>
      </c>
      <c r="F164" s="339">
        <f t="shared" si="56"/>
        <v>2.3184066301021086E-2</v>
      </c>
      <c r="G164" s="338">
        <f t="shared" si="57"/>
        <v>1</v>
      </c>
      <c r="H164" s="339">
        <f t="shared" si="58"/>
        <v>0</v>
      </c>
      <c r="I164" s="337">
        <f t="shared" si="59"/>
        <v>30437.967315522383</v>
      </c>
      <c r="J164" s="340">
        <f t="shared" si="60"/>
        <v>1.5707634730898574</v>
      </c>
      <c r="K164" s="348">
        <f t="shared" si="81"/>
        <v>15.05457877604756</v>
      </c>
      <c r="L164" s="349">
        <f t="shared" si="82"/>
        <v>1.5043224082369304</v>
      </c>
      <c r="M164" s="337">
        <f t="shared" si="63"/>
        <v>1.0004493213746839</v>
      </c>
      <c r="N164" s="340">
        <f t="shared" si="64"/>
        <v>2.9971759966711704E-2</v>
      </c>
      <c r="O164" s="341">
        <f t="shared" si="65"/>
        <v>0.99914991728020808</v>
      </c>
      <c r="P164" s="342">
        <f t="shared" si="66"/>
        <v>1.3844081120942018E-2</v>
      </c>
      <c r="Q164" s="343">
        <f t="shared" si="67"/>
        <v>-3.6676643781281184</v>
      </c>
      <c r="R164" s="344">
        <f t="shared" si="68"/>
        <v>-93.88277151702431</v>
      </c>
      <c r="S164" s="346">
        <f t="shared" si="69"/>
        <v>86.11722848297569</v>
      </c>
      <c r="U164" s="319">
        <f t="shared" si="75"/>
        <v>9226.2999999999993</v>
      </c>
      <c r="V164" s="319">
        <f t="shared" si="76"/>
        <v>85124611.689999983</v>
      </c>
      <c r="X164" s="345">
        <f t="shared" si="70"/>
        <v>31.588381765234605</v>
      </c>
      <c r="Y164" s="346">
        <f t="shared" si="71"/>
        <v>-5.5240479594115977</v>
      </c>
      <c r="AA164" s="345">
        <f t="shared" si="72"/>
        <v>13.491920660586917</v>
      </c>
      <c r="AB164" s="346">
        <f t="shared" si="73"/>
        <v>-88.35872355761272</v>
      </c>
      <c r="AD164">
        <f t="shared" si="77"/>
        <v>0</v>
      </c>
      <c r="AE164">
        <f t="shared" si="80"/>
        <v>0</v>
      </c>
    </row>
    <row r="165" spans="1:31" x14ac:dyDescent="0.2">
      <c r="A165" s="347">
        <v>9279.4</v>
      </c>
      <c r="B165" s="364">
        <f t="shared" si="74"/>
        <v>9.279399999999999</v>
      </c>
      <c r="C165" s="337">
        <f t="shared" si="53"/>
        <v>52.09942742745887</v>
      </c>
      <c r="D165" s="338">
        <f t="shared" si="54"/>
        <v>1.5516010791384591</v>
      </c>
      <c r="E165" s="338">
        <f t="shared" si="55"/>
        <v>1.000271913314247</v>
      </c>
      <c r="F165" s="339">
        <f t="shared" si="56"/>
        <v>2.331744902420229E-2</v>
      </c>
      <c r="G165" s="338">
        <f t="shared" si="57"/>
        <v>1</v>
      </c>
      <c r="H165" s="339">
        <f t="shared" si="58"/>
        <v>0</v>
      </c>
      <c r="I165" s="337">
        <f t="shared" si="59"/>
        <v>30613.146538256813</v>
      </c>
      <c r="J165" s="340">
        <f t="shared" si="60"/>
        <v>1.5707636610903462</v>
      </c>
      <c r="K165" s="348">
        <f t="shared" si="81"/>
        <v>15.140840984567951</v>
      </c>
      <c r="L165" s="349">
        <f t="shared" si="82"/>
        <v>1.5047016854293433</v>
      </c>
      <c r="M165" s="337">
        <f t="shared" si="63"/>
        <v>1.0004545070260078</v>
      </c>
      <c r="N165" s="340">
        <f t="shared" si="64"/>
        <v>3.0144151855735067E-2</v>
      </c>
      <c r="O165" s="341">
        <f t="shared" si="65"/>
        <v>0.99914010518821239</v>
      </c>
      <c r="P165" s="342">
        <f t="shared" si="66"/>
        <v>1.3923899656695786E-2</v>
      </c>
      <c r="Q165" s="343">
        <f t="shared" si="67"/>
        <v>-3.7176438532471439</v>
      </c>
      <c r="R165" s="344">
        <f t="shared" si="68"/>
        <v>-93.874187766445246</v>
      </c>
      <c r="S165" s="346">
        <f t="shared" si="69"/>
        <v>86.125812233554754</v>
      </c>
      <c r="U165" s="319">
        <f t="shared" si="75"/>
        <v>9279.4</v>
      </c>
      <c r="V165" s="319">
        <f t="shared" si="76"/>
        <v>86107264.359999999</v>
      </c>
      <c r="X165" s="345">
        <f t="shared" si="70"/>
        <v>31.588118059001449</v>
      </c>
      <c r="Y165" s="346">
        <f t="shared" si="71"/>
        <v>-5.512205076305106</v>
      </c>
      <c r="AA165" s="345">
        <f t="shared" si="72"/>
        <v>13.442204891701049</v>
      </c>
      <c r="AB165" s="346">
        <f t="shared" si="73"/>
        <v>-88.361982690140124</v>
      </c>
      <c r="AD165">
        <f t="shared" si="77"/>
        <v>0</v>
      </c>
      <c r="AE165">
        <f t="shared" si="80"/>
        <v>0</v>
      </c>
    </row>
    <row r="166" spans="1:31" x14ac:dyDescent="0.2">
      <c r="A166" s="347">
        <v>9332.5</v>
      </c>
      <c r="B166" s="364">
        <f t="shared" si="74"/>
        <v>9.3324999999999996</v>
      </c>
      <c r="C166" s="337">
        <f t="shared" si="53"/>
        <v>52.397449205786167</v>
      </c>
      <c r="D166" s="338">
        <f t="shared" si="54"/>
        <v>1.5517102695407936</v>
      </c>
      <c r="E166" s="338">
        <f t="shared" si="55"/>
        <v>1.0002750337568773</v>
      </c>
      <c r="F166" s="339">
        <f t="shared" si="56"/>
        <v>2.3450830917559076E-2</v>
      </c>
      <c r="G166" s="338">
        <f t="shared" si="57"/>
        <v>1</v>
      </c>
      <c r="H166" s="339">
        <f t="shared" si="58"/>
        <v>0</v>
      </c>
      <c r="I166" s="337">
        <f t="shared" si="59"/>
        <v>30788.32576099232</v>
      </c>
      <c r="J166" s="340">
        <f t="shared" si="60"/>
        <v>1.5707638469514671</v>
      </c>
      <c r="K166" s="348">
        <f t="shared" si="81"/>
        <v>15.22710534643889</v>
      </c>
      <c r="L166" s="349">
        <f t="shared" si="82"/>
        <v>1.5050766653246122</v>
      </c>
      <c r="M166" s="337">
        <f t="shared" si="63"/>
        <v>1.000459722409494</v>
      </c>
      <c r="N166" s="340">
        <f t="shared" si="64"/>
        <v>3.0316541952528305E-2</v>
      </c>
      <c r="O166" s="341">
        <f t="shared" si="65"/>
        <v>0.99913023681000535</v>
      </c>
      <c r="P166" s="342">
        <f t="shared" si="66"/>
        <v>1.4003720637858321E-2</v>
      </c>
      <c r="Q166" s="343">
        <f t="shared" si="67"/>
        <v>-3.7673351176056897</v>
      </c>
      <c r="R166" s="344">
        <f t="shared" si="68"/>
        <v>-93.865778210069863</v>
      </c>
      <c r="S166" s="346">
        <f t="shared" si="69"/>
        <v>86.134221789930137</v>
      </c>
      <c r="U166" s="319">
        <f t="shared" si="75"/>
        <v>9332.5</v>
      </c>
      <c r="V166" s="319">
        <f t="shared" si="76"/>
        <v>87095556.25</v>
      </c>
      <c r="X166" s="345">
        <f t="shared" si="70"/>
        <v>31.587857806318311</v>
      </c>
      <c r="Y166" s="346">
        <f t="shared" si="71"/>
        <v>-5.5006081849245998</v>
      </c>
      <c r="AA166" s="345">
        <f t="shared" si="72"/>
        <v>13.392773880025645</v>
      </c>
      <c r="AB166" s="346">
        <f t="shared" si="73"/>
        <v>-88.365170025145261</v>
      </c>
      <c r="AD166">
        <f t="shared" si="77"/>
        <v>0</v>
      </c>
      <c r="AE166">
        <f t="shared" si="80"/>
        <v>0</v>
      </c>
    </row>
    <row r="167" spans="1:31" x14ac:dyDescent="0.2">
      <c r="A167" s="347">
        <v>9386.85</v>
      </c>
      <c r="B167" s="364">
        <f t="shared" si="74"/>
        <v>9.3868500000000008</v>
      </c>
      <c r="C167" s="337">
        <f t="shared" si="53"/>
        <v>52.702487202239524</v>
      </c>
      <c r="D167" s="338">
        <f t="shared" si="54"/>
        <v>1.5518207514912141</v>
      </c>
      <c r="E167" s="338">
        <f t="shared" si="55"/>
        <v>1.0002782460850683</v>
      </c>
      <c r="F167" s="339">
        <f t="shared" si="56"/>
        <v>2.3587351821693584E-2</v>
      </c>
      <c r="G167" s="338">
        <f t="shared" si="57"/>
        <v>1</v>
      </c>
      <c r="H167" s="339">
        <f t="shared" si="58"/>
        <v>0</v>
      </c>
      <c r="I167" s="337">
        <f t="shared" si="59"/>
        <v>30967.628788407241</v>
      </c>
      <c r="J167" s="340">
        <f t="shared" si="60"/>
        <v>1.5707640350102396</v>
      </c>
      <c r="K167" s="348">
        <f t="shared" si="81"/>
        <v>15.315402605633533</v>
      </c>
      <c r="L167" s="349">
        <f t="shared" si="82"/>
        <v>1.505456097880691</v>
      </c>
      <c r="M167" s="337">
        <f t="shared" si="63"/>
        <v>1.0004650913554405</v>
      </c>
      <c r="N167" s="340">
        <f t="shared" si="64"/>
        <v>3.0492988329932986E-2</v>
      </c>
      <c r="O167" s="341">
        <f t="shared" si="65"/>
        <v>0.99912007783644485</v>
      </c>
      <c r="P167" s="342">
        <f t="shared" si="66"/>
        <v>1.4085423191123086E-2</v>
      </c>
      <c r="Q167" s="343">
        <f t="shared" si="67"/>
        <v>-3.8179011190343997</v>
      </c>
      <c r="R167" s="344">
        <f t="shared" si="68"/>
        <v>-93.857348023023476</v>
      </c>
      <c r="S167" s="346">
        <f t="shared" si="69"/>
        <v>86.142651976976524</v>
      </c>
      <c r="U167" s="319">
        <f t="shared" si="75"/>
        <v>9386.85</v>
      </c>
      <c r="V167" s="319">
        <f t="shared" si="76"/>
        <v>88112952.922499999</v>
      </c>
      <c r="X167" s="345">
        <f t="shared" si="70"/>
        <v>31.587594916534201</v>
      </c>
      <c r="Y167" s="346">
        <f t="shared" si="71"/>
        <v>-5.488988708547776</v>
      </c>
      <c r="AA167" s="345">
        <f t="shared" si="72"/>
        <v>13.342470768381041</v>
      </c>
      <c r="AB167" s="346">
        <f t="shared" si="73"/>
        <v>-88.368359314475683</v>
      </c>
      <c r="AD167">
        <f t="shared" si="77"/>
        <v>0</v>
      </c>
      <c r="AE167">
        <f t="shared" si="80"/>
        <v>0</v>
      </c>
    </row>
    <row r="168" spans="1:31" x14ac:dyDescent="0.2">
      <c r="A168" s="347">
        <v>9441.2000000000007</v>
      </c>
      <c r="B168" s="364">
        <f t="shared" si="74"/>
        <v>9.4412000000000003</v>
      </c>
      <c r="C168" s="337">
        <f t="shared" si="53"/>
        <v>53.007525834589309</v>
      </c>
      <c r="D168" s="338">
        <f t="shared" si="54"/>
        <v>1.5519299618777376</v>
      </c>
      <c r="E168" s="338">
        <f t="shared" si="55"/>
        <v>1.0002814770562825</v>
      </c>
      <c r="F168" s="339">
        <f t="shared" si="56"/>
        <v>2.3723871846430555E-2</v>
      </c>
      <c r="G168" s="338">
        <f t="shared" si="57"/>
        <v>1</v>
      </c>
      <c r="H168" s="339">
        <f t="shared" si="58"/>
        <v>0</v>
      </c>
      <c r="I168" s="337">
        <f t="shared" si="59"/>
        <v>31146.931815823249</v>
      </c>
      <c r="J168" s="340">
        <f t="shared" si="60"/>
        <v>1.5707642209038224</v>
      </c>
      <c r="K168" s="348">
        <f t="shared" si="81"/>
        <v>15.403702044493773</v>
      </c>
      <c r="L168" s="349">
        <f t="shared" si="82"/>
        <v>1.5058311804084774</v>
      </c>
      <c r="M168" s="337">
        <f t="shared" si="63"/>
        <v>1.0004704914488562</v>
      </c>
      <c r="N168" s="340">
        <f t="shared" si="64"/>
        <v>3.0669432808073244E-2</v>
      </c>
      <c r="O168" s="341">
        <f t="shared" si="65"/>
        <v>0.99910985989631851</v>
      </c>
      <c r="P168" s="342">
        <f t="shared" si="66"/>
        <v>1.4167128336115683E-2</v>
      </c>
      <c r="Q168" s="343">
        <f t="shared" si="67"/>
        <v>-3.8681721228911075</v>
      </c>
      <c r="R168" s="344">
        <f t="shared" si="68"/>
        <v>-93.849094184999231</v>
      </c>
      <c r="S168" s="346">
        <f t="shared" si="69"/>
        <v>86.150905815000769</v>
      </c>
      <c r="U168" s="319">
        <f t="shared" si="75"/>
        <v>9441.2000000000007</v>
      </c>
      <c r="V168" s="319">
        <f t="shared" si="76"/>
        <v>89136257.440000013</v>
      </c>
      <c r="X168" s="345">
        <f t="shared" si="70"/>
        <v>31.587335470447467</v>
      </c>
      <c r="Y168" s="346">
        <f t="shared" si="71"/>
        <v>-5.4776182375570794</v>
      </c>
      <c r="AA168" s="345">
        <f t="shared" si="72"/>
        <v>13.292459210611067</v>
      </c>
      <c r="AB168" s="346">
        <f t="shared" si="73"/>
        <v>-88.371475947442164</v>
      </c>
      <c r="AD168">
        <f t="shared" si="77"/>
        <v>0</v>
      </c>
      <c r="AE168">
        <f t="shared" si="80"/>
        <v>0</v>
      </c>
    </row>
    <row r="169" spans="1:31" x14ac:dyDescent="0.2">
      <c r="A169" s="347">
        <v>9495.5499999999993</v>
      </c>
      <c r="B169" s="364">
        <f t="shared" si="74"/>
        <v>9.4955499999999997</v>
      </c>
      <c r="C169" s="337">
        <f t="shared" si="53"/>
        <v>53.312565091920291</v>
      </c>
      <c r="D169" s="338">
        <f t="shared" si="54"/>
        <v>1.5520379225243115</v>
      </c>
      <c r="E169" s="338">
        <f t="shared" si="55"/>
        <v>1.0002847266703394</v>
      </c>
      <c r="F169" s="339">
        <f t="shared" si="56"/>
        <v>2.386039098668969E-2</v>
      </c>
      <c r="G169" s="338">
        <f t="shared" si="57"/>
        <v>1</v>
      </c>
      <c r="H169" s="339">
        <f t="shared" si="58"/>
        <v>0</v>
      </c>
      <c r="I169" s="337">
        <f t="shared" si="59"/>
        <v>31326.234843240312</v>
      </c>
      <c r="J169" s="340">
        <f t="shared" si="60"/>
        <v>1.5707644046693947</v>
      </c>
      <c r="K169" s="348">
        <f t="shared" si="81"/>
        <v>15.492003625749428</v>
      </c>
      <c r="L169" s="349">
        <f t="shared" si="82"/>
        <v>1.5062019871846126</v>
      </c>
      <c r="M169" s="337">
        <f t="shared" si="63"/>
        <v>1.0004759226892364</v>
      </c>
      <c r="N169" s="340">
        <f t="shared" si="64"/>
        <v>3.0845875375993557E-2</v>
      </c>
      <c r="O169" s="341">
        <f t="shared" si="65"/>
        <v>0.99909958299005841</v>
      </c>
      <c r="P169" s="342">
        <f t="shared" si="66"/>
        <v>1.4248836087927668E-2</v>
      </c>
      <c r="Q169" s="343">
        <f t="shared" si="67"/>
        <v>-3.9181515494878303</v>
      </c>
      <c r="R169" s="344">
        <f t="shared" si="68"/>
        <v>-93.841013693337501</v>
      </c>
      <c r="S169" s="346">
        <f t="shared" si="69"/>
        <v>86.158986306662499</v>
      </c>
      <c r="U169" s="319">
        <f t="shared" si="75"/>
        <v>9495.5499999999993</v>
      </c>
      <c r="V169" s="319">
        <f t="shared" si="76"/>
        <v>90165469.80249998</v>
      </c>
      <c r="X169" s="345">
        <f t="shared" si="70"/>
        <v>31.58707938357793</v>
      </c>
      <c r="Y169" s="346">
        <f t="shared" si="71"/>
        <v>-5.4664925177169614</v>
      </c>
      <c r="AA169" s="345">
        <f t="shared" si="72"/>
        <v>13.242735870883884</v>
      </c>
      <c r="AB169" s="346">
        <f t="shared" si="73"/>
        <v>-88.374521175620544</v>
      </c>
      <c r="AD169">
        <f t="shared" si="77"/>
        <v>0</v>
      </c>
      <c r="AE169">
        <f t="shared" si="80"/>
        <v>0</v>
      </c>
    </row>
    <row r="170" spans="1:31" x14ac:dyDescent="0.2">
      <c r="A170" s="347">
        <v>9549.9</v>
      </c>
      <c r="B170" s="364">
        <f t="shared" si="74"/>
        <v>9.5498999999999992</v>
      </c>
      <c r="C170" s="337">
        <f t="shared" si="53"/>
        <v>53.617604963565633</v>
      </c>
      <c r="D170" s="338">
        <f t="shared" si="54"/>
        <v>1.5521446547583608</v>
      </c>
      <c r="E170" s="338">
        <f t="shared" si="55"/>
        <v>1.0002879949270569</v>
      </c>
      <c r="F170" s="339">
        <f t="shared" si="56"/>
        <v>2.3996909237390899E-2</v>
      </c>
      <c r="G170" s="338">
        <f t="shared" si="57"/>
        <v>1</v>
      </c>
      <c r="H170" s="339">
        <f t="shared" si="58"/>
        <v>0</v>
      </c>
      <c r="I170" s="337">
        <f t="shared" si="59"/>
        <v>31505.537870658427</v>
      </c>
      <c r="J170" s="340">
        <f t="shared" si="60"/>
        <v>1.5707645863432886</v>
      </c>
      <c r="K170" s="348">
        <f t="shared" si="81"/>
        <v>15.580307312974346</v>
      </c>
      <c r="L170" s="349">
        <f t="shared" si="82"/>
        <v>1.5065685908066064</v>
      </c>
      <c r="M170" s="337">
        <f t="shared" si="63"/>
        <v>1.0004813850760743</v>
      </c>
      <c r="N170" s="340">
        <f t="shared" si="64"/>
        <v>3.1022316022739124E-2</v>
      </c>
      <c r="O170" s="341">
        <f t="shared" si="65"/>
        <v>0.99908924711809888</v>
      </c>
      <c r="P170" s="342">
        <f t="shared" si="66"/>
        <v>1.4330546461652081E-2</v>
      </c>
      <c r="Q170" s="343">
        <f t="shared" si="67"/>
        <v>-3.9678427597122368</v>
      </c>
      <c r="R170" s="344">
        <f t="shared" si="68"/>
        <v>-93.833103613088682</v>
      </c>
      <c r="S170" s="346">
        <f t="shared" si="69"/>
        <v>86.166896386911318</v>
      </c>
      <c r="U170" s="319">
        <f t="shared" si="75"/>
        <v>9549.9</v>
      </c>
      <c r="V170" s="319">
        <f t="shared" si="76"/>
        <v>91200590.00999999</v>
      </c>
      <c r="X170" s="345">
        <f t="shared" si="70"/>
        <v>31.586826573832845</v>
      </c>
      <c r="Y170" s="346">
        <f t="shared" si="71"/>
        <v>-5.4556073909505258</v>
      </c>
      <c r="AA170" s="345">
        <f t="shared" si="72"/>
        <v>13.193297470404559</v>
      </c>
      <c r="AB170" s="346">
        <f t="shared" si="73"/>
        <v>-88.377496222138134</v>
      </c>
      <c r="AD170">
        <f t="shared" si="77"/>
        <v>0</v>
      </c>
      <c r="AE170">
        <f t="shared" si="80"/>
        <v>0</v>
      </c>
    </row>
    <row r="171" spans="1:31" x14ac:dyDescent="0.2">
      <c r="A171" s="347">
        <v>9605.5249999999996</v>
      </c>
      <c r="B171" s="364">
        <f t="shared" si="74"/>
        <v>9.6055250000000001</v>
      </c>
      <c r="C171" s="337">
        <f t="shared" si="53"/>
        <v>53.929801409583845</v>
      </c>
      <c r="D171" s="338">
        <f t="shared" si="54"/>
        <v>1.5522526406038974</v>
      </c>
      <c r="E171" s="338">
        <f t="shared" si="55"/>
        <v>1.0002913591576195</v>
      </c>
      <c r="F171" s="339">
        <f t="shared" si="56"/>
        <v>2.4136629151743774E-2</v>
      </c>
      <c r="G171" s="338">
        <f t="shared" si="57"/>
        <v>1</v>
      </c>
      <c r="H171" s="339">
        <f t="shared" si="58"/>
        <v>0</v>
      </c>
      <c r="I171" s="337">
        <f t="shared" si="59"/>
        <v>31689.047178849607</v>
      </c>
      <c r="J171" s="340">
        <f t="shared" si="60"/>
        <v>1.5707647701502767</v>
      </c>
      <c r="K171" s="348">
        <f t="shared" si="81"/>
        <v>15.670684665343556</v>
      </c>
      <c r="L171" s="349">
        <f t="shared" si="82"/>
        <v>1.5069395164388353</v>
      </c>
      <c r="M171" s="337">
        <f t="shared" si="63"/>
        <v>1.0004870078558767</v>
      </c>
      <c r="N171" s="340">
        <f t="shared" si="64"/>
        <v>3.1202893800753966E-2</v>
      </c>
      <c r="O171" s="341">
        <f t="shared" si="65"/>
        <v>0.99907860771989321</v>
      </c>
      <c r="P171" s="342">
        <f t="shared" si="66"/>
        <v>1.4414176414717483E-2</v>
      </c>
      <c r="Q171" s="343">
        <f t="shared" si="67"/>
        <v>-4.0184046878542246</v>
      </c>
      <c r="R171" s="344">
        <f t="shared" si="68"/>
        <v>-93.825181430900003</v>
      </c>
      <c r="S171" s="346">
        <f t="shared" si="69"/>
        <v>86.174818569099997</v>
      </c>
      <c r="U171" s="319">
        <f t="shared" si="75"/>
        <v>9605.5249999999996</v>
      </c>
      <c r="V171" s="319">
        <f t="shared" si="76"/>
        <v>92266110.52562499</v>
      </c>
      <c r="X171" s="345">
        <f t="shared" si="70"/>
        <v>31.586571143504433</v>
      </c>
      <c r="Y171" s="346">
        <f t="shared" si="71"/>
        <v>-5.4447117936169036</v>
      </c>
      <c r="AA171" s="345">
        <f t="shared" si="72"/>
        <v>13.142990972590988</v>
      </c>
      <c r="AB171" s="346">
        <f t="shared" si="73"/>
        <v>-88.380469637283099</v>
      </c>
      <c r="AD171">
        <f t="shared" si="77"/>
        <v>0</v>
      </c>
      <c r="AE171">
        <f t="shared" si="80"/>
        <v>0</v>
      </c>
    </row>
    <row r="172" spans="1:31" x14ac:dyDescent="0.2">
      <c r="A172" s="347">
        <v>9661.15</v>
      </c>
      <c r="B172" s="364">
        <f t="shared" si="74"/>
        <v>9.6611499999999992</v>
      </c>
      <c r="C172" s="337">
        <f t="shared" si="53"/>
        <v>54.241998477235271</v>
      </c>
      <c r="D172" s="338">
        <f t="shared" si="54"/>
        <v>1.5523593833967504</v>
      </c>
      <c r="E172" s="338">
        <f t="shared" si="55"/>
        <v>1.0002947429153928</v>
      </c>
      <c r="F172" s="339">
        <f t="shared" si="56"/>
        <v>2.4276348123546097E-2</v>
      </c>
      <c r="G172" s="338">
        <f t="shared" si="57"/>
        <v>1</v>
      </c>
      <c r="H172" s="339">
        <f t="shared" si="58"/>
        <v>0</v>
      </c>
      <c r="I172" s="337">
        <f t="shared" si="59"/>
        <v>31872.556487041842</v>
      </c>
      <c r="J172" s="340">
        <f t="shared" si="60"/>
        <v>1.5707649518406921</v>
      </c>
      <c r="K172" s="348">
        <f t="shared" si="81"/>
        <v>15.761064149049991</v>
      </c>
      <c r="L172" s="349">
        <f t="shared" si="82"/>
        <v>1.5073061880850331</v>
      </c>
      <c r="M172" s="337">
        <f t="shared" si="63"/>
        <v>1.0004926632595268</v>
      </c>
      <c r="N172" s="340">
        <f t="shared" si="64"/>
        <v>3.1383469543182337E-2</v>
      </c>
      <c r="O172" s="341">
        <f t="shared" si="65"/>
        <v>0.99906790655790678</v>
      </c>
      <c r="P172" s="342">
        <f t="shared" si="66"/>
        <v>1.4497809146148063E-2</v>
      </c>
      <c r="Q172" s="343">
        <f t="shared" si="67"/>
        <v>-4.0686716570963197</v>
      </c>
      <c r="R172" s="344">
        <f t="shared" si="68"/>
        <v>-93.817431737776317</v>
      </c>
      <c r="S172" s="346">
        <f t="shared" si="69"/>
        <v>86.182568262223683</v>
      </c>
      <c r="U172" s="319">
        <f t="shared" si="75"/>
        <v>9661.15</v>
      </c>
      <c r="V172" s="319">
        <f t="shared" si="76"/>
        <v>93337819.32249999</v>
      </c>
      <c r="X172" s="345">
        <f t="shared" si="70"/>
        <v>31.58631897918049</v>
      </c>
      <c r="Y172" s="346">
        <f t="shared" si="71"/>
        <v>-5.434059693828039</v>
      </c>
      <c r="AA172" s="345">
        <f t="shared" si="72"/>
        <v>13.092976167672834</v>
      </c>
      <c r="AB172" s="346">
        <f t="shared" si="73"/>
        <v>-88.38337204394827</v>
      </c>
      <c r="AD172">
        <f t="shared" si="77"/>
        <v>0</v>
      </c>
      <c r="AE172">
        <f t="shared" si="80"/>
        <v>0</v>
      </c>
    </row>
    <row r="173" spans="1:31" x14ac:dyDescent="0.2">
      <c r="A173" s="347">
        <v>9716.7749999999996</v>
      </c>
      <c r="B173" s="364">
        <f t="shared" si="74"/>
        <v>9.7167750000000002</v>
      </c>
      <c r="C173" s="337">
        <f t="shared" si="53"/>
        <v>54.55419615584767</v>
      </c>
      <c r="D173" s="338">
        <f t="shared" si="54"/>
        <v>1.5524649044753447</v>
      </c>
      <c r="E173" s="338">
        <f t="shared" si="55"/>
        <v>1.0002981462001783</v>
      </c>
      <c r="F173" s="339">
        <f t="shared" si="56"/>
        <v>2.4416066147352453E-2</v>
      </c>
      <c r="G173" s="338">
        <f t="shared" si="57"/>
        <v>1</v>
      </c>
      <c r="H173" s="339">
        <f t="shared" si="58"/>
        <v>0</v>
      </c>
      <c r="I173" s="337">
        <f t="shared" si="59"/>
        <v>32056.065795235121</v>
      </c>
      <c r="J173" s="340">
        <f t="shared" si="60"/>
        <v>1.5707651314508844</v>
      </c>
      <c r="K173" s="348">
        <f t="shared" si="81"/>
        <v>15.851445727637199</v>
      </c>
      <c r="L173" s="349">
        <f t="shared" si="82"/>
        <v>1.5076686784117264</v>
      </c>
      <c r="M173" s="337">
        <f t="shared" si="63"/>
        <v>1.0004983512864702</v>
      </c>
      <c r="N173" s="340">
        <f t="shared" si="64"/>
        <v>3.1564043238282574E-2</v>
      </c>
      <c r="O173" s="341">
        <f t="shared" si="65"/>
        <v>0.99905714363261322</v>
      </c>
      <c r="P173" s="342">
        <f t="shared" si="66"/>
        <v>1.4581444672129072E-2</v>
      </c>
      <c r="Q173" s="343">
        <f t="shared" si="67"/>
        <v>-4.1186470859370781</v>
      </c>
      <c r="R173" s="344">
        <f t="shared" si="68"/>
        <v>-93.809851595483295</v>
      </c>
      <c r="S173" s="346">
        <f t="shared" si="69"/>
        <v>86.190148404516705</v>
      </c>
      <c r="U173" s="319">
        <f t="shared" si="75"/>
        <v>9716.7749999999996</v>
      </c>
      <c r="V173" s="319">
        <f t="shared" si="76"/>
        <v>94415716.40062499</v>
      </c>
      <c r="X173" s="345">
        <f t="shared" si="70"/>
        <v>31.586070000107874</v>
      </c>
      <c r="Y173" s="346">
        <f t="shared" si="71"/>
        <v>-5.4236469295086103</v>
      </c>
      <c r="AA173" s="345">
        <f t="shared" si="72"/>
        <v>13.043249717904693</v>
      </c>
      <c r="AB173" s="346">
        <f t="shared" si="73"/>
        <v>-88.386204665974688</v>
      </c>
      <c r="AD173">
        <f t="shared" si="77"/>
        <v>0</v>
      </c>
      <c r="AE173">
        <f t="shared" si="80"/>
        <v>0</v>
      </c>
    </row>
    <row r="174" spans="1:31" x14ac:dyDescent="0.2">
      <c r="A174" s="347">
        <v>9772.4</v>
      </c>
      <c r="B174" s="364">
        <f t="shared" si="74"/>
        <v>9.7723999999999993</v>
      </c>
      <c r="C174" s="337">
        <f t="shared" si="53"/>
        <v>54.866394434991669</v>
      </c>
      <c r="D174" s="338">
        <f t="shared" si="54"/>
        <v>1.55256922469254</v>
      </c>
      <c r="E174" s="338">
        <f t="shared" si="55"/>
        <v>1.0003015690117776</v>
      </c>
      <c r="F174" s="339">
        <f t="shared" si="56"/>
        <v>2.455578321771763E-2</v>
      </c>
      <c r="G174" s="338">
        <f t="shared" si="57"/>
        <v>1</v>
      </c>
      <c r="H174" s="339">
        <f t="shared" si="58"/>
        <v>0</v>
      </c>
      <c r="I174" s="337">
        <f t="shared" si="59"/>
        <v>32239.575103429415</v>
      </c>
      <c r="J174" s="340">
        <f t="shared" si="60"/>
        <v>1.5707653090163758</v>
      </c>
      <c r="K174" s="348">
        <f t="shared" si="81"/>
        <v>15.941829365474645</v>
      </c>
      <c r="L174" s="349">
        <f t="shared" si="82"/>
        <v>1.5080270584419362</v>
      </c>
      <c r="M174" s="337">
        <f t="shared" si="63"/>
        <v>1.0005040719361515</v>
      </c>
      <c r="N174" s="340">
        <f t="shared" si="64"/>
        <v>3.1744614874313813E-2</v>
      </c>
      <c r="O174" s="341">
        <f t="shared" si="65"/>
        <v>0.99904631894448925</v>
      </c>
      <c r="P174" s="342">
        <f t="shared" si="66"/>
        <v>1.4665083008847401E-2</v>
      </c>
      <c r="Q174" s="343">
        <f t="shared" si="67"/>
        <v>-4.1683343335098408</v>
      </c>
      <c r="R174" s="344">
        <f t="shared" si="68"/>
        <v>-93.802438132084433</v>
      </c>
      <c r="S174" s="346">
        <f t="shared" si="69"/>
        <v>86.197561867915567</v>
      </c>
      <c r="U174" s="319">
        <f t="shared" si="75"/>
        <v>9772.4</v>
      </c>
      <c r="V174" s="319">
        <f t="shared" si="76"/>
        <v>95499801.75999999</v>
      </c>
      <c r="X174" s="345">
        <f t="shared" si="70"/>
        <v>31.585824127816359</v>
      </c>
      <c r="Y174" s="346">
        <f t="shared" si="71"/>
        <v>-5.4134694327017954</v>
      </c>
      <c r="AA174" s="345">
        <f t="shared" si="72"/>
        <v>12.993808342623442</v>
      </c>
      <c r="AB174" s="346">
        <f t="shared" si="73"/>
        <v>-88.38896869938263</v>
      </c>
      <c r="AD174">
        <f t="shared" si="77"/>
        <v>0</v>
      </c>
      <c r="AE174">
        <f t="shared" si="80"/>
        <v>0</v>
      </c>
    </row>
    <row r="175" spans="1:31" x14ac:dyDescent="0.2">
      <c r="A175" s="347">
        <v>9829.2999999999993</v>
      </c>
      <c r="B175" s="364">
        <f t="shared" si="74"/>
        <v>9.8292999999999999</v>
      </c>
      <c r="C175" s="337">
        <f t="shared" si="53"/>
        <v>55.185749330346297</v>
      </c>
      <c r="D175" s="338">
        <f t="shared" si="54"/>
        <v>1.5526747148503497</v>
      </c>
      <c r="E175" s="338">
        <f t="shared" si="55"/>
        <v>1.0003050904819384</v>
      </c>
      <c r="F175" s="339">
        <f t="shared" si="56"/>
        <v>2.4698701799568609E-2</v>
      </c>
      <c r="G175" s="338">
        <f t="shared" si="57"/>
        <v>1</v>
      </c>
      <c r="H175" s="339">
        <f t="shared" si="58"/>
        <v>0</v>
      </c>
      <c r="I175" s="337">
        <f t="shared" si="59"/>
        <v>32427.290692396848</v>
      </c>
      <c r="J175" s="340">
        <f t="shared" si="60"/>
        <v>1.5707654885725597</v>
      </c>
      <c r="K175" s="348">
        <f t="shared" si="81"/>
        <v>16.034286812444197</v>
      </c>
      <c r="L175" s="349">
        <f t="shared" si="82"/>
        <v>1.5083894726994915</v>
      </c>
      <c r="M175" s="337">
        <f t="shared" si="63"/>
        <v>1.0005099574631962</v>
      </c>
      <c r="N175" s="340">
        <f t="shared" si="64"/>
        <v>3.1929323313065812E-2</v>
      </c>
      <c r="O175" s="341">
        <f t="shared" si="65"/>
        <v>0.99903518223783228</v>
      </c>
      <c r="P175" s="342">
        <f t="shared" si="66"/>
        <v>1.4750641374006042E-2</v>
      </c>
      <c r="Q175" s="343">
        <f t="shared" si="67"/>
        <v>-4.2188657558265596</v>
      </c>
      <c r="R175" s="344">
        <f t="shared" si="68"/>
        <v>-93.795024268969371</v>
      </c>
      <c r="S175" s="346">
        <f t="shared" si="69"/>
        <v>86.204975731030629</v>
      </c>
      <c r="U175" s="319">
        <f t="shared" si="75"/>
        <v>9829.2999999999993</v>
      </c>
      <c r="V175" s="319">
        <f t="shared" si="76"/>
        <v>96615138.48999998</v>
      </c>
      <c r="X175" s="345">
        <f t="shared" si="70"/>
        <v>31.585575754718622</v>
      </c>
      <c r="Y175" s="346">
        <f t="shared" si="71"/>
        <v>-5.4032979270893398</v>
      </c>
      <c r="AA175" s="345">
        <f t="shared" si="72"/>
        <v>12.943525293404461</v>
      </c>
      <c r="AB175" s="346">
        <f t="shared" si="73"/>
        <v>-88.391726341880016</v>
      </c>
      <c r="AD175">
        <f t="shared" si="77"/>
        <v>0</v>
      </c>
      <c r="AE175">
        <f t="shared" si="80"/>
        <v>0</v>
      </c>
    </row>
    <row r="176" spans="1:31" x14ac:dyDescent="0.2">
      <c r="A176" s="347">
        <v>9886.2000000000007</v>
      </c>
      <c r="B176" s="364">
        <f t="shared" si="74"/>
        <v>9.8862000000000005</v>
      </c>
      <c r="C176" s="337">
        <f t="shared" si="53"/>
        <v>55.505104832750753</v>
      </c>
      <c r="D176" s="338">
        <f t="shared" si="54"/>
        <v>1.5527789911079046</v>
      </c>
      <c r="E176" s="338">
        <f t="shared" si="55"/>
        <v>1.0003086323839081</v>
      </c>
      <c r="F176" s="339">
        <f t="shared" si="56"/>
        <v>2.4841619372243922E-2</v>
      </c>
      <c r="G176" s="338">
        <f t="shared" si="57"/>
        <v>1</v>
      </c>
      <c r="H176" s="339">
        <f t="shared" si="58"/>
        <v>0</v>
      </c>
      <c r="I176" s="337">
        <f t="shared" si="59"/>
        <v>32615.006281365317</v>
      </c>
      <c r="J176" s="340">
        <f t="shared" si="60"/>
        <v>1.570765666061873</v>
      </c>
      <c r="K176" s="348">
        <f t="shared" si="81"/>
        <v>16.126746341274242</v>
      </c>
      <c r="L176" s="349">
        <f t="shared" si="82"/>
        <v>1.5087477313418991</v>
      </c>
      <c r="M176" s="337">
        <f t="shared" si="63"/>
        <v>1.0005158771244442</v>
      </c>
      <c r="N176" s="340">
        <f t="shared" si="64"/>
        <v>3.2114029572424194E-2</v>
      </c>
      <c r="O176" s="341">
        <f t="shared" si="65"/>
        <v>0.99902398090553868</v>
      </c>
      <c r="P176" s="342">
        <f t="shared" si="66"/>
        <v>1.4836202714499038E-2</v>
      </c>
      <c r="Q176" s="343">
        <f t="shared" si="67"/>
        <v>-4.2691025604921284</v>
      </c>
      <c r="R176" s="344">
        <f t="shared" si="68"/>
        <v>-93.787778938704989</v>
      </c>
      <c r="S176" s="346">
        <f t="shared" si="69"/>
        <v>86.212221061295011</v>
      </c>
      <c r="U176" s="319">
        <f t="shared" si="75"/>
        <v>9886.2000000000007</v>
      </c>
      <c r="V176" s="319">
        <f t="shared" si="76"/>
        <v>97736950.440000013</v>
      </c>
      <c r="X176" s="345">
        <f t="shared" si="70"/>
        <v>31.585330473343355</v>
      </c>
      <c r="Y176" s="346">
        <f t="shared" si="71"/>
        <v>-5.3933642773933981</v>
      </c>
      <c r="AA176" s="345">
        <f t="shared" si="72"/>
        <v>12.893533770114164</v>
      </c>
      <c r="AB176" s="346">
        <f t="shared" si="73"/>
        <v>-88.394414661311586</v>
      </c>
      <c r="AD176">
        <f t="shared" si="77"/>
        <v>0</v>
      </c>
      <c r="AE176">
        <f t="shared" si="80"/>
        <v>0</v>
      </c>
    </row>
    <row r="177" spans="1:31" x14ac:dyDescent="0.2">
      <c r="A177" s="347">
        <v>9943.1</v>
      </c>
      <c r="B177" s="364">
        <f t="shared" si="74"/>
        <v>9.9431000000000012</v>
      </c>
      <c r="C177" s="337">
        <f t="shared" si="53"/>
        <v>55.824460931786724</v>
      </c>
      <c r="D177" s="338">
        <f t="shared" si="54"/>
        <v>1.5528820742960669</v>
      </c>
      <c r="E177" s="338">
        <f t="shared" si="55"/>
        <v>1.0003121947174693</v>
      </c>
      <c r="F177" s="339">
        <f t="shared" si="56"/>
        <v>2.4984535929916001E-2</v>
      </c>
      <c r="G177" s="338">
        <f t="shared" si="57"/>
        <v>1</v>
      </c>
      <c r="H177" s="339">
        <f t="shared" si="58"/>
        <v>0</v>
      </c>
      <c r="I177" s="337">
        <f t="shared" si="59"/>
        <v>32802.721870334797</v>
      </c>
      <c r="J177" s="340">
        <f t="shared" si="60"/>
        <v>1.5707658415197994</v>
      </c>
      <c r="K177" s="348">
        <f t="shared" si="81"/>
        <v>16.219207916361079</v>
      </c>
      <c r="L177" s="349">
        <f t="shared" si="82"/>
        <v>1.5091019053467112</v>
      </c>
      <c r="M177" s="337">
        <f t="shared" si="63"/>
        <v>1.0005218309192898</v>
      </c>
      <c r="N177" s="340">
        <f t="shared" si="64"/>
        <v>3.2298733639824717E-2</v>
      </c>
      <c r="O177" s="341">
        <f t="shared" si="65"/>
        <v>0.9990127149481276</v>
      </c>
      <c r="P177" s="342">
        <f t="shared" si="66"/>
        <v>1.492176704765755E-2</v>
      </c>
      <c r="Q177" s="343">
        <f t="shared" si="67"/>
        <v>-4.319048158967508</v>
      </c>
      <c r="R177" s="344">
        <f t="shared" si="68"/>
        <v>-93.780699270737685</v>
      </c>
      <c r="S177" s="346">
        <f t="shared" si="69"/>
        <v>86.219300729262315</v>
      </c>
      <c r="U177" s="319">
        <f t="shared" si="75"/>
        <v>9943.1</v>
      </c>
      <c r="V177" s="319">
        <f t="shared" si="76"/>
        <v>98865237.610000014</v>
      </c>
      <c r="X177" s="345">
        <f t="shared" si="70"/>
        <v>31.585088206623059</v>
      </c>
      <c r="Y177" s="346">
        <f t="shared" si="71"/>
        <v>-5.3836644182129536</v>
      </c>
      <c r="AA177" s="345">
        <f t="shared" si="72"/>
        <v>12.843830438359074</v>
      </c>
      <c r="AB177" s="346">
        <f t="shared" si="73"/>
        <v>-88.397034852524726</v>
      </c>
      <c r="AD177">
        <f t="shared" si="77"/>
        <v>0</v>
      </c>
      <c r="AE177">
        <f t="shared" si="80"/>
        <v>0</v>
      </c>
    </row>
    <row r="178" spans="1:31" x14ac:dyDescent="0.2">
      <c r="A178" s="347">
        <v>10000</v>
      </c>
      <c r="B178" s="364">
        <f t="shared" si="74"/>
        <v>10</v>
      </c>
      <c r="C178" s="337">
        <f t="shared" si="53"/>
        <v>56.143817617273001</v>
      </c>
      <c r="D178" s="338">
        <f t="shared" si="54"/>
        <v>1.5529839847718421</v>
      </c>
      <c r="E178" s="338">
        <f t="shared" si="55"/>
        <v>1.0003157774824039</v>
      </c>
      <c r="F178" s="339">
        <f t="shared" si="56"/>
        <v>2.5127451466757551E-2</v>
      </c>
      <c r="G178" s="338">
        <f t="shared" si="57"/>
        <v>1</v>
      </c>
      <c r="H178" s="339">
        <f t="shared" si="58"/>
        <v>0</v>
      </c>
      <c r="I178" s="337">
        <f t="shared" si="59"/>
        <v>32990.437459305278</v>
      </c>
      <c r="J178" s="340">
        <f t="shared" si="60"/>
        <v>1.5707660149810145</v>
      </c>
      <c r="K178" s="348">
        <f t="shared" si="81"/>
        <v>16.311671502907529</v>
      </c>
      <c r="L178" s="349">
        <f t="shared" si="82"/>
        <v>1.5094520640862719</v>
      </c>
      <c r="M178" s="337">
        <f t="shared" si="63"/>
        <v>1.0005278188471236</v>
      </c>
      <c r="N178" s="340">
        <f t="shared" si="64"/>
        <v>3.2483435502704043E-2</v>
      </c>
      <c r="O178" s="341">
        <f t="shared" si="65"/>
        <v>0.9990013843661214</v>
      </c>
      <c r="P178" s="342">
        <f t="shared" si="66"/>
        <v>1.5007334390814605E-2</v>
      </c>
      <c r="Q178" s="343">
        <f t="shared" si="67"/>
        <v>-4.3687059035274496</v>
      </c>
      <c r="R178" s="344">
        <f t="shared" si="68"/>
        <v>-93.773782459289322</v>
      </c>
      <c r="S178" s="346">
        <f t="shared" si="69"/>
        <v>86.226217540710678</v>
      </c>
      <c r="U178" s="319">
        <f t="shared" si="75"/>
        <v>10000</v>
      </c>
      <c r="V178" s="319">
        <f t="shared" si="76"/>
        <v>100000000</v>
      </c>
      <c r="X178" s="345">
        <f t="shared" si="70"/>
        <v>31.584848879668669</v>
      </c>
      <c r="Y178" s="346">
        <f t="shared" si="71"/>
        <v>-5.3741943760724</v>
      </c>
      <c r="AA178" s="345">
        <f t="shared" si="72"/>
        <v>12.794412020753525</v>
      </c>
      <c r="AB178" s="346">
        <f t="shared" si="73"/>
        <v>-88.399588083216898</v>
      </c>
      <c r="AD178">
        <f t="shared" si="77"/>
        <v>0</v>
      </c>
      <c r="AE178">
        <f t="shared" si="80"/>
        <v>0</v>
      </c>
    </row>
    <row r="179" spans="1:31" x14ac:dyDescent="0.2">
      <c r="A179" s="347">
        <v>10058.25</v>
      </c>
      <c r="B179" s="364">
        <f t="shared" si="74"/>
        <v>10.058249999999999</v>
      </c>
      <c r="C179" s="337">
        <f t="shared" si="53"/>
        <v>56.470751903819121</v>
      </c>
      <c r="D179" s="338">
        <f t="shared" si="54"/>
        <v>1.5530871191513533</v>
      </c>
      <c r="E179" s="338">
        <f t="shared" si="55"/>
        <v>1.0003194664154491</v>
      </c>
      <c r="F179" s="339">
        <f t="shared" si="56"/>
        <v>2.5273756730484508E-2</v>
      </c>
      <c r="G179" s="338">
        <f t="shared" si="57"/>
        <v>1</v>
      </c>
      <c r="H179" s="339">
        <f t="shared" si="58"/>
        <v>0</v>
      </c>
      <c r="I179" s="337">
        <f t="shared" si="59"/>
        <v>33182.606757329668</v>
      </c>
      <c r="J179" s="340">
        <f t="shared" si="60"/>
        <v>1.5707661905247878</v>
      </c>
      <c r="K179" s="348">
        <f t="shared" si="81"/>
        <v>16.40633091333693</v>
      </c>
      <c r="L179" s="349">
        <f t="shared" si="82"/>
        <v>1.5098064421313175</v>
      </c>
      <c r="M179" s="337">
        <f t="shared" si="63"/>
        <v>1.0005339842002496</v>
      </c>
      <c r="N179" s="340">
        <f t="shared" si="64"/>
        <v>3.2672517274755133E-2</v>
      </c>
      <c r="O179" s="341">
        <f t="shared" si="65"/>
        <v>0.99898971801445369</v>
      </c>
      <c r="P179" s="342">
        <f t="shared" si="66"/>
        <v>1.509493502668606E-2</v>
      </c>
      <c r="Q179" s="343">
        <f t="shared" si="67"/>
        <v>-4.4192470794996233</v>
      </c>
      <c r="R179" s="344">
        <f t="shared" si="68"/>
        <v>-93.76686737564161</v>
      </c>
      <c r="S179" s="346">
        <f t="shared" si="69"/>
        <v>86.23313262435839</v>
      </c>
      <c r="U179" s="319">
        <f t="shared" si="75"/>
        <v>10058.25</v>
      </c>
      <c r="V179" s="319">
        <f t="shared" si="76"/>
        <v>101168393.0625</v>
      </c>
      <c r="X179" s="345">
        <f t="shared" si="70"/>
        <v>31.584606843719925</v>
      </c>
      <c r="Y179" s="346">
        <f t="shared" si="71"/>
        <v>-5.3647336551670897</v>
      </c>
      <c r="AA179" s="345">
        <f t="shared" si="72"/>
        <v>12.744112880730093</v>
      </c>
      <c r="AB179" s="346">
        <f t="shared" si="73"/>
        <v>-88.402133720474495</v>
      </c>
      <c r="AD179">
        <f t="shared" si="77"/>
        <v>0</v>
      </c>
      <c r="AE179">
        <f t="shared" si="80"/>
        <v>0</v>
      </c>
    </row>
    <row r="180" spans="1:31" x14ac:dyDescent="0.2">
      <c r="A180" s="347">
        <v>10116.5</v>
      </c>
      <c r="B180" s="364">
        <f t="shared" si="74"/>
        <v>10.1165</v>
      </c>
      <c r="C180" s="337">
        <f t="shared" si="53"/>
        <v>56.797686784112742</v>
      </c>
      <c r="D180" s="338">
        <f t="shared" si="54"/>
        <v>1.5531890662221051</v>
      </c>
      <c r="E180" s="338">
        <f t="shared" si="55"/>
        <v>1.0003231767604046</v>
      </c>
      <c r="F180" s="339">
        <f t="shared" si="56"/>
        <v>2.5420060912007877E-2</v>
      </c>
      <c r="G180" s="338">
        <f t="shared" si="57"/>
        <v>1</v>
      </c>
      <c r="H180" s="339">
        <f t="shared" si="58"/>
        <v>0</v>
      </c>
      <c r="I180" s="337">
        <f t="shared" si="59"/>
        <v>33374.776055355076</v>
      </c>
      <c r="J180" s="340">
        <f t="shared" si="60"/>
        <v>1.5707663640470271</v>
      </c>
      <c r="K180" s="348">
        <f t="shared" si="81"/>
        <v>16.50099236049655</v>
      </c>
      <c r="L180" s="349">
        <f t="shared" si="82"/>
        <v>1.5101567542901004</v>
      </c>
      <c r="M180" s="337">
        <f t="shared" si="63"/>
        <v>1.0005401853239417</v>
      </c>
      <c r="N180" s="340">
        <f t="shared" si="64"/>
        <v>3.2861596709793259E-2</v>
      </c>
      <c r="O180" s="341">
        <f t="shared" si="65"/>
        <v>0.99897798393638482</v>
      </c>
      <c r="P180" s="342">
        <f t="shared" si="66"/>
        <v>1.5182538853847438E-2</v>
      </c>
      <c r="Q180" s="343">
        <f t="shared" si="67"/>
        <v>-4.4694935060061578</v>
      </c>
      <c r="R180" s="344">
        <f t="shared" si="68"/>
        <v>-93.760117217462792</v>
      </c>
      <c r="S180" s="346">
        <f t="shared" si="69"/>
        <v>86.239882782537208</v>
      </c>
      <c r="U180" s="319">
        <f t="shared" si="75"/>
        <v>10116.5</v>
      </c>
      <c r="V180" s="319">
        <f t="shared" si="76"/>
        <v>102343572.25</v>
      </c>
      <c r="X180" s="345">
        <f t="shared" si="70"/>
        <v>31.584367736537548</v>
      </c>
      <c r="Y180" s="346">
        <f t="shared" si="71"/>
        <v>-5.355505642658529</v>
      </c>
      <c r="AA180" s="345">
        <f t="shared" si="72"/>
        <v>12.694105561405935</v>
      </c>
      <c r="AB180" s="346">
        <f t="shared" si="73"/>
        <v>-88.404611574804264</v>
      </c>
      <c r="AD180">
        <f t="shared" si="77"/>
        <v>0</v>
      </c>
      <c r="AE180">
        <f t="shared" si="80"/>
        <v>0</v>
      </c>
    </row>
    <row r="181" spans="1:31" x14ac:dyDescent="0.2">
      <c r="A181" s="347">
        <v>10174.75</v>
      </c>
      <c r="B181" s="364">
        <f t="shared" si="74"/>
        <v>10.17475</v>
      </c>
      <c r="C181" s="337">
        <f t="shared" si="53"/>
        <v>57.124622247959465</v>
      </c>
      <c r="D181" s="338">
        <f t="shared" si="54"/>
        <v>1.5532898463675653</v>
      </c>
      <c r="E181" s="338">
        <f t="shared" si="55"/>
        <v>1.0003269085170321</v>
      </c>
      <c r="F181" s="339">
        <f t="shared" si="56"/>
        <v>2.5566364005076486E-2</v>
      </c>
      <c r="G181" s="338">
        <f t="shared" si="57"/>
        <v>1</v>
      </c>
      <c r="H181" s="339">
        <f t="shared" si="58"/>
        <v>0</v>
      </c>
      <c r="I181" s="337">
        <f t="shared" si="59"/>
        <v>33566.945353381481</v>
      </c>
      <c r="J181" s="340">
        <f t="shared" si="60"/>
        <v>1.5707665355824518</v>
      </c>
      <c r="K181" s="348">
        <f t="shared" si="81"/>
        <v>16.595655809533937</v>
      </c>
      <c r="L181" s="349">
        <f t="shared" si="82"/>
        <v>1.5105030700526865</v>
      </c>
      <c r="M181" s="337">
        <f t="shared" si="63"/>
        <v>1.0005464222175344</v>
      </c>
      <c r="N181" s="340">
        <f t="shared" si="64"/>
        <v>3.3050673794342442E-2</v>
      </c>
      <c r="O181" s="341">
        <f t="shared" si="65"/>
        <v>0.998966182132485</v>
      </c>
      <c r="P181" s="342">
        <f t="shared" si="66"/>
        <v>1.5270145890901143E-2</v>
      </c>
      <c r="Q181" s="343">
        <f t="shared" si="67"/>
        <v>-4.519448595681367</v>
      </c>
      <c r="R181" s="344">
        <f t="shared" si="68"/>
        <v>-93.753529173793268</v>
      </c>
      <c r="S181" s="346">
        <f t="shared" si="69"/>
        <v>86.246470826206732</v>
      </c>
      <c r="U181" s="319">
        <f t="shared" si="75"/>
        <v>10174.75</v>
      </c>
      <c r="V181" s="319">
        <f t="shared" si="76"/>
        <v>103525537.5625</v>
      </c>
      <c r="X181" s="345">
        <f t="shared" si="70"/>
        <v>31.584131484398977</v>
      </c>
      <c r="Y181" s="346">
        <f t="shared" si="71"/>
        <v>-5.3465063582763932</v>
      </c>
      <c r="AA181" s="345">
        <f t="shared" si="72"/>
        <v>12.6443867238693</v>
      </c>
      <c r="AB181" s="346">
        <f t="shared" si="73"/>
        <v>-88.407022815516896</v>
      </c>
      <c r="AD181">
        <f t="shared" si="77"/>
        <v>0</v>
      </c>
      <c r="AE181">
        <f t="shared" si="80"/>
        <v>0</v>
      </c>
    </row>
    <row r="182" spans="1:31" x14ac:dyDescent="0.2">
      <c r="A182" s="347">
        <v>10233</v>
      </c>
      <c r="B182" s="364">
        <f t="shared" si="74"/>
        <v>10.233000000000001</v>
      </c>
      <c r="C182" s="337">
        <f t="shared" si="53"/>
        <v>57.451558285396928</v>
      </c>
      <c r="D182" s="338">
        <f t="shared" si="54"/>
        <v>1.5533894795073186</v>
      </c>
      <c r="E182" s="338">
        <f t="shared" si="55"/>
        <v>1.000330661685092</v>
      </c>
      <c r="F182" s="339">
        <f t="shared" si="56"/>
        <v>2.5712666003439431E-2</v>
      </c>
      <c r="G182" s="338">
        <f t="shared" si="57"/>
        <v>1</v>
      </c>
      <c r="H182" s="339">
        <f t="shared" si="58"/>
        <v>0</v>
      </c>
      <c r="I182" s="337">
        <f t="shared" si="59"/>
        <v>33759.114651408861</v>
      </c>
      <c r="J182" s="340">
        <f t="shared" si="60"/>
        <v>1.570766705164991</v>
      </c>
      <c r="K182" s="348">
        <f t="shared" si="81"/>
        <v>16.690321226386594</v>
      </c>
      <c r="L182" s="349">
        <f t="shared" si="82"/>
        <v>1.5108454573364698</v>
      </c>
      <c r="M182" s="337">
        <f t="shared" si="63"/>
        <v>1.0005526948803591</v>
      </c>
      <c r="N182" s="340">
        <f t="shared" si="64"/>
        <v>3.3239748514927683E-2</v>
      </c>
      <c r="O182" s="341">
        <f t="shared" si="65"/>
        <v>0.99895431260332801</v>
      </c>
      <c r="P182" s="342">
        <f t="shared" si="66"/>
        <v>1.535775615645167E-2</v>
      </c>
      <c r="Q182" s="343">
        <f t="shared" si="67"/>
        <v>-4.5691157019622306</v>
      </c>
      <c r="R182" s="344">
        <f t="shared" si="68"/>
        <v>-93.747100497157163</v>
      </c>
      <c r="S182" s="346">
        <f t="shared" si="69"/>
        <v>86.252899502842837</v>
      </c>
      <c r="U182" s="319">
        <f t="shared" si="75"/>
        <v>10233</v>
      </c>
      <c r="V182" s="319">
        <f t="shared" si="76"/>
        <v>104714289</v>
      </c>
      <c r="X182" s="345">
        <f t="shared" si="70"/>
        <v>31.583898015666744</v>
      </c>
      <c r="Y182" s="346">
        <f t="shared" si="71"/>
        <v>-5.3377319118125568</v>
      </c>
      <c r="AA182" s="345">
        <f t="shared" si="72"/>
        <v>12.594953086320672</v>
      </c>
      <c r="AB182" s="346">
        <f t="shared" si="73"/>
        <v>-88.409368585344609</v>
      </c>
      <c r="AD182">
        <f t="shared" si="77"/>
        <v>0</v>
      </c>
      <c r="AE182">
        <f t="shared" si="80"/>
        <v>0</v>
      </c>
    </row>
    <row r="183" spans="1:31" x14ac:dyDescent="0.2">
      <c r="A183" s="347">
        <v>10292.5</v>
      </c>
      <c r="B183" s="364">
        <f t="shared" si="74"/>
        <v>10.2925</v>
      </c>
      <c r="C183" s="337">
        <f t="shared" si="53"/>
        <v>57.785510699692018</v>
      </c>
      <c r="D183" s="338">
        <f t="shared" si="54"/>
        <v>1.5534900867479942</v>
      </c>
      <c r="E183" s="338">
        <f t="shared" si="55"/>
        <v>1.0003345174985598</v>
      </c>
      <c r="F183" s="339">
        <f t="shared" si="56"/>
        <v>2.5862106392969798E-2</v>
      </c>
      <c r="G183" s="338">
        <f t="shared" si="57"/>
        <v>1</v>
      </c>
      <c r="H183" s="339">
        <f t="shared" si="58"/>
        <v>0</v>
      </c>
      <c r="I183" s="337">
        <f t="shared" si="59"/>
        <v>33955.407754115928</v>
      </c>
      <c r="J183" s="340">
        <f t="shared" si="60"/>
        <v>1.570766876404921</v>
      </c>
      <c r="K183" s="348">
        <f t="shared" si="81"/>
        <v>16.787020086947035</v>
      </c>
      <c r="L183" s="349">
        <f t="shared" si="82"/>
        <v>1.5111912051734702</v>
      </c>
      <c r="M183" s="337">
        <f t="shared" si="63"/>
        <v>1.0005591390778206</v>
      </c>
      <c r="N183" s="340">
        <f t="shared" si="64"/>
        <v>3.34328781783386E-2</v>
      </c>
      <c r="O183" s="341">
        <f t="shared" si="65"/>
        <v>0.99894211844299585</v>
      </c>
      <c r="P183" s="342">
        <f t="shared" si="66"/>
        <v>1.5447249823128154E-2</v>
      </c>
      <c r="Q183" s="343">
        <f t="shared" si="67"/>
        <v>-4.6195547328869093</v>
      </c>
      <c r="R183" s="344">
        <f t="shared" si="68"/>
        <v>-93.74069560731543</v>
      </c>
      <c r="S183" s="346">
        <f t="shared" si="69"/>
        <v>86.25930439268457</v>
      </c>
      <c r="U183" s="319">
        <f t="shared" si="75"/>
        <v>10292.5</v>
      </c>
      <c r="V183" s="319">
        <f t="shared" si="76"/>
        <v>105935556.25</v>
      </c>
      <c r="X183" s="345">
        <f t="shared" si="70"/>
        <v>31.583662338134729</v>
      </c>
      <c r="Y183" s="346">
        <f t="shared" si="71"/>
        <v>-5.3289973459041846</v>
      </c>
      <c r="AA183" s="345">
        <f t="shared" si="72"/>
        <v>12.544749732928002</v>
      </c>
      <c r="AB183" s="346">
        <f t="shared" si="73"/>
        <v>-88.411698261411274</v>
      </c>
      <c r="AD183">
        <f t="shared" si="77"/>
        <v>0</v>
      </c>
      <c r="AE183">
        <f t="shared" si="80"/>
        <v>0</v>
      </c>
    </row>
    <row r="184" spans="1:31" x14ac:dyDescent="0.2">
      <c r="A184" s="347">
        <v>10352</v>
      </c>
      <c r="B184" s="364">
        <f t="shared" si="74"/>
        <v>10.352</v>
      </c>
      <c r="C184" s="337">
        <f t="shared" si="53"/>
        <v>58.119463692159897</v>
      </c>
      <c r="D184" s="338">
        <f t="shared" si="54"/>
        <v>1.5535895378162627</v>
      </c>
      <c r="E184" s="338">
        <f t="shared" si="55"/>
        <v>1.000338395651756</v>
      </c>
      <c r="F184" s="339">
        <f t="shared" si="56"/>
        <v>2.6011545627124141E-2</v>
      </c>
      <c r="G184" s="338">
        <f t="shared" si="57"/>
        <v>1</v>
      </c>
      <c r="H184" s="339">
        <f t="shared" si="58"/>
        <v>0</v>
      </c>
      <c r="I184" s="337">
        <f t="shared" si="59"/>
        <v>34151.700856823983</v>
      </c>
      <c r="J184" s="340">
        <f t="shared" si="60"/>
        <v>1.5707670456763856</v>
      </c>
      <c r="K184" s="348">
        <f t="shared" si="81"/>
        <v>16.883720931267369</v>
      </c>
      <c r="L184" s="349">
        <f t="shared" si="82"/>
        <v>1.5115329925367973</v>
      </c>
      <c r="M184" s="337">
        <f t="shared" si="63"/>
        <v>1.0005656205947226</v>
      </c>
      <c r="N184" s="340">
        <f t="shared" si="64"/>
        <v>3.3626005346821801E-2</v>
      </c>
      <c r="O184" s="341">
        <f t="shared" si="65"/>
        <v>0.99892985362077558</v>
      </c>
      <c r="P184" s="342">
        <f t="shared" si="66"/>
        <v>1.5536746897596657E-2</v>
      </c>
      <c r="Q184" s="343">
        <f t="shared" si="67"/>
        <v>-4.66970017784997</v>
      </c>
      <c r="R184" s="344">
        <f t="shared" si="68"/>
        <v>-93.734451397817637</v>
      </c>
      <c r="S184" s="346">
        <f t="shared" si="69"/>
        <v>86.265548602182363</v>
      </c>
      <c r="U184" s="319">
        <f t="shared" si="75"/>
        <v>10352</v>
      </c>
      <c r="V184" s="319">
        <f t="shared" si="76"/>
        <v>107163904</v>
      </c>
      <c r="X184" s="345">
        <f t="shared" si="70"/>
        <v>31.583429420009978</v>
      </c>
      <c r="Y184" s="346">
        <f t="shared" si="71"/>
        <v>-5.3204894426888272</v>
      </c>
      <c r="AA184" s="345">
        <f t="shared" si="72"/>
        <v>12.494837206089695</v>
      </c>
      <c r="AB184" s="346">
        <f t="shared" si="73"/>
        <v>-88.413961955128812</v>
      </c>
      <c r="AD184">
        <f t="shared" si="77"/>
        <v>0</v>
      </c>
      <c r="AE184">
        <f t="shared" si="80"/>
        <v>0</v>
      </c>
    </row>
    <row r="185" spans="1:31" x14ac:dyDescent="0.2">
      <c r="A185" s="347">
        <v>10411.5</v>
      </c>
      <c r="B185" s="364">
        <f t="shared" si="74"/>
        <v>10.4115</v>
      </c>
      <c r="C185" s="337">
        <f t="shared" si="53"/>
        <v>58.453417252891001</v>
      </c>
      <c r="D185" s="338">
        <f t="shared" si="54"/>
        <v>1.553687852526324</v>
      </c>
      <c r="E185" s="338">
        <f t="shared" si="55"/>
        <v>1.0003422961444204</v>
      </c>
      <c r="F185" s="339">
        <f t="shared" si="56"/>
        <v>2.6160983699241355E-2</v>
      </c>
      <c r="G185" s="338">
        <f t="shared" si="57"/>
        <v>1</v>
      </c>
      <c r="H185" s="339">
        <f t="shared" si="58"/>
        <v>0</v>
      </c>
      <c r="I185" s="337">
        <f t="shared" si="59"/>
        <v>34347.993959533007</v>
      </c>
      <c r="J185" s="340">
        <f t="shared" si="60"/>
        <v>1.5707672130131334</v>
      </c>
      <c r="K185" s="348">
        <f t="shared" si="81"/>
        <v>16.980423725455989</v>
      </c>
      <c r="L185" s="349">
        <f t="shared" si="82"/>
        <v>1.5118708870100963</v>
      </c>
      <c r="M185" s="337">
        <f t="shared" si="63"/>
        <v>1.0005721394303402</v>
      </c>
      <c r="N185" s="340">
        <f t="shared" si="64"/>
        <v>3.3819130006019368E-2</v>
      </c>
      <c r="O185" s="341">
        <f t="shared" si="65"/>
        <v>0.99891751813728935</v>
      </c>
      <c r="P185" s="342">
        <f t="shared" si="66"/>
        <v>1.5626247399692136E-2</v>
      </c>
      <c r="Q185" s="343">
        <f t="shared" si="67"/>
        <v>-4.7195554282672934</v>
      </c>
      <c r="R185" s="344">
        <f t="shared" si="68"/>
        <v>-93.72836513430525</v>
      </c>
      <c r="S185" s="346">
        <f t="shared" si="69"/>
        <v>86.27163486569475</v>
      </c>
      <c r="U185" s="319">
        <f t="shared" si="75"/>
        <v>10411.5</v>
      </c>
      <c r="V185" s="319">
        <f t="shared" si="76"/>
        <v>108399332.25</v>
      </c>
      <c r="X185" s="345">
        <f t="shared" si="70"/>
        <v>31.583199191235309</v>
      </c>
      <c r="Y185" s="346">
        <f t="shared" si="71"/>
        <v>-5.3122043310198572</v>
      </c>
      <c r="AA185" s="345">
        <f t="shared" si="72"/>
        <v>12.445212184447048</v>
      </c>
      <c r="AB185" s="346">
        <f t="shared" si="73"/>
        <v>-88.416160803285379</v>
      </c>
      <c r="AD185">
        <f t="shared" si="77"/>
        <v>0</v>
      </c>
      <c r="AE185">
        <f t="shared" si="80"/>
        <v>0</v>
      </c>
    </row>
    <row r="186" spans="1:31" x14ac:dyDescent="0.2">
      <c r="A186" s="347">
        <v>10471</v>
      </c>
      <c r="B186" s="364">
        <f t="shared" si="74"/>
        <v>10.471</v>
      </c>
      <c r="C186" s="337">
        <f t="shared" si="53"/>
        <v>58.787371372200937</v>
      </c>
      <c r="D186" s="338">
        <f t="shared" si="54"/>
        <v>1.5537850502422321</v>
      </c>
      <c r="E186" s="338">
        <f t="shared" si="55"/>
        <v>1.0003462189762915</v>
      </c>
      <c r="F186" s="339">
        <f t="shared" si="56"/>
        <v>2.6310420602660648E-2</v>
      </c>
      <c r="G186" s="338">
        <f t="shared" si="57"/>
        <v>1</v>
      </c>
      <c r="H186" s="339">
        <f t="shared" si="58"/>
        <v>0</v>
      </c>
      <c r="I186" s="337">
        <f t="shared" si="59"/>
        <v>34544.287062242976</v>
      </c>
      <c r="J186" s="340">
        <f t="shared" si="60"/>
        <v>1.5707673784481457</v>
      </c>
      <c r="K186" s="348">
        <f t="shared" si="81"/>
        <v>17.077128436388296</v>
      </c>
      <c r="L186" s="349">
        <f t="shared" si="82"/>
        <v>1.5122049546497585</v>
      </c>
      <c r="M186" s="337">
        <f t="shared" si="63"/>
        <v>1.0005786955839437</v>
      </c>
      <c r="N186" s="340">
        <f t="shared" si="64"/>
        <v>3.4012252141574488E-2</v>
      </c>
      <c r="O186" s="341">
        <f t="shared" si="65"/>
        <v>0.99890511199316223</v>
      </c>
      <c r="P186" s="342">
        <f t="shared" si="66"/>
        <v>1.5715751349251884E-2</v>
      </c>
      <c r="Q186" s="343">
        <f t="shared" si="67"/>
        <v>-4.7691238168613896</v>
      </c>
      <c r="R186" s="344">
        <f t="shared" si="68"/>
        <v>-93.722434144089704</v>
      </c>
      <c r="S186" s="346">
        <f t="shared" si="69"/>
        <v>86.277565855910296</v>
      </c>
      <c r="U186" s="319">
        <f t="shared" si="75"/>
        <v>10471</v>
      </c>
      <c r="V186" s="319">
        <f t="shared" si="76"/>
        <v>109641841</v>
      </c>
      <c r="X186" s="345">
        <f t="shared" si="70"/>
        <v>31.582971583731883</v>
      </c>
      <c r="Y186" s="346">
        <f t="shared" si="71"/>
        <v>-5.304138227211955</v>
      </c>
      <c r="AA186" s="345">
        <f t="shared" si="72"/>
        <v>12.395871403356367</v>
      </c>
      <c r="AB186" s="346">
        <f t="shared" si="73"/>
        <v>-88.418295916877753</v>
      </c>
      <c r="AD186">
        <f t="shared" si="77"/>
        <v>0</v>
      </c>
      <c r="AE186">
        <f t="shared" si="80"/>
        <v>0</v>
      </c>
    </row>
    <row r="187" spans="1:31" x14ac:dyDescent="0.2">
      <c r="A187" s="347">
        <v>10532</v>
      </c>
      <c r="B187" s="364">
        <f t="shared" si="74"/>
        <v>10.532</v>
      </c>
      <c r="C187" s="337">
        <f t="shared" si="53"/>
        <v>59.129745072893371</v>
      </c>
      <c r="D187" s="338">
        <f t="shared" si="54"/>
        <v>1.5538835585429818</v>
      </c>
      <c r="E187" s="338">
        <f t="shared" si="55"/>
        <v>1.0003502638938746</v>
      </c>
      <c r="F187" s="339">
        <f t="shared" si="56"/>
        <v>2.6463623602736543E-2</v>
      </c>
      <c r="G187" s="338">
        <f t="shared" si="57"/>
        <v>1</v>
      </c>
      <c r="H187" s="339">
        <f t="shared" si="58"/>
        <v>0</v>
      </c>
      <c r="I187" s="337">
        <f t="shared" si="59"/>
        <v>34745.528730568461</v>
      </c>
      <c r="J187" s="340">
        <f t="shared" si="60"/>
        <v>1.570767546113276</v>
      </c>
      <c r="K187" s="348">
        <f t="shared" si="81"/>
        <v>17.176273037152789</v>
      </c>
      <c r="L187" s="349">
        <f t="shared" si="82"/>
        <v>1.5125435389888322</v>
      </c>
      <c r="M187" s="337">
        <f t="shared" si="63"/>
        <v>1.0005854557589919</v>
      </c>
      <c r="N187" s="340">
        <f t="shared" si="64"/>
        <v>3.4210240267491115E-2</v>
      </c>
      <c r="O187" s="341">
        <f t="shared" si="65"/>
        <v>0.99889231973462234</v>
      </c>
      <c r="P187" s="342">
        <f t="shared" si="66"/>
        <v>1.580751530059674E-2</v>
      </c>
      <c r="Q187" s="343">
        <f t="shared" si="67"/>
        <v>-4.8196474564823877</v>
      </c>
      <c r="R187" s="344">
        <f t="shared" si="68"/>
        <v>-93.71651209264823</v>
      </c>
      <c r="S187" s="346">
        <f t="shared" si="69"/>
        <v>86.28348790735177</v>
      </c>
      <c r="U187" s="319">
        <f t="shared" si="75"/>
        <v>10532</v>
      </c>
      <c r="V187" s="319">
        <f t="shared" si="76"/>
        <v>110923024</v>
      </c>
      <c r="X187" s="345">
        <f t="shared" si="70"/>
        <v>31.582740890196902</v>
      </c>
      <c r="Y187" s="346">
        <f t="shared" si="71"/>
        <v>-5.2960922640776706</v>
      </c>
      <c r="AA187" s="345">
        <f t="shared" si="72"/>
        <v>12.345578457270356</v>
      </c>
      <c r="AB187" s="346">
        <f t="shared" si="73"/>
        <v>-88.420419828570559</v>
      </c>
      <c r="AD187">
        <f t="shared" si="77"/>
        <v>0</v>
      </c>
      <c r="AE187">
        <f t="shared" si="80"/>
        <v>0</v>
      </c>
    </row>
    <row r="188" spans="1:31" x14ac:dyDescent="0.2">
      <c r="A188" s="347">
        <v>10593</v>
      </c>
      <c r="B188" s="364">
        <f t="shared" si="74"/>
        <v>10.593</v>
      </c>
      <c r="C188" s="337">
        <f t="shared" si="53"/>
        <v>59.472119340767627</v>
      </c>
      <c r="D188" s="338">
        <f t="shared" si="54"/>
        <v>1.5539809326423648</v>
      </c>
      <c r="E188" s="338">
        <f t="shared" si="55"/>
        <v>1.0003543322906476</v>
      </c>
      <c r="F188" s="339">
        <f t="shared" si="56"/>
        <v>2.6616825360268596E-2</v>
      </c>
      <c r="G188" s="338">
        <f t="shared" si="57"/>
        <v>1</v>
      </c>
      <c r="H188" s="339">
        <f t="shared" si="58"/>
        <v>0</v>
      </c>
      <c r="I188" s="337">
        <f t="shared" si="59"/>
        <v>34946.7703988949</v>
      </c>
      <c r="J188" s="340">
        <f t="shared" si="60"/>
        <v>1.5707677118474002</v>
      </c>
      <c r="K188" s="348">
        <f t="shared" si="81"/>
        <v>17.275419584392726</v>
      </c>
      <c r="L188" s="349">
        <f t="shared" si="82"/>
        <v>1.512878236980632</v>
      </c>
      <c r="M188" s="337">
        <f t="shared" si="63"/>
        <v>1.0005922551557567</v>
      </c>
      <c r="N188" s="340">
        <f t="shared" si="64"/>
        <v>3.440822571036254E-2</v>
      </c>
      <c r="O188" s="341">
        <f t="shared" si="65"/>
        <v>0.99887945320915539</v>
      </c>
      <c r="P188" s="342">
        <f t="shared" si="66"/>
        <v>1.5899282917652052E-2</v>
      </c>
      <c r="Q188" s="343">
        <f t="shared" si="67"/>
        <v>-4.8698764989740271</v>
      </c>
      <c r="R188" s="344">
        <f t="shared" si="68"/>
        <v>-93.710747744408607</v>
      </c>
      <c r="S188" s="346">
        <f t="shared" si="69"/>
        <v>86.289252255591393</v>
      </c>
      <c r="U188" s="319">
        <f t="shared" si="75"/>
        <v>10593</v>
      </c>
      <c r="V188" s="319">
        <f t="shared" si="76"/>
        <v>112211649</v>
      </c>
      <c r="X188" s="345">
        <f t="shared" si="70"/>
        <v>31.582512812943733</v>
      </c>
      <c r="Y188" s="346">
        <f t="shared" si="71"/>
        <v>-5.2882687078745061</v>
      </c>
      <c r="AA188" s="345">
        <f t="shared" si="72"/>
        <v>12.295577492031882</v>
      </c>
      <c r="AB188" s="346">
        <f t="shared" si="73"/>
        <v>-88.422479036534114</v>
      </c>
      <c r="AD188">
        <f t="shared" si="77"/>
        <v>0</v>
      </c>
      <c r="AE188">
        <f t="shared" si="80"/>
        <v>0</v>
      </c>
    </row>
    <row r="189" spans="1:31" x14ac:dyDescent="0.2">
      <c r="A189" s="347">
        <v>10654</v>
      </c>
      <c r="B189" s="364">
        <f t="shared" si="74"/>
        <v>10.654</v>
      </c>
      <c r="C189" s="337">
        <f t="shared" si="53"/>
        <v>59.814494166084138</v>
      </c>
      <c r="D189" s="338">
        <f t="shared" si="54"/>
        <v>1.5540771920148344</v>
      </c>
      <c r="E189" s="338">
        <f t="shared" si="55"/>
        <v>1.0003584241663244</v>
      </c>
      <c r="F189" s="339">
        <f t="shared" si="56"/>
        <v>2.6770025868080492E-2</v>
      </c>
      <c r="G189" s="338">
        <f t="shared" si="57"/>
        <v>1</v>
      </c>
      <c r="H189" s="339">
        <f t="shared" si="58"/>
        <v>0</v>
      </c>
      <c r="I189" s="337">
        <f t="shared" si="59"/>
        <v>35148.012067222298</v>
      </c>
      <c r="J189" s="340">
        <f t="shared" si="60"/>
        <v>1.5707678756836867</v>
      </c>
      <c r="K189" s="348">
        <f t="shared" si="81"/>
        <v>17.374568044785896</v>
      </c>
      <c r="L189" s="349">
        <f t="shared" si="82"/>
        <v>1.51320911508217</v>
      </c>
      <c r="M189" s="337">
        <f t="shared" si="63"/>
        <v>1.0005990937734384</v>
      </c>
      <c r="N189" s="340">
        <f t="shared" si="64"/>
        <v>3.4606208454722266E-2</v>
      </c>
      <c r="O189" s="341">
        <f t="shared" si="65"/>
        <v>0.99886651241744739</v>
      </c>
      <c r="P189" s="342">
        <f t="shared" si="66"/>
        <v>1.5991054221801301E-2</v>
      </c>
      <c r="Q189" s="343">
        <f t="shared" si="67"/>
        <v>-4.9198143521534057</v>
      </c>
      <c r="R189" s="344">
        <f t="shared" si="68"/>
        <v>-93.705138410119105</v>
      </c>
      <c r="S189" s="346">
        <f t="shared" si="69"/>
        <v>86.294861589880895</v>
      </c>
      <c r="U189" s="319">
        <f t="shared" si="75"/>
        <v>10654</v>
      </c>
      <c r="V189" s="319">
        <f t="shared" si="76"/>
        <v>113507716</v>
      </c>
      <c r="X189" s="345">
        <f t="shared" si="70"/>
        <v>31.582287284660708</v>
      </c>
      <c r="Y189" s="346">
        <f t="shared" si="71"/>
        <v>-5.2806637519103594</v>
      </c>
      <c r="AA189" s="345">
        <f t="shared" si="72"/>
        <v>12.245865167135531</v>
      </c>
      <c r="AB189" s="346">
        <f t="shared" si="73"/>
        <v>-88.424474658208766</v>
      </c>
      <c r="AD189">
        <f t="shared" si="77"/>
        <v>0</v>
      </c>
      <c r="AE189">
        <f t="shared" si="80"/>
        <v>0</v>
      </c>
    </row>
    <row r="190" spans="1:31" x14ac:dyDescent="0.2">
      <c r="A190" s="347">
        <v>10715</v>
      </c>
      <c r="B190" s="364">
        <f t="shared" si="74"/>
        <v>10.715</v>
      </c>
      <c r="C190" s="337">
        <f t="shared" si="53"/>
        <v>60.156869539325101</v>
      </c>
      <c r="D190" s="338">
        <f t="shared" si="54"/>
        <v>1.5541723556915819</v>
      </c>
      <c r="E190" s="338">
        <f t="shared" si="55"/>
        <v>1.0003625395206168</v>
      </c>
      <c r="F190" s="339">
        <f t="shared" si="56"/>
        <v>2.6923225118996256E-2</v>
      </c>
      <c r="G190" s="338">
        <f t="shared" si="57"/>
        <v>1</v>
      </c>
      <c r="H190" s="339">
        <f t="shared" si="58"/>
        <v>0</v>
      </c>
      <c r="I190" s="337">
        <f t="shared" si="59"/>
        <v>35349.253735550621</v>
      </c>
      <c r="J190" s="340">
        <f t="shared" si="60"/>
        <v>1.5707680376545483</v>
      </c>
      <c r="K190" s="348">
        <f t="shared" si="81"/>
        <v>17.473718385765757</v>
      </c>
      <c r="L190" s="349">
        <f t="shared" si="82"/>
        <v>1.5135362382454722</v>
      </c>
      <c r="M190" s="337">
        <f t="shared" si="63"/>
        <v>1.0006059716112328</v>
      </c>
      <c r="N190" s="340">
        <f t="shared" si="64"/>
        <v>3.4804188485105046E-2</v>
      </c>
      <c r="O190" s="341">
        <f t="shared" si="65"/>
        <v>0.99885349736018836</v>
      </c>
      <c r="P190" s="342">
        <f t="shared" si="66"/>
        <v>1.6082829234430607E-2</v>
      </c>
      <c r="Q190" s="343">
        <f t="shared" si="67"/>
        <v>-4.9694643647812535</v>
      </c>
      <c r="R190" s="344">
        <f t="shared" si="68"/>
        <v>-93.69968146131724</v>
      </c>
      <c r="S190" s="346">
        <f t="shared" si="69"/>
        <v>86.30031853868276</v>
      </c>
      <c r="U190" s="319">
        <f t="shared" si="75"/>
        <v>10715</v>
      </c>
      <c r="V190" s="319">
        <f t="shared" si="76"/>
        <v>114811225</v>
      </c>
      <c r="X190" s="345">
        <f t="shared" si="70"/>
        <v>31.582064239940859</v>
      </c>
      <c r="Y190" s="346">
        <f t="shared" si="71"/>
        <v>-5.2732736756793139</v>
      </c>
      <c r="AA190" s="345">
        <f t="shared" si="72"/>
        <v>12.196438199227531</v>
      </c>
      <c r="AB190" s="346">
        <f t="shared" si="73"/>
        <v>-88.42640778563792</v>
      </c>
      <c r="AD190">
        <f t="shared" si="77"/>
        <v>0</v>
      </c>
      <c r="AE190">
        <f t="shared" si="80"/>
        <v>0</v>
      </c>
    </row>
    <row r="191" spans="1:31" x14ac:dyDescent="0.2">
      <c r="A191" s="347">
        <v>10777.5</v>
      </c>
      <c r="B191" s="364">
        <f t="shared" si="74"/>
        <v>10.7775</v>
      </c>
      <c r="C191" s="337">
        <f t="shared" si="53"/>
        <v>60.507664537695547</v>
      </c>
      <c r="D191" s="338">
        <f t="shared" si="54"/>
        <v>1.5542687424643438</v>
      </c>
      <c r="E191" s="338">
        <f t="shared" si="55"/>
        <v>1.0003667804235712</v>
      </c>
      <c r="F191" s="339">
        <f t="shared" si="56"/>
        <v>2.7080190253466137E-2</v>
      </c>
      <c r="G191" s="338">
        <f t="shared" si="57"/>
        <v>1</v>
      </c>
      <c r="H191" s="339">
        <f t="shared" si="58"/>
        <v>0</v>
      </c>
      <c r="I191" s="337">
        <f t="shared" si="59"/>
        <v>35555.443969494532</v>
      </c>
      <c r="J191" s="340">
        <f t="shared" si="60"/>
        <v>1.5707682017066262</v>
      </c>
      <c r="K191" s="348">
        <f t="shared" si="81"/>
        <v>17.575308767123705</v>
      </c>
      <c r="L191" s="349">
        <f t="shared" si="82"/>
        <v>1.5138675772266081</v>
      </c>
      <c r="M191" s="337">
        <f t="shared" si="63"/>
        <v>1.0006130592539546</v>
      </c>
      <c r="N191" s="340">
        <f t="shared" si="64"/>
        <v>3.5007034045817009E-2</v>
      </c>
      <c r="O191" s="341">
        <f t="shared" si="65"/>
        <v>0.99884008523395584</v>
      </c>
      <c r="P191" s="342">
        <f t="shared" si="66"/>
        <v>1.6176864878421054E-2</v>
      </c>
      <c r="Q191" s="343">
        <f t="shared" si="67"/>
        <v>-5.0200401757792026</v>
      </c>
      <c r="R191" s="344">
        <f t="shared" si="68"/>
        <v>-93.694245691185984</v>
      </c>
      <c r="S191" s="346">
        <f t="shared" si="69"/>
        <v>86.305754308814016</v>
      </c>
      <c r="U191" s="319">
        <f t="shared" si="75"/>
        <v>10777.5</v>
      </c>
      <c r="V191" s="319">
        <f t="shared" si="76"/>
        <v>116154506.25</v>
      </c>
      <c r="X191" s="345">
        <f t="shared" si="70"/>
        <v>31.581838219976355</v>
      </c>
      <c r="Y191" s="346">
        <f t="shared" si="71"/>
        <v>-5.2659209444771031</v>
      </c>
      <c r="AA191" s="345">
        <f t="shared" si="72"/>
        <v>12.146088408194085</v>
      </c>
      <c r="AB191" s="346">
        <f t="shared" si="73"/>
        <v>-88.428324746708881</v>
      </c>
      <c r="AD191">
        <f t="shared" si="77"/>
        <v>0</v>
      </c>
      <c r="AE191">
        <f t="shared" si="80"/>
        <v>0</v>
      </c>
    </row>
    <row r="192" spans="1:31" x14ac:dyDescent="0.2">
      <c r="A192" s="347">
        <v>10840</v>
      </c>
      <c r="B192" s="364">
        <f t="shared" si="74"/>
        <v>10.84</v>
      </c>
      <c r="C192" s="337">
        <f t="shared" si="53"/>
        <v>60.858460091726506</v>
      </c>
      <c r="D192" s="338">
        <f t="shared" si="54"/>
        <v>1.5543640180678575</v>
      </c>
      <c r="E192" s="338">
        <f t="shared" si="55"/>
        <v>1.0003710459734068</v>
      </c>
      <c r="F192" s="339">
        <f t="shared" si="56"/>
        <v>2.7237154053214745E-2</v>
      </c>
      <c r="G192" s="338">
        <f t="shared" si="57"/>
        <v>1</v>
      </c>
      <c r="H192" s="339">
        <f t="shared" si="58"/>
        <v>0</v>
      </c>
      <c r="I192" s="337">
        <f t="shared" si="59"/>
        <v>35761.634203439382</v>
      </c>
      <c r="J192" s="340">
        <f t="shared" si="60"/>
        <v>1.5707683638669598</v>
      </c>
      <c r="K192" s="348">
        <f t="shared" si="81"/>
        <v>17.67690105581784</v>
      </c>
      <c r="L192" s="349">
        <f t="shared" si="82"/>
        <v>1.5141951077154587</v>
      </c>
      <c r="M192" s="337">
        <f t="shared" si="63"/>
        <v>1.0006201880676386</v>
      </c>
      <c r="N192" s="340">
        <f t="shared" si="64"/>
        <v>3.520987672457121E-2</v>
      </c>
      <c r="O192" s="341">
        <f t="shared" si="65"/>
        <v>0.99882659514634087</v>
      </c>
      <c r="P192" s="342">
        <f t="shared" si="66"/>
        <v>1.6270904460980555E-2</v>
      </c>
      <c r="Q192" s="343">
        <f t="shared" si="67"/>
        <v>-5.0703207492493245</v>
      </c>
      <c r="R192" s="344">
        <f t="shared" si="68"/>
        <v>-93.688964494905193</v>
      </c>
      <c r="S192" s="346">
        <f t="shared" si="69"/>
        <v>86.311035505094807</v>
      </c>
      <c r="U192" s="319">
        <f t="shared" si="75"/>
        <v>10840</v>
      </c>
      <c r="V192" s="319">
        <f t="shared" si="76"/>
        <v>117505600</v>
      </c>
      <c r="X192" s="345">
        <f t="shared" si="70"/>
        <v>31.58161467405958</v>
      </c>
      <c r="Y192" s="346">
        <f t="shared" si="71"/>
        <v>-5.2587861502964159</v>
      </c>
      <c r="AA192" s="345">
        <f t="shared" si="72"/>
        <v>12.096031380640737</v>
      </c>
      <c r="AB192" s="346">
        <f t="shared" si="73"/>
        <v>-88.430178344608791</v>
      </c>
      <c r="AD192">
        <f t="shared" si="77"/>
        <v>0</v>
      </c>
      <c r="AE192">
        <f t="shared" si="80"/>
        <v>0</v>
      </c>
    </row>
    <row r="193" spans="1:31" x14ac:dyDescent="0.2">
      <c r="A193" s="347">
        <v>10902.5</v>
      </c>
      <c r="B193" s="364">
        <f t="shared" si="74"/>
        <v>10.9025</v>
      </c>
      <c r="C193" s="337">
        <f t="shared" si="53"/>
        <v>61.20925619186437</v>
      </c>
      <c r="D193" s="338">
        <f t="shared" si="54"/>
        <v>1.5544582016050297</v>
      </c>
      <c r="E193" s="338">
        <f t="shared" si="55"/>
        <v>1.0003753361698078</v>
      </c>
      <c r="F193" s="339">
        <f t="shared" si="56"/>
        <v>2.7394116510524768E-2</v>
      </c>
      <c r="G193" s="338">
        <f t="shared" si="57"/>
        <v>1</v>
      </c>
      <c r="H193" s="339">
        <f t="shared" si="58"/>
        <v>0</v>
      </c>
      <c r="I193" s="337">
        <f t="shared" si="59"/>
        <v>35967.824437385163</v>
      </c>
      <c r="J193" s="340">
        <f t="shared" si="60"/>
        <v>1.5707685241680831</v>
      </c>
      <c r="K193" s="348">
        <f t="shared" si="81"/>
        <v>17.778495219150688</v>
      </c>
      <c r="L193" s="349">
        <f t="shared" si="82"/>
        <v>1.5145188949313564</v>
      </c>
      <c r="M193" s="337">
        <f t="shared" si="63"/>
        <v>1.0006273580514053</v>
      </c>
      <c r="N193" s="340">
        <f t="shared" si="64"/>
        <v>3.5412716504737457E-2</v>
      </c>
      <c r="O193" s="341">
        <f t="shared" si="65"/>
        <v>0.9988130270980986</v>
      </c>
      <c r="P193" s="342">
        <f t="shared" si="66"/>
        <v>1.6364948005120734E-2</v>
      </c>
      <c r="Q193" s="343">
        <f t="shared" si="67"/>
        <v>-5.1203095030140853</v>
      </c>
      <c r="R193" s="344">
        <f t="shared" si="68"/>
        <v>-93.683835232870223</v>
      </c>
      <c r="S193" s="346">
        <f t="shared" si="69"/>
        <v>86.316164767129777</v>
      </c>
      <c r="U193" s="319">
        <f t="shared" si="75"/>
        <v>10902.5</v>
      </c>
      <c r="V193" s="319">
        <f t="shared" si="76"/>
        <v>118864506.25</v>
      </c>
      <c r="X193" s="345">
        <f t="shared" si="70"/>
        <v>31.581393537647582</v>
      </c>
      <c r="Y193" s="346">
        <f t="shared" si="71"/>
        <v>-5.2518655572559876</v>
      </c>
      <c r="AA193" s="345">
        <f t="shared" si="72"/>
        <v>12.046263763287982</v>
      </c>
      <c r="AB193" s="346">
        <f t="shared" si="73"/>
        <v>-88.431969675614241</v>
      </c>
      <c r="AD193">
        <f t="shared" si="77"/>
        <v>0</v>
      </c>
      <c r="AE193">
        <f t="shared" si="80"/>
        <v>0</v>
      </c>
    </row>
    <row r="194" spans="1:31" x14ac:dyDescent="0.2">
      <c r="A194" s="347">
        <v>10965</v>
      </c>
      <c r="B194" s="364">
        <f t="shared" si="74"/>
        <v>10.965</v>
      </c>
      <c r="C194" s="337">
        <f t="shared" si="53"/>
        <v>61.560052828773273</v>
      </c>
      <c r="D194" s="338">
        <f t="shared" si="54"/>
        <v>1.5545513117434184</v>
      </c>
      <c r="E194" s="338">
        <f t="shared" si="55"/>
        <v>1.0003796510124572</v>
      </c>
      <c r="F194" s="339">
        <f t="shared" si="56"/>
        <v>2.755107761767929E-2</v>
      </c>
      <c r="G194" s="338">
        <f t="shared" si="57"/>
        <v>1</v>
      </c>
      <c r="H194" s="339">
        <f t="shared" si="58"/>
        <v>0</v>
      </c>
      <c r="I194" s="337">
        <f t="shared" si="59"/>
        <v>36174.014671331861</v>
      </c>
      <c r="J194" s="340">
        <f t="shared" si="60"/>
        <v>1.5707686826417879</v>
      </c>
      <c r="K194" s="348">
        <f t="shared" si="81"/>
        <v>17.880091225167316</v>
      </c>
      <c r="L194" s="349">
        <f t="shared" si="82"/>
        <v>1.5148390026144898</v>
      </c>
      <c r="M194" s="337">
        <f t="shared" si="63"/>
        <v>1.0006345692043692</v>
      </c>
      <c r="N194" s="340">
        <f t="shared" si="64"/>
        <v>3.5615553369686956E-2</v>
      </c>
      <c r="O194" s="341">
        <f t="shared" si="65"/>
        <v>0.99879938108998856</v>
      </c>
      <c r="P194" s="342">
        <f t="shared" si="66"/>
        <v>1.645899553385622E-2</v>
      </c>
      <c r="Q194" s="343">
        <f t="shared" si="67"/>
        <v>-5.1700097956231179</v>
      </c>
      <c r="R194" s="344">
        <f t="shared" si="68"/>
        <v>-93.678855325239084</v>
      </c>
      <c r="S194" s="346">
        <f t="shared" si="69"/>
        <v>86.321144674760916</v>
      </c>
      <c r="U194" s="319">
        <f t="shared" si="75"/>
        <v>10965</v>
      </c>
      <c r="V194" s="319">
        <f t="shared" si="76"/>
        <v>120231225</v>
      </c>
      <c r="X194" s="345">
        <f t="shared" si="70"/>
        <v>31.581174748026335</v>
      </c>
      <c r="Y194" s="346">
        <f t="shared" si="71"/>
        <v>-5.2451555141807802</v>
      </c>
      <c r="AA194" s="345">
        <f t="shared" si="72"/>
        <v>11.996782260300192</v>
      </c>
      <c r="AB194" s="346">
        <f t="shared" si="73"/>
        <v>-88.433699811058304</v>
      </c>
      <c r="AD194">
        <f t="shared" si="77"/>
        <v>0</v>
      </c>
      <c r="AE194">
        <f t="shared" si="80"/>
        <v>0</v>
      </c>
    </row>
    <row r="195" spans="1:31" x14ac:dyDescent="0.2">
      <c r="A195" s="347">
        <v>11028.75</v>
      </c>
      <c r="B195" s="364">
        <f t="shared" si="74"/>
        <v>11.02875</v>
      </c>
      <c r="C195" s="337">
        <f t="shared" si="53"/>
        <v>61.917865941940434</v>
      </c>
      <c r="D195" s="338">
        <f t="shared" si="54"/>
        <v>1.5546451971878323</v>
      </c>
      <c r="E195" s="338">
        <f t="shared" si="55"/>
        <v>1.0003840775421942</v>
      </c>
      <c r="F195" s="339">
        <f t="shared" si="56"/>
        <v>2.7711176548044166E-2</v>
      </c>
      <c r="G195" s="338">
        <f t="shared" si="57"/>
        <v>1</v>
      </c>
      <c r="H195" s="339">
        <f t="shared" si="58"/>
        <v>0</v>
      </c>
      <c r="I195" s="337">
        <f t="shared" si="59"/>
        <v>36384.328709958412</v>
      </c>
      <c r="J195" s="340">
        <f t="shared" si="60"/>
        <v>1.5707688424345805</v>
      </c>
      <c r="K195" s="348">
        <f t="shared" si="81"/>
        <v>17.983721017249689</v>
      </c>
      <c r="L195" s="349">
        <f t="shared" si="82"/>
        <v>1.5151617864014812</v>
      </c>
      <c r="M195" s="337">
        <f t="shared" si="63"/>
        <v>1.0006419669919768</v>
      </c>
      <c r="N195" s="340">
        <f t="shared" si="64"/>
        <v>3.5822443951435468E-2</v>
      </c>
      <c r="O195" s="341">
        <f t="shared" si="65"/>
        <v>0.99878538184825294</v>
      </c>
      <c r="P195" s="342">
        <f t="shared" si="66"/>
        <v>1.6554928141967341E-2</v>
      </c>
      <c r="Q195" s="343">
        <f t="shared" si="67"/>
        <v>-5.2204103440980933</v>
      </c>
      <c r="R195" s="344">
        <f t="shared" si="68"/>
        <v>-93.673927069422035</v>
      </c>
      <c r="S195" s="346">
        <f t="shared" si="69"/>
        <v>86.326072930577965</v>
      </c>
      <c r="U195" s="319">
        <f t="shared" si="75"/>
        <v>11028.75</v>
      </c>
      <c r="V195" s="319">
        <f t="shared" si="76"/>
        <v>121633326.5625</v>
      </c>
      <c r="X195" s="345">
        <f t="shared" si="70"/>
        <v>31.580953937079379</v>
      </c>
      <c r="Y195" s="346">
        <f t="shared" si="71"/>
        <v>-5.2385244780911471</v>
      </c>
      <c r="AA195" s="345">
        <f t="shared" si="72"/>
        <v>11.946602522772176</v>
      </c>
      <c r="AB195" s="346">
        <f t="shared" si="73"/>
        <v>-88.435402591330842</v>
      </c>
      <c r="AD195">
        <f t="shared" si="77"/>
        <v>0</v>
      </c>
      <c r="AE195">
        <f t="shared" si="80"/>
        <v>0</v>
      </c>
    </row>
    <row r="196" spans="1:31" x14ac:dyDescent="0.2">
      <c r="A196" s="347">
        <v>11092.5</v>
      </c>
      <c r="B196" s="364">
        <f t="shared" si="74"/>
        <v>11.092499999999999</v>
      </c>
      <c r="C196" s="337">
        <f t="shared" si="53"/>
        <v>62.275679594609549</v>
      </c>
      <c r="D196" s="338">
        <f t="shared" si="54"/>
        <v>1.5547380037690757</v>
      </c>
      <c r="E196" s="338">
        <f t="shared" si="55"/>
        <v>1.0003885297132158</v>
      </c>
      <c r="F196" s="339">
        <f t="shared" si="56"/>
        <v>2.7871274057490604E-2</v>
      </c>
      <c r="G196" s="338">
        <f t="shared" si="57"/>
        <v>1</v>
      </c>
      <c r="H196" s="339">
        <f t="shared" si="58"/>
        <v>0</v>
      </c>
      <c r="I196" s="337">
        <f t="shared" si="59"/>
        <v>36594.642748585888</v>
      </c>
      <c r="J196" s="340">
        <f t="shared" si="60"/>
        <v>1.5707690003906742</v>
      </c>
      <c r="K196" s="348">
        <f t="shared" si="81"/>
        <v>18.087352661574045</v>
      </c>
      <c r="L196" s="349">
        <f t="shared" si="82"/>
        <v>1.5154808714363737</v>
      </c>
      <c r="M196" s="337">
        <f t="shared" si="63"/>
        <v>1.0006494076101411</v>
      </c>
      <c r="N196" s="340">
        <f t="shared" si="64"/>
        <v>3.6029331465249885E-2</v>
      </c>
      <c r="O196" s="341">
        <f t="shared" si="65"/>
        <v>0.99877130149868132</v>
      </c>
      <c r="P196" s="342">
        <f t="shared" si="66"/>
        <v>1.6650864944028659E-2</v>
      </c>
      <c r="Q196" s="343">
        <f t="shared" si="67"/>
        <v>-5.2705176534163236</v>
      </c>
      <c r="R196" s="344">
        <f t="shared" si="68"/>
        <v>-93.669148962876989</v>
      </c>
      <c r="S196" s="346">
        <f t="shared" si="69"/>
        <v>86.330851037123011</v>
      </c>
      <c r="U196" s="319">
        <f t="shared" si="75"/>
        <v>11092.5</v>
      </c>
      <c r="V196" s="319">
        <f t="shared" si="76"/>
        <v>123043556.25</v>
      </c>
      <c r="X196" s="345">
        <f t="shared" si="70"/>
        <v>31.580735441482904</v>
      </c>
      <c r="Y196" s="346">
        <f t="shared" si="71"/>
        <v>-5.2321050838717307</v>
      </c>
      <c r="AA196" s="345">
        <f t="shared" si="72"/>
        <v>11.896713709050415</v>
      </c>
      <c r="AB196" s="346">
        <f t="shared" si="73"/>
        <v>-88.437043879005259</v>
      </c>
      <c r="AD196">
        <f t="shared" si="77"/>
        <v>0</v>
      </c>
      <c r="AE196">
        <f t="shared" si="80"/>
        <v>0</v>
      </c>
    </row>
    <row r="197" spans="1:31" x14ac:dyDescent="0.2">
      <c r="A197" s="347">
        <v>11156.25</v>
      </c>
      <c r="B197" s="364">
        <f t="shared" si="74"/>
        <v>11.15625</v>
      </c>
      <c r="C197" s="337">
        <f t="shared" si="53"/>
        <v>62.633493777534397</v>
      </c>
      <c r="D197" s="338">
        <f t="shared" si="54"/>
        <v>1.5548297499756052</v>
      </c>
      <c r="E197" s="338">
        <f t="shared" si="55"/>
        <v>1.0003930075251801</v>
      </c>
      <c r="F197" s="339">
        <f t="shared" si="56"/>
        <v>2.8031370137830639E-2</v>
      </c>
      <c r="G197" s="338">
        <f t="shared" si="57"/>
        <v>1</v>
      </c>
      <c r="H197" s="339">
        <f t="shared" si="58"/>
        <v>0</v>
      </c>
      <c r="I197" s="337">
        <f t="shared" si="59"/>
        <v>36804.956787214258</v>
      </c>
      <c r="J197" s="340">
        <f t="shared" si="60"/>
        <v>1.5707691565415554</v>
      </c>
      <c r="K197" s="348">
        <f t="shared" si="81"/>
        <v>18.19098612648445</v>
      </c>
      <c r="L197" s="349">
        <f t="shared" si="82"/>
        <v>1.5157963208686465</v>
      </c>
      <c r="M197" s="337">
        <f t="shared" si="63"/>
        <v>1.000656891057907</v>
      </c>
      <c r="N197" s="340">
        <f t="shared" si="64"/>
        <v>3.6236215893488244E-2</v>
      </c>
      <c r="O197" s="341">
        <f t="shared" si="65"/>
        <v>0.99875714004209415</v>
      </c>
      <c r="P197" s="342">
        <f t="shared" si="66"/>
        <v>1.6746805964473171E-2</v>
      </c>
      <c r="Q197" s="343">
        <f t="shared" si="67"/>
        <v>-5.3203351057953121</v>
      </c>
      <c r="R197" s="344">
        <f t="shared" si="68"/>
        <v>-93.664518449378221</v>
      </c>
      <c r="S197" s="346">
        <f t="shared" si="69"/>
        <v>86.335481550621779</v>
      </c>
      <c r="U197" s="319">
        <f t="shared" si="75"/>
        <v>11156.25</v>
      </c>
      <c r="V197" s="319">
        <f t="shared" si="76"/>
        <v>124461914.0625</v>
      </c>
      <c r="X197" s="345">
        <f t="shared" si="70"/>
        <v>31.580519200175054</v>
      </c>
      <c r="Y197" s="346">
        <f t="shared" si="71"/>
        <v>-5.225893714117106</v>
      </c>
      <c r="AA197" s="345">
        <f t="shared" si="72"/>
        <v>11.847112497979278</v>
      </c>
      <c r="AB197" s="346">
        <f t="shared" si="73"/>
        <v>-88.438624735261115</v>
      </c>
      <c r="AD197">
        <f t="shared" si="77"/>
        <v>0</v>
      </c>
      <c r="AE197">
        <f t="shared" si="80"/>
        <v>0</v>
      </c>
    </row>
    <row r="198" spans="1:31" x14ac:dyDescent="0.2">
      <c r="A198" s="347">
        <v>11220</v>
      </c>
      <c r="B198" s="364">
        <f t="shared" si="74"/>
        <v>11.22</v>
      </c>
      <c r="C198" s="337">
        <f t="shared" si="53"/>
        <v>62.991308481678814</v>
      </c>
      <c r="D198" s="338">
        <f t="shared" si="54"/>
        <v>1.5549204538758634</v>
      </c>
      <c r="E198" s="338">
        <f t="shared" si="55"/>
        <v>1.0003975109777421</v>
      </c>
      <c r="F198" s="339">
        <f t="shared" si="56"/>
        <v>2.8191464780876759E-2</v>
      </c>
      <c r="G198" s="338">
        <f t="shared" si="57"/>
        <v>1</v>
      </c>
      <c r="H198" s="339">
        <f t="shared" si="58"/>
        <v>0</v>
      </c>
      <c r="I198" s="337">
        <f t="shared" si="59"/>
        <v>37015.27082584353</v>
      </c>
      <c r="J198" s="340">
        <f t="shared" si="60"/>
        <v>1.5707693109179948</v>
      </c>
      <c r="K198" s="348">
        <f t="shared" si="81"/>
        <v>18.294621381041708</v>
      </c>
      <c r="L198" s="349">
        <f t="shared" si="82"/>
        <v>1.5161081964197956</v>
      </c>
      <c r="M198" s="337">
        <f t="shared" si="63"/>
        <v>1.0006644173343138</v>
      </c>
      <c r="N198" s="340">
        <f t="shared" si="64"/>
        <v>3.6443097218510183E-2</v>
      </c>
      <c r="O198" s="341">
        <f t="shared" si="65"/>
        <v>0.99874289747931633</v>
      </c>
      <c r="P198" s="342">
        <f t="shared" si="66"/>
        <v>1.6842751227737186E-2</v>
      </c>
      <c r="Q198" s="343">
        <f t="shared" si="67"/>
        <v>-5.369866025012656</v>
      </c>
      <c r="R198" s="344">
        <f t="shared" si="68"/>
        <v>-93.660033030411498</v>
      </c>
      <c r="S198" s="346">
        <f t="shared" si="69"/>
        <v>86.339966969588502</v>
      </c>
      <c r="U198" s="319">
        <f t="shared" si="75"/>
        <v>11220</v>
      </c>
      <c r="V198" s="319">
        <f t="shared" si="76"/>
        <v>125888400</v>
      </c>
      <c r="X198" s="345">
        <f t="shared" si="70"/>
        <v>31.580305153819058</v>
      </c>
      <c r="Y198" s="346">
        <f t="shared" si="71"/>
        <v>-5.2198868331983403</v>
      </c>
      <c r="AA198" s="345">
        <f t="shared" si="72"/>
        <v>11.797795625117928</v>
      </c>
      <c r="AB198" s="346">
        <f t="shared" si="73"/>
        <v>-88.440146197213139</v>
      </c>
      <c r="AD198">
        <f t="shared" si="77"/>
        <v>0</v>
      </c>
      <c r="AE198">
        <f t="shared" si="80"/>
        <v>0</v>
      </c>
    </row>
    <row r="199" spans="1:31" x14ac:dyDescent="0.2">
      <c r="A199" s="347">
        <v>11285.5</v>
      </c>
      <c r="B199" s="364">
        <f t="shared" si="74"/>
        <v>11.285500000000001</v>
      </c>
      <c r="C199" s="337">
        <f t="shared" si="53"/>
        <v>63.358946083846924</v>
      </c>
      <c r="D199" s="338">
        <f t="shared" si="54"/>
        <v>1.5550125806291921</v>
      </c>
      <c r="E199" s="338">
        <f t="shared" si="55"/>
        <v>1.0004021647601766</v>
      </c>
      <c r="F199" s="339">
        <f t="shared" si="56"/>
        <v>2.8355952673206567E-2</v>
      </c>
      <c r="G199" s="338">
        <f t="shared" si="57"/>
        <v>1</v>
      </c>
      <c r="H199" s="339">
        <f t="shared" si="58"/>
        <v>0</v>
      </c>
      <c r="I199" s="337">
        <f t="shared" si="59"/>
        <v>37231.358191024308</v>
      </c>
      <c r="J199" s="340">
        <f t="shared" si="60"/>
        <v>1.5707694677156498</v>
      </c>
      <c r="K199" s="348">
        <f t="shared" si="81"/>
        <v>18.401103357169635</v>
      </c>
      <c r="L199" s="349">
        <f t="shared" si="82"/>
        <v>1.5164249742789839</v>
      </c>
      <c r="M199" s="337">
        <f t="shared" si="63"/>
        <v>1.0006721948216806</v>
      </c>
      <c r="N199" s="340">
        <f t="shared" si="64"/>
        <v>3.6655654388023845E-2</v>
      </c>
      <c r="O199" s="341">
        <f t="shared" si="65"/>
        <v>0.9987281794686832</v>
      </c>
      <c r="P199" s="342">
        <f t="shared" si="66"/>
        <v>1.6941334727352323E-2</v>
      </c>
      <c r="Q199" s="343">
        <f t="shared" si="67"/>
        <v>-5.4204616101264467</v>
      </c>
      <c r="R199" s="344">
        <f t="shared" si="68"/>
        <v>-93.655573039185995</v>
      </c>
      <c r="S199" s="346">
        <f t="shared" si="69"/>
        <v>86.344426960814005</v>
      </c>
      <c r="U199" s="319">
        <f t="shared" si="75"/>
        <v>11285.5</v>
      </c>
      <c r="V199" s="319">
        <f t="shared" si="76"/>
        <v>127362510.25</v>
      </c>
      <c r="X199" s="345">
        <f t="shared" si="70"/>
        <v>31.580087457235976</v>
      </c>
      <c r="Y199" s="346">
        <f t="shared" si="71"/>
        <v>-5.213924411379101</v>
      </c>
      <c r="AA199" s="345">
        <f t="shared" si="72"/>
        <v>11.747417736587222</v>
      </c>
      <c r="AB199" s="346">
        <f t="shared" si="73"/>
        <v>-88.441648627806913</v>
      </c>
      <c r="AD199">
        <f t="shared" si="77"/>
        <v>0</v>
      </c>
      <c r="AE199">
        <f t="shared" si="80"/>
        <v>0</v>
      </c>
    </row>
    <row r="200" spans="1:31" x14ac:dyDescent="0.2">
      <c r="A200" s="347">
        <v>11351</v>
      </c>
      <c r="B200" s="364">
        <f t="shared" si="74"/>
        <v>11.351000000000001</v>
      </c>
      <c r="C200" s="337">
        <f t="shared" si="53"/>
        <v>63.726584217559335</v>
      </c>
      <c r="D200" s="338">
        <f t="shared" si="54"/>
        <v>1.5551036444263404</v>
      </c>
      <c r="E200" s="338">
        <f t="shared" si="55"/>
        <v>1.0004068456095065</v>
      </c>
      <c r="F200" s="339">
        <f t="shared" si="56"/>
        <v>2.8520439030726895E-2</v>
      </c>
      <c r="G200" s="338">
        <f t="shared" si="57"/>
        <v>1</v>
      </c>
      <c r="H200" s="339">
        <f t="shared" si="58"/>
        <v>0</v>
      </c>
      <c r="I200" s="337">
        <f t="shared" si="59"/>
        <v>37447.445556205988</v>
      </c>
      <c r="J200" s="340">
        <f t="shared" si="60"/>
        <v>1.5707696227037293</v>
      </c>
      <c r="K200" s="348">
        <f t="shared" si="81"/>
        <v>18.507587158567677</v>
      </c>
      <c r="L200" s="349">
        <f t="shared" si="82"/>
        <v>1.516738106992821</v>
      </c>
      <c r="M200" s="337">
        <f t="shared" si="63"/>
        <v>1.0006800175192641</v>
      </c>
      <c r="N200" s="340">
        <f t="shared" si="64"/>
        <v>3.6868208243859668E-2</v>
      </c>
      <c r="O200" s="341">
        <f t="shared" si="65"/>
        <v>0.99871337583963393</v>
      </c>
      <c r="P200" s="342">
        <f t="shared" si="66"/>
        <v>1.7039922758234835E-2</v>
      </c>
      <c r="Q200" s="343">
        <f t="shared" si="67"/>
        <v>-5.4707616449666743</v>
      </c>
      <c r="R200" s="344">
        <f t="shared" si="68"/>
        <v>-93.651261050521882</v>
      </c>
      <c r="S200" s="346">
        <f t="shared" si="69"/>
        <v>86.348738949478118</v>
      </c>
      <c r="U200" s="319">
        <f t="shared" si="75"/>
        <v>11351</v>
      </c>
      <c r="V200" s="319">
        <f t="shared" si="76"/>
        <v>128845201</v>
      </c>
      <c r="X200" s="345">
        <f t="shared" si="70"/>
        <v>31.579871956114594</v>
      </c>
      <c r="Y200" s="346">
        <f t="shared" si="71"/>
        <v>-5.2081705474636353</v>
      </c>
      <c r="AA200" s="345">
        <f t="shared" si="72"/>
        <v>11.697333202868375</v>
      </c>
      <c r="AB200" s="346">
        <f t="shared" si="73"/>
        <v>-88.443090503058258</v>
      </c>
      <c r="AD200">
        <f t="shared" si="77"/>
        <v>0</v>
      </c>
      <c r="AE200">
        <f t="shared" si="80"/>
        <v>0</v>
      </c>
    </row>
    <row r="201" spans="1:31" x14ac:dyDescent="0.2">
      <c r="A201" s="347">
        <v>11416.5</v>
      </c>
      <c r="B201" s="364">
        <f t="shared" si="74"/>
        <v>11.416499999999999</v>
      </c>
      <c r="C201" s="337">
        <f t="shared" si="53"/>
        <v>64.094222873669395</v>
      </c>
      <c r="D201" s="338">
        <f t="shared" si="54"/>
        <v>1.5551936635568462</v>
      </c>
      <c r="E201" s="338">
        <f t="shared" si="55"/>
        <v>1.0004115535253524</v>
      </c>
      <c r="F201" s="339">
        <f t="shared" si="56"/>
        <v>2.8684923844558726E-2</v>
      </c>
      <c r="G201" s="338">
        <f t="shared" si="57"/>
        <v>1</v>
      </c>
      <c r="H201" s="339">
        <f t="shared" si="58"/>
        <v>0</v>
      </c>
      <c r="I201" s="337">
        <f t="shared" si="59"/>
        <v>37663.532921388571</v>
      </c>
      <c r="J201" s="340">
        <f t="shared" si="60"/>
        <v>1.5707697759133794</v>
      </c>
      <c r="K201" s="348">
        <f t="shared" si="81"/>
        <v>18.614072753910879</v>
      </c>
      <c r="L201" s="349">
        <f t="shared" si="82"/>
        <v>1.517047657057756</v>
      </c>
      <c r="M201" s="337">
        <f t="shared" si="63"/>
        <v>1.0006878854260035</v>
      </c>
      <c r="N201" s="340">
        <f t="shared" si="64"/>
        <v>3.7080758766889571E-2</v>
      </c>
      <c r="O201" s="341">
        <f t="shared" si="65"/>
        <v>0.99869848659307947</v>
      </c>
      <c r="P201" s="342">
        <f t="shared" si="66"/>
        <v>1.7138515346900213E-2</v>
      </c>
      <c r="Q201" s="343">
        <f t="shared" si="67"/>
        <v>-5.5207695506286534</v>
      </c>
      <c r="R201" s="344">
        <f t="shared" si="68"/>
        <v>-93.647094534266287</v>
      </c>
      <c r="S201" s="346">
        <f t="shared" si="69"/>
        <v>86.352905465733713</v>
      </c>
      <c r="U201" s="319">
        <f t="shared" si="75"/>
        <v>11416.5</v>
      </c>
      <c r="V201" s="319">
        <f t="shared" si="76"/>
        <v>130336472.25</v>
      </c>
      <c r="X201" s="345">
        <f t="shared" si="70"/>
        <v>31.579658591409185</v>
      </c>
      <c r="Y201" s="346">
        <f t="shared" si="71"/>
        <v>-5.2026216613577594</v>
      </c>
      <c r="AA201" s="345">
        <f t="shared" si="72"/>
        <v>11.64753866191181</v>
      </c>
      <c r="AB201" s="346">
        <f t="shared" si="73"/>
        <v>-88.444472872908491</v>
      </c>
      <c r="AD201">
        <f t="shared" si="77"/>
        <v>0</v>
      </c>
      <c r="AE201">
        <f t="shared" si="80"/>
        <v>0</v>
      </c>
    </row>
    <row r="202" spans="1:31" x14ac:dyDescent="0.2">
      <c r="A202" s="347">
        <v>11482</v>
      </c>
      <c r="B202" s="364">
        <f t="shared" si="74"/>
        <v>11.481999999999999</v>
      </c>
      <c r="C202" s="337">
        <f t="shared" si="53"/>
        <v>64.461862043239094</v>
      </c>
      <c r="D202" s="338">
        <f t="shared" si="54"/>
        <v>1.5552826558930797</v>
      </c>
      <c r="E202" s="338">
        <f t="shared" si="55"/>
        <v>1.0004162885073313</v>
      </c>
      <c r="F202" s="339">
        <f t="shared" si="56"/>
        <v>2.8849407105823576E-2</v>
      </c>
      <c r="G202" s="338">
        <f t="shared" si="57"/>
        <v>1</v>
      </c>
      <c r="H202" s="339">
        <f t="shared" si="58"/>
        <v>0</v>
      </c>
      <c r="I202" s="337">
        <f t="shared" si="59"/>
        <v>37879.620286572012</v>
      </c>
      <c r="J202" s="340">
        <f t="shared" si="60"/>
        <v>1.5707699273750357</v>
      </c>
      <c r="K202" s="348">
        <f t="shared" si="81"/>
        <v>18.720560112586483</v>
      </c>
      <c r="L202" s="349">
        <f t="shared" si="82"/>
        <v>1.5173536855510383</v>
      </c>
      <c r="M202" s="337">
        <f t="shared" si="63"/>
        <v>1.0006957985408329</v>
      </c>
      <c r="N202" s="340">
        <f t="shared" si="64"/>
        <v>3.7293305937987305E-2</v>
      </c>
      <c r="O202" s="341">
        <f t="shared" si="65"/>
        <v>0.99868351172993586</v>
      </c>
      <c r="P202" s="342">
        <f t="shared" si="66"/>
        <v>1.7237112519867686E-2</v>
      </c>
      <c r="Q202" s="343">
        <f t="shared" si="67"/>
        <v>-5.5704886888860425</v>
      </c>
      <c r="R202" s="344">
        <f t="shared" si="68"/>
        <v>-93.643071017637979</v>
      </c>
      <c r="S202" s="346">
        <f t="shared" si="69"/>
        <v>86.356928982362021</v>
      </c>
      <c r="U202" s="319">
        <f t="shared" si="75"/>
        <v>11482</v>
      </c>
      <c r="V202" s="319">
        <f t="shared" si="76"/>
        <v>131836324</v>
      </c>
      <c r="X202" s="345">
        <f t="shared" si="70"/>
        <v>31.579447305749131</v>
      </c>
      <c r="Y202" s="346">
        <f t="shared" si="71"/>
        <v>-5.1972742542408428</v>
      </c>
      <c r="AA202" s="345">
        <f t="shared" si="72"/>
        <v>11.598030809314468</v>
      </c>
      <c r="AB202" s="346">
        <f t="shared" si="73"/>
        <v>-88.445796763397126</v>
      </c>
      <c r="AD202">
        <f t="shared" si="77"/>
        <v>0</v>
      </c>
      <c r="AE202">
        <f t="shared" si="80"/>
        <v>0</v>
      </c>
    </row>
    <row r="203" spans="1:31" x14ac:dyDescent="0.2">
      <c r="A203" s="347">
        <v>11548.75</v>
      </c>
      <c r="B203" s="364">
        <f t="shared" si="74"/>
        <v>11.54875</v>
      </c>
      <c r="C203" s="337">
        <f t="shared" si="53"/>
        <v>64.836517746703535</v>
      </c>
      <c r="D203" s="338">
        <f t="shared" si="54"/>
        <v>1.555372308264702</v>
      </c>
      <c r="E203" s="338">
        <f t="shared" si="55"/>
        <v>1.0004211416970201</v>
      </c>
      <c r="F203" s="339">
        <f t="shared" si="56"/>
        <v>2.9017027754138731E-2</v>
      </c>
      <c r="G203" s="338">
        <f t="shared" si="57"/>
        <v>1</v>
      </c>
      <c r="H203" s="339">
        <f t="shared" si="58"/>
        <v>0</v>
      </c>
      <c r="I203" s="337">
        <f t="shared" si="59"/>
        <v>38099.831456435422</v>
      </c>
      <c r="J203" s="340">
        <f t="shared" si="60"/>
        <v>1.5707700799596249</v>
      </c>
      <c r="K203" s="348">
        <f t="shared" si="81"/>
        <v>18.829081455919003</v>
      </c>
      <c r="L203" s="349">
        <f t="shared" si="82"/>
        <v>1.517661993063359</v>
      </c>
      <c r="M203" s="337">
        <f t="shared" si="63"/>
        <v>1.0007039091786405</v>
      </c>
      <c r="N203" s="340">
        <f t="shared" si="64"/>
        <v>3.7509905884512938E-2</v>
      </c>
      <c r="O203" s="341">
        <f t="shared" si="65"/>
        <v>0.99866816300487882</v>
      </c>
      <c r="P203" s="342">
        <f t="shared" si="66"/>
        <v>1.7337596062101109E-2</v>
      </c>
      <c r="Q203" s="343">
        <f t="shared" si="67"/>
        <v>-5.620862999764924</v>
      </c>
      <c r="R203" s="344">
        <f t="shared" si="68"/>
        <v>-93.639115333307032</v>
      </c>
      <c r="S203" s="346">
        <f t="shared" si="69"/>
        <v>86.360884666692968</v>
      </c>
      <c r="U203" s="319">
        <f t="shared" si="75"/>
        <v>11548.75</v>
      </c>
      <c r="V203" s="319">
        <f t="shared" si="76"/>
        <v>133373626.5625</v>
      </c>
      <c r="X203" s="345">
        <f t="shared" si="70"/>
        <v>31.579234069143279</v>
      </c>
      <c r="Y203" s="346">
        <f t="shared" si="71"/>
        <v>-5.1920285402183488</v>
      </c>
      <c r="AA203" s="345">
        <f t="shared" si="72"/>
        <v>11.547869735041443</v>
      </c>
      <c r="AB203" s="346">
        <f t="shared" si="73"/>
        <v>-88.447086793088701</v>
      </c>
      <c r="AD203">
        <f t="shared" si="77"/>
        <v>0</v>
      </c>
      <c r="AE203">
        <f t="shared" si="80"/>
        <v>0</v>
      </c>
    </row>
    <row r="204" spans="1:31" x14ac:dyDescent="0.2">
      <c r="A204" s="347">
        <v>11615.5</v>
      </c>
      <c r="B204" s="364">
        <f t="shared" si="74"/>
        <v>11.615500000000001</v>
      </c>
      <c r="C204" s="337">
        <f t="shared" si="53"/>
        <v>65.211173965306543</v>
      </c>
      <c r="D204" s="338">
        <f t="shared" si="54"/>
        <v>1.5554609304817204</v>
      </c>
      <c r="E204" s="338">
        <f t="shared" si="55"/>
        <v>1.0004260229949502</v>
      </c>
      <c r="F204" s="339">
        <f t="shared" si="56"/>
        <v>2.9184646771447598E-2</v>
      </c>
      <c r="G204" s="338">
        <f t="shared" si="57"/>
        <v>1</v>
      </c>
      <c r="H204" s="339">
        <f t="shared" si="58"/>
        <v>0</v>
      </c>
      <c r="I204" s="337">
        <f t="shared" si="59"/>
        <v>38320.042626299699</v>
      </c>
      <c r="J204" s="340">
        <f t="shared" si="60"/>
        <v>1.5707702307905194</v>
      </c>
      <c r="K204" s="348">
        <f t="shared" si="81"/>
        <v>18.937604568509492</v>
      </c>
      <c r="L204" s="349">
        <f t="shared" si="82"/>
        <v>1.5179667670538921</v>
      </c>
      <c r="M204" s="337">
        <f t="shared" si="63"/>
        <v>1.0007120667642468</v>
      </c>
      <c r="N204" s="340">
        <f t="shared" si="64"/>
        <v>3.7726502309849509E-2</v>
      </c>
      <c r="O204" s="341">
        <f t="shared" si="65"/>
        <v>0.99865272536618022</v>
      </c>
      <c r="P204" s="342">
        <f t="shared" si="66"/>
        <v>1.7438084420899391E-2</v>
      </c>
      <c r="Q204" s="343">
        <f t="shared" si="67"/>
        <v>-5.6709442834582031</v>
      </c>
      <c r="R204" s="344">
        <f t="shared" si="68"/>
        <v>-93.63530314854053</v>
      </c>
      <c r="S204" s="346">
        <f t="shared" si="69"/>
        <v>86.36469685145947</v>
      </c>
      <c r="U204" s="319">
        <f t="shared" si="75"/>
        <v>11615.5</v>
      </c>
      <c r="V204" s="319">
        <f t="shared" si="76"/>
        <v>134919840.25</v>
      </c>
      <c r="X204" s="345">
        <f t="shared" si="70"/>
        <v>31.579022876462915</v>
      </c>
      <c r="Y204" s="346">
        <f t="shared" si="71"/>
        <v>-5.1869849798527508</v>
      </c>
      <c r="AA204" s="345">
        <f t="shared" si="72"/>
        <v>11.497999644028527</v>
      </c>
      <c r="AB204" s="346">
        <f t="shared" si="73"/>
        <v>-88.448318168687777</v>
      </c>
      <c r="AD204">
        <f t="shared" si="77"/>
        <v>0</v>
      </c>
      <c r="AE204">
        <f t="shared" si="80"/>
        <v>0</v>
      </c>
    </row>
    <row r="205" spans="1:31" x14ac:dyDescent="0.2">
      <c r="A205" s="347">
        <v>11682.25</v>
      </c>
      <c r="B205" s="364">
        <f t="shared" si="74"/>
        <v>11.68225</v>
      </c>
      <c r="C205" s="337">
        <f t="shared" ref="C205:C268" si="83">SQRT(1+(A205/pole1)^2)</f>
        <v>65.585830690220035</v>
      </c>
      <c r="D205" s="338">
        <f t="shared" ref="D205:D268" si="84">ATAN(A205/pole1)</f>
        <v>1.5555485401968956</v>
      </c>
      <c r="E205" s="338">
        <f t="shared" ref="E205:E268" si="85">SQRT(1+(A205/Zero1)^2)</f>
        <v>1.0004309324007101</v>
      </c>
      <c r="F205" s="339">
        <f t="shared" ref="F205:F268" si="86">ATAN(A205/Zero1)</f>
        <v>2.9352264148355216E-2</v>
      </c>
      <c r="G205" s="338">
        <f t="shared" ref="G205:G268" si="87">IF(VIN_nom&gt;Vout, 1, SQRT(1+(A205/z_RHP)^2))</f>
        <v>1</v>
      </c>
      <c r="H205" s="339">
        <f t="shared" ref="H205:H268" si="88">IF(VIN_nom&gt;Vout, 0, -ATAN(A205/z_RHP))</f>
        <v>0</v>
      </c>
      <c r="I205" s="337">
        <f t="shared" ref="I205:I268" si="89">SQRT(1+(A205/Pole2)^2)</f>
        <v>38540.253796164841</v>
      </c>
      <c r="J205" s="340">
        <f t="shared" ref="J205:J268" si="90">ATAN(A205/Pole2)</f>
        <v>1.5707703798977797</v>
      </c>
      <c r="K205" s="348">
        <f t="shared" si="81"/>
        <v>19.046129420114735</v>
      </c>
      <c r="L205" s="349">
        <f t="shared" si="82"/>
        <v>1.5182680678675531</v>
      </c>
      <c r="M205" s="337">
        <f t="shared" ref="M205:M268" si="91">SQRT(1+(A205/pole4)^2)</f>
        <v>1.0007202712965042</v>
      </c>
      <c r="N205" s="340">
        <f t="shared" ref="N205:N268" si="92">ATAN(A205/pole4)</f>
        <v>3.794309519376058E-2</v>
      </c>
      <c r="O205" s="341">
        <f t="shared" ref="O205:O268" si="93">SQRT((1-(V205/pterm2))^2+(A205/pterm1)^2)</f>
        <v>0.99863719881482671</v>
      </c>
      <c r="P205" s="342">
        <f t="shared" ref="P205:P268" si="94">IF((ATAN((A205/pterm1)/(1-A205^2/pterm2))&gt;0),ATAN((A205/pterm1)/(1-A205^2/pterm2)),PI()+ATAN((A205/pterm1)/(1-A205^2/pterm2)))</f>
        <v>1.753857762434146E-2</v>
      </c>
      <c r="Q205" s="343">
        <f t="shared" ref="Q205:Q268" si="95">20*LOG10(((E205*K205*G205)/(C205*I205*O205*M205))*Adc)</f>
        <v>-5.7207359164183211</v>
      </c>
      <c r="R205" s="344">
        <f t="shared" ref="R205:R268" si="96">((F205+L205+H205)-(D205+J205+P205+N205))*radconv</f>
        <v>-93.631632019968094</v>
      </c>
      <c r="S205" s="346">
        <f t="shared" ref="S205:S268" si="97">IF(R205&gt;0,R205,R205+180)</f>
        <v>86.368367980031906</v>
      </c>
      <c r="U205" s="319">
        <f t="shared" si="75"/>
        <v>11682.25</v>
      </c>
      <c r="V205" s="319">
        <f t="shared" si="76"/>
        <v>136474965.0625</v>
      </c>
      <c r="X205" s="345">
        <f t="shared" ref="X205:X268" si="98">20*LOG10((K205/(I205*M205))*AEA)</f>
        <v>31.578813672002713</v>
      </c>
      <c r="Y205" s="346">
        <f t="shared" ref="Y205:Y268" si="99">(L205-(J205+N205))*radconv</f>
        <v>-5.1821401161979654</v>
      </c>
      <c r="AA205" s="345">
        <f t="shared" ref="AA205:AA268" si="100">20*LOG10((E205*G205/(C205*O205))*Acs*Am)</f>
        <v>11.448417215528611</v>
      </c>
      <c r="AB205" s="346">
        <f t="shared" ref="AB205:AB268" si="101">(F205+H205-(D205+P205))*radconv</f>
        <v>-88.44949190377011</v>
      </c>
      <c r="AD205">
        <f t="shared" si="77"/>
        <v>0</v>
      </c>
      <c r="AE205">
        <f t="shared" si="80"/>
        <v>0</v>
      </c>
    </row>
    <row r="206" spans="1:31" x14ac:dyDescent="0.2">
      <c r="A206" s="347">
        <v>11749</v>
      </c>
      <c r="B206" s="364">
        <f t="shared" ref="B206:B269" si="102">A206/1000</f>
        <v>11.749000000000001</v>
      </c>
      <c r="C206" s="337">
        <f t="shared" si="83"/>
        <v>65.960487912816419</v>
      </c>
      <c r="D206" s="338">
        <f t="shared" si="84"/>
        <v>1.5556351546619787</v>
      </c>
      <c r="E206" s="338">
        <f t="shared" si="85"/>
        <v>1.000435869913886</v>
      </c>
      <c r="F206" s="339">
        <f t="shared" si="86"/>
        <v>2.9519879875467198E-2</v>
      </c>
      <c r="G206" s="338">
        <f t="shared" si="87"/>
        <v>1</v>
      </c>
      <c r="H206" s="339">
        <f t="shared" si="88"/>
        <v>0</v>
      </c>
      <c r="I206" s="337">
        <f t="shared" si="89"/>
        <v>38760.464966030835</v>
      </c>
      <c r="J206" s="340">
        <f t="shared" si="90"/>
        <v>1.5707705273107835</v>
      </c>
      <c r="K206" s="348">
        <f t="shared" si="81"/>
        <v>19.154655981176433</v>
      </c>
      <c r="L206" s="349">
        <f t="shared" si="82"/>
        <v>1.5185659544842038</v>
      </c>
      <c r="M206" s="337">
        <f t="shared" si="91"/>
        <v>1.0007285227742573</v>
      </c>
      <c r="N206" s="340">
        <f t="shared" si="92"/>
        <v>3.8159684516011677E-2</v>
      </c>
      <c r="O206" s="341">
        <f t="shared" si="93"/>
        <v>0.99862158335181073</v>
      </c>
      <c r="P206" s="342">
        <f t="shared" si="94"/>
        <v>1.7639075700510369E-2</v>
      </c>
      <c r="Q206" s="343">
        <f t="shared" si="95"/>
        <v>-5.7702412168152968</v>
      </c>
      <c r="R206" s="344">
        <f t="shared" si="96"/>
        <v>-93.628099559416228</v>
      </c>
      <c r="S206" s="346">
        <f t="shared" si="97"/>
        <v>86.371900440583772</v>
      </c>
      <c r="U206" s="319">
        <f t="shared" ref="U206:U269" si="103">IF(Q206&lt;0,A206,1000000000)</f>
        <v>11749</v>
      </c>
      <c r="V206" s="319">
        <f t="shared" ref="V206:V269" si="104">A206^2</f>
        <v>138039001</v>
      </c>
      <c r="X206" s="345">
        <f t="shared" si="98"/>
        <v>31.578606401631575</v>
      </c>
      <c r="Y206" s="346">
        <f t="shared" si="99"/>
        <v>-5.1774905704806891</v>
      </c>
      <c r="AA206" s="345">
        <f t="shared" si="100"/>
        <v>11.399119185502769</v>
      </c>
      <c r="AB206" s="346">
        <f t="shared" si="101"/>
        <v>-88.450608988935556</v>
      </c>
      <c r="AD206">
        <f t="shared" ref="AD206:AD269" si="105">SUM((Q207&lt;0)*(Q206&gt;0))*A206</f>
        <v>0</v>
      </c>
      <c r="AE206">
        <f t="shared" si="80"/>
        <v>0</v>
      </c>
    </row>
    <row r="207" spans="1:31" x14ac:dyDescent="0.2">
      <c r="A207" s="347">
        <v>11817.5</v>
      </c>
      <c r="B207" s="364">
        <f t="shared" si="102"/>
        <v>11.817500000000001</v>
      </c>
      <c r="C207" s="337">
        <f t="shared" si="83"/>
        <v>66.3449681179967</v>
      </c>
      <c r="D207" s="338">
        <f t="shared" si="84"/>
        <v>1.5557230228686607</v>
      </c>
      <c r="E207" s="338">
        <f t="shared" si="85"/>
        <v>1.00044096609696</v>
      </c>
      <c r="F207" s="339">
        <f t="shared" si="86"/>
        <v>2.9691888297297027E-2</v>
      </c>
      <c r="G207" s="338">
        <f t="shared" si="87"/>
        <v>1</v>
      </c>
      <c r="H207" s="339">
        <f t="shared" si="88"/>
        <v>0</v>
      </c>
      <c r="I207" s="337">
        <f t="shared" si="89"/>
        <v>38986.44946244848</v>
      </c>
      <c r="J207" s="340">
        <f t="shared" si="90"/>
        <v>1.5707706768571901</v>
      </c>
      <c r="K207" s="348">
        <f t="shared" si="81"/>
        <v>19.266029554856878</v>
      </c>
      <c r="L207" s="349">
        <f t="shared" si="82"/>
        <v>1.5188681616809265</v>
      </c>
      <c r="M207" s="337">
        <f t="shared" si="91"/>
        <v>1.0007370393894708</v>
      </c>
      <c r="N207" s="340">
        <f t="shared" si="92"/>
        <v>3.8381948485839014E-2</v>
      </c>
      <c r="O207" s="341">
        <f t="shared" si="93"/>
        <v>0.99860546605693534</v>
      </c>
      <c r="P207" s="342">
        <f t="shared" si="94"/>
        <v>1.7742213653184662E-2</v>
      </c>
      <c r="Q207" s="343">
        <f t="shared" si="95"/>
        <v>-5.8207501375880106</v>
      </c>
      <c r="R207" s="344">
        <f t="shared" si="96"/>
        <v>-93.624616208469007</v>
      </c>
      <c r="S207" s="346">
        <f t="shared" si="97"/>
        <v>86.375383791530993</v>
      </c>
      <c r="U207" s="319">
        <f t="shared" si="103"/>
        <v>11817.5</v>
      </c>
      <c r="V207" s="319">
        <f t="shared" si="104"/>
        <v>139653306.25</v>
      </c>
      <c r="X207" s="345">
        <f t="shared" si="98"/>
        <v>31.578395652854482</v>
      </c>
      <c r="Y207" s="346">
        <f t="shared" si="99"/>
        <v>-5.1729187293516397</v>
      </c>
      <c r="AA207" s="345">
        <f t="shared" si="100"/>
        <v>11.348821013507148</v>
      </c>
      <c r="AB207" s="346">
        <f t="shared" si="101"/>
        <v>-88.451697479117371</v>
      </c>
      <c r="AD207">
        <f t="shared" si="105"/>
        <v>0</v>
      </c>
      <c r="AE207">
        <f t="shared" si="80"/>
        <v>0</v>
      </c>
    </row>
    <row r="208" spans="1:31" x14ac:dyDescent="0.2">
      <c r="A208" s="347">
        <v>11886</v>
      </c>
      <c r="B208" s="364">
        <f t="shared" si="102"/>
        <v>11.885999999999999</v>
      </c>
      <c r="C208" s="337">
        <f t="shared" si="83"/>
        <v>66.729448829511853</v>
      </c>
      <c r="D208" s="338">
        <f t="shared" si="84"/>
        <v>1.5558098785206447</v>
      </c>
      <c r="E208" s="338">
        <f t="shared" si="85"/>
        <v>1.0004460918796758</v>
      </c>
      <c r="F208" s="339">
        <f t="shared" si="86"/>
        <v>2.9863894961646639E-2</v>
      </c>
      <c r="G208" s="338">
        <f t="shared" si="87"/>
        <v>1</v>
      </c>
      <c r="H208" s="339">
        <f t="shared" si="88"/>
        <v>0</v>
      </c>
      <c r="I208" s="337">
        <f t="shared" si="89"/>
        <v>39212.433958866997</v>
      </c>
      <c r="J208" s="340">
        <f t="shared" si="90"/>
        <v>1.5707708246799001</v>
      </c>
      <c r="K208" s="348">
        <f t="shared" si="81"/>
        <v>19.377404867861699</v>
      </c>
      <c r="L208" s="349">
        <f t="shared" si="82"/>
        <v>1.5191668949182058</v>
      </c>
      <c r="M208" s="337">
        <f t="shared" si="91"/>
        <v>1.0007456054415247</v>
      </c>
      <c r="N208" s="340">
        <f t="shared" si="92"/>
        <v>3.8604208661633686E-2</v>
      </c>
      <c r="O208" s="341">
        <f t="shared" si="93"/>
        <v>0.99858925512938612</v>
      </c>
      <c r="P208" s="342">
        <f t="shared" si="94"/>
        <v>1.7845356797372546E-2</v>
      </c>
      <c r="Q208" s="343">
        <f t="shared" si="95"/>
        <v>-5.8709644131018681</v>
      </c>
      <c r="R208" s="344">
        <f t="shared" si="96"/>
        <v>-93.621273967630927</v>
      </c>
      <c r="S208" s="346">
        <f t="shared" si="97"/>
        <v>86.378726032369073</v>
      </c>
      <c r="U208" s="319">
        <f t="shared" si="103"/>
        <v>11886</v>
      </c>
      <c r="V208" s="319">
        <f t="shared" si="104"/>
        <v>141276996</v>
      </c>
      <c r="X208" s="345">
        <f t="shared" si="98"/>
        <v>31.578186830262837</v>
      </c>
      <c r="Y208" s="346">
        <f t="shared" si="99"/>
        <v>-5.1685456152945335</v>
      </c>
      <c r="AA208" s="345">
        <f t="shared" si="100"/>
        <v>11.298815560584936</v>
      </c>
      <c r="AB208" s="346">
        <f t="shared" si="101"/>
        <v>-88.452728352336422</v>
      </c>
      <c r="AD208">
        <f t="shared" si="105"/>
        <v>0</v>
      </c>
      <c r="AE208">
        <f t="shared" si="80"/>
        <v>0</v>
      </c>
    </row>
    <row r="209" spans="1:31" x14ac:dyDescent="0.2">
      <c r="A209" s="347">
        <v>11954.5</v>
      </c>
      <c r="B209" s="364">
        <f t="shared" si="102"/>
        <v>11.954499999999999</v>
      </c>
      <c r="C209" s="337">
        <f t="shared" si="83"/>
        <v>67.113930038659859</v>
      </c>
      <c r="D209" s="338">
        <f t="shared" si="84"/>
        <v>1.5558957390187298</v>
      </c>
      <c r="E209" s="338">
        <f t="shared" si="85"/>
        <v>1.0004512472615787</v>
      </c>
      <c r="F209" s="339">
        <f t="shared" si="86"/>
        <v>3.0035899858365037E-2</v>
      </c>
      <c r="G209" s="338">
        <f t="shared" si="87"/>
        <v>1</v>
      </c>
      <c r="H209" s="339">
        <f t="shared" si="88"/>
        <v>0</v>
      </c>
      <c r="I209" s="337">
        <f t="shared" si="89"/>
        <v>39438.418455286352</v>
      </c>
      <c r="J209" s="340">
        <f t="shared" si="90"/>
        <v>1.5707709708085444</v>
      </c>
      <c r="K209" s="348">
        <f t="shared" si="81"/>
        <v>19.488781890371023</v>
      </c>
      <c r="L209" s="349">
        <f t="shared" si="82"/>
        <v>1.5194622137025644</v>
      </c>
      <c r="M209" s="337">
        <f t="shared" si="91"/>
        <v>1.0007542209291489</v>
      </c>
      <c r="N209" s="340">
        <f t="shared" si="92"/>
        <v>3.88264650215343E-2</v>
      </c>
      <c r="O209" s="341">
        <f t="shared" si="93"/>
        <v>0.99857295057025475</v>
      </c>
      <c r="P209" s="342">
        <f t="shared" si="94"/>
        <v>1.794850516343811E-2</v>
      </c>
      <c r="Q209" s="343">
        <f t="shared" si="95"/>
        <v>-5.9208874466737758</v>
      </c>
      <c r="R209" s="344">
        <f t="shared" si="96"/>
        <v>-93.618070427188314</v>
      </c>
      <c r="S209" s="346">
        <f t="shared" si="97"/>
        <v>86.381929572811686</v>
      </c>
      <c r="U209" s="319">
        <f t="shared" si="103"/>
        <v>11954.5</v>
      </c>
      <c r="V209" s="319">
        <f t="shared" si="104"/>
        <v>142910070.25</v>
      </c>
      <c r="X209" s="345">
        <f t="shared" si="98"/>
        <v>31.57797988018342</v>
      </c>
      <c r="Y209" s="346">
        <f t="shared" si="99"/>
        <v>-5.1643678192819049</v>
      </c>
      <c r="AA209" s="345">
        <f t="shared" si="100"/>
        <v>11.249099477092448</v>
      </c>
      <c r="AB209" s="346">
        <f t="shared" si="101"/>
        <v>-88.453702607906365</v>
      </c>
      <c r="AD209">
        <f t="shared" si="105"/>
        <v>0</v>
      </c>
      <c r="AE209">
        <f t="shared" si="80"/>
        <v>0</v>
      </c>
    </row>
    <row r="210" spans="1:31" x14ac:dyDescent="0.2">
      <c r="A210" s="347">
        <v>12023</v>
      </c>
      <c r="B210" s="364">
        <f t="shared" si="102"/>
        <v>12.023</v>
      </c>
      <c r="C210" s="337">
        <f t="shared" si="83"/>
        <v>67.498411736936916</v>
      </c>
      <c r="D210" s="338">
        <f t="shared" si="84"/>
        <v>1.5559806213673044</v>
      </c>
      <c r="E210" s="338">
        <f t="shared" si="85"/>
        <v>1.0004564322422111</v>
      </c>
      <c r="F210" s="339">
        <f t="shared" si="86"/>
        <v>3.0207902977301866E-2</v>
      </c>
      <c r="G210" s="338">
        <f t="shared" si="87"/>
        <v>1</v>
      </c>
      <c r="H210" s="339">
        <f t="shared" si="88"/>
        <v>0</v>
      </c>
      <c r="I210" s="337">
        <f t="shared" si="89"/>
        <v>39664.40295170655</v>
      </c>
      <c r="J210" s="340">
        <f t="shared" si="90"/>
        <v>1.570771115272078</v>
      </c>
      <c r="K210" s="348">
        <f t="shared" si="81"/>
        <v>19.600160593242293</v>
      </c>
      <c r="L210" s="349">
        <f t="shared" si="82"/>
        <v>1.5197541761903461</v>
      </c>
      <c r="M210" s="337">
        <f t="shared" si="91"/>
        <v>1.0007628858510673</v>
      </c>
      <c r="N210" s="340">
        <f t="shared" si="92"/>
        <v>3.9048717543681694E-2</v>
      </c>
      <c r="O210" s="341">
        <f t="shared" si="93"/>
        <v>0.99855655238063901</v>
      </c>
      <c r="P210" s="342">
        <f t="shared" si="94"/>
        <v>1.805165878175017E-2</v>
      </c>
      <c r="Q210" s="343">
        <f t="shared" si="95"/>
        <v>-5.9705225827328317</v>
      </c>
      <c r="R210" s="344">
        <f t="shared" si="96"/>
        <v>-93.615003232035789</v>
      </c>
      <c r="S210" s="346">
        <f t="shared" si="97"/>
        <v>86.384996767964211</v>
      </c>
      <c r="U210" s="319">
        <f t="shared" si="103"/>
        <v>12023</v>
      </c>
      <c r="V210" s="319">
        <f t="shared" si="104"/>
        <v>144552529</v>
      </c>
      <c r="X210" s="345">
        <f t="shared" si="98"/>
        <v>31.577774750464354</v>
      </c>
      <c r="Y210" s="346">
        <f t="shared" si="99"/>
        <v>-5.1603820096072788</v>
      </c>
      <c r="AA210" s="345">
        <f t="shared" si="100"/>
        <v>11.199669470752458</v>
      </c>
      <c r="AB210" s="346">
        <f t="shared" si="101"/>
        <v>-88.454621222428514</v>
      </c>
      <c r="AD210">
        <f t="shared" si="105"/>
        <v>0</v>
      </c>
      <c r="AE210">
        <f t="shared" si="80"/>
        <v>0</v>
      </c>
    </row>
    <row r="211" spans="1:31" x14ac:dyDescent="0.2">
      <c r="A211" s="347">
        <v>12093</v>
      </c>
      <c r="B211" s="364">
        <f t="shared" si="102"/>
        <v>12.093</v>
      </c>
      <c r="C211" s="337">
        <f t="shared" si="83"/>
        <v>67.891313239140402</v>
      </c>
      <c r="D211" s="338">
        <f t="shared" si="84"/>
        <v>1.5560663692326604</v>
      </c>
      <c r="E211" s="338">
        <f t="shared" si="85"/>
        <v>1.0004617613401332</v>
      </c>
      <c r="F211" s="339">
        <f t="shared" si="86"/>
        <v>3.0383670740730073E-2</v>
      </c>
      <c r="G211" s="338">
        <f t="shared" si="87"/>
        <v>1</v>
      </c>
      <c r="H211" s="339">
        <f t="shared" si="88"/>
        <v>0</v>
      </c>
      <c r="I211" s="337">
        <f t="shared" si="89"/>
        <v>39895.336013742621</v>
      </c>
      <c r="J211" s="340">
        <f t="shared" si="90"/>
        <v>1.5707712612082887</v>
      </c>
      <c r="K211" s="348">
        <f t="shared" si="81"/>
        <v>19.713979952132785</v>
      </c>
      <c r="L211" s="349">
        <f t="shared" si="82"/>
        <v>1.5200491238190126</v>
      </c>
      <c r="M211" s="337">
        <f t="shared" si="91"/>
        <v>1.0007717915843652</v>
      </c>
      <c r="N211" s="340">
        <f t="shared" si="92"/>
        <v>3.9275832921903973E-2</v>
      </c>
      <c r="O211" s="341">
        <f t="shared" si="93"/>
        <v>0.99853969837934131</v>
      </c>
      <c r="P211" s="342">
        <f t="shared" si="94"/>
        <v>1.8157076696051828E-2</v>
      </c>
      <c r="Q211" s="343">
        <f t="shared" si="95"/>
        <v>-6.0209506166662141</v>
      </c>
      <c r="R211" s="344">
        <f t="shared" si="96"/>
        <v>-93.612007333238807</v>
      </c>
      <c r="S211" s="346">
        <f t="shared" si="97"/>
        <v>86.387992666761193</v>
      </c>
      <c r="U211" s="319">
        <f t="shared" si="103"/>
        <v>12093</v>
      </c>
      <c r="V211" s="319">
        <f t="shared" si="104"/>
        <v>146240649</v>
      </c>
      <c r="X211" s="345">
        <f t="shared" si="98"/>
        <v>31.577566956710474</v>
      </c>
      <c r="Y211" s="346">
        <f t="shared" si="99"/>
        <v>-5.1565038694664729</v>
      </c>
      <c r="AA211" s="345">
        <f t="shared" si="100"/>
        <v>11.149449230572955</v>
      </c>
      <c r="AB211" s="346">
        <f t="shared" si="101"/>
        <v>-88.455503463772359</v>
      </c>
      <c r="AD211">
        <f t="shared" si="105"/>
        <v>0</v>
      </c>
      <c r="AE211">
        <f t="shared" si="80"/>
        <v>0</v>
      </c>
    </row>
    <row r="212" spans="1:31" x14ac:dyDescent="0.2">
      <c r="A212" s="347">
        <v>12163</v>
      </c>
      <c r="B212" s="364">
        <f t="shared" si="102"/>
        <v>12.163</v>
      </c>
      <c r="C212" s="337">
        <f t="shared" si="83"/>
        <v>68.284215234783588</v>
      </c>
      <c r="D212" s="338">
        <f t="shared" si="84"/>
        <v>1.5561511303257078</v>
      </c>
      <c r="E212" s="338">
        <f t="shared" si="85"/>
        <v>1.0004671213462981</v>
      </c>
      <c r="F212" s="339">
        <f t="shared" si="86"/>
        <v>3.0559436626235555E-2</v>
      </c>
      <c r="G212" s="338">
        <f t="shared" si="87"/>
        <v>1</v>
      </c>
      <c r="H212" s="339">
        <f t="shared" si="88"/>
        <v>0</v>
      </c>
      <c r="I212" s="337">
        <f t="shared" si="89"/>
        <v>40126.269075779543</v>
      </c>
      <c r="J212" s="340">
        <f t="shared" si="90"/>
        <v>1.5707714054647273</v>
      </c>
      <c r="K212" s="348">
        <f t="shared" si="81"/>
        <v>19.827801006333665</v>
      </c>
      <c r="L212" s="349">
        <f t="shared" si="82"/>
        <v>1.5203406851920915</v>
      </c>
      <c r="M212" s="337">
        <f t="shared" si="91"/>
        <v>1.0007807489379479</v>
      </c>
      <c r="N212" s="340">
        <f t="shared" si="92"/>
        <v>3.9502944246309464E-2</v>
      </c>
      <c r="O212" s="341">
        <f t="shared" si="93"/>
        <v>0.99852274660439555</v>
      </c>
      <c r="P212" s="342">
        <f t="shared" si="94"/>
        <v>1.8262500159280385E-2</v>
      </c>
      <c r="Q212" s="343">
        <f t="shared" si="95"/>
        <v>-6.0710848855410324</v>
      </c>
      <c r="R212" s="344">
        <f t="shared" si="96"/>
        <v>-93.609149011723559</v>
      </c>
      <c r="S212" s="346">
        <f t="shared" si="97"/>
        <v>86.390850988276441</v>
      </c>
      <c r="U212" s="319">
        <f t="shared" si="103"/>
        <v>12163</v>
      </c>
      <c r="V212" s="319">
        <f t="shared" si="104"/>
        <v>147938569</v>
      </c>
      <c r="X212" s="345">
        <f t="shared" si="98"/>
        <v>31.577360958440472</v>
      </c>
      <c r="Y212" s="346">
        <f t="shared" si="99"/>
        <v>-5.1528194189689556</v>
      </c>
      <c r="AA212" s="345">
        <f t="shared" si="100"/>
        <v>11.099520959968139</v>
      </c>
      <c r="AB212" s="346">
        <f t="shared" si="101"/>
        <v>-88.456329592754628</v>
      </c>
      <c r="AD212">
        <f t="shared" si="105"/>
        <v>0</v>
      </c>
      <c r="AE212">
        <f t="shared" si="80"/>
        <v>0</v>
      </c>
    </row>
    <row r="213" spans="1:31" x14ac:dyDescent="0.2">
      <c r="A213" s="347">
        <v>12233</v>
      </c>
      <c r="B213" s="364">
        <f t="shared" si="102"/>
        <v>12.233000000000001</v>
      </c>
      <c r="C213" s="337">
        <f t="shared" si="83"/>
        <v>68.677117715397543</v>
      </c>
      <c r="D213" s="338">
        <f t="shared" si="84"/>
        <v>1.5562349215812212</v>
      </c>
      <c r="E213" s="338">
        <f t="shared" si="85"/>
        <v>1.0004725122602085</v>
      </c>
      <c r="F213" s="339">
        <f t="shared" si="86"/>
        <v>3.0735200622988495E-2</v>
      </c>
      <c r="G213" s="338">
        <f t="shared" si="87"/>
        <v>1</v>
      </c>
      <c r="H213" s="339">
        <f t="shared" si="88"/>
        <v>0</v>
      </c>
      <c r="I213" s="337">
        <f t="shared" si="89"/>
        <v>40357.202137817287</v>
      </c>
      <c r="J213" s="340">
        <f t="shared" si="90"/>
        <v>1.5707715480702296</v>
      </c>
      <c r="K213" s="348">
        <f t="shared" si="81"/>
        <v>19.941623726815894</v>
      </c>
      <c r="L213" s="349">
        <f t="shared" si="82"/>
        <v>1.5206289182437522</v>
      </c>
      <c r="M213" s="337">
        <f t="shared" si="91"/>
        <v>1.0007897579104295</v>
      </c>
      <c r="N213" s="340">
        <f t="shared" si="92"/>
        <v>3.9730051493578722E-2</v>
      </c>
      <c r="O213" s="341">
        <f t="shared" si="93"/>
        <v>0.99850569705699377</v>
      </c>
      <c r="P213" s="342">
        <f t="shared" si="94"/>
        <v>1.836792920385916E-2</v>
      </c>
      <c r="Q213" s="343">
        <f t="shared" si="95"/>
        <v>-6.1209287764217759</v>
      </c>
      <c r="R213" s="344">
        <f t="shared" si="96"/>
        <v>-93.606425921192113</v>
      </c>
      <c r="S213" s="346">
        <f t="shared" si="97"/>
        <v>86.393574078807887</v>
      </c>
      <c r="U213" s="319">
        <f t="shared" si="103"/>
        <v>12233</v>
      </c>
      <c r="V213" s="319">
        <f t="shared" si="104"/>
        <v>149646289</v>
      </c>
      <c r="X213" s="345">
        <f t="shared" si="98"/>
        <v>31.577156704597833</v>
      </c>
      <c r="Y213" s="346">
        <f t="shared" si="99"/>
        <v>-5.1493253390474081</v>
      </c>
      <c r="AA213" s="345">
        <f t="shared" si="100"/>
        <v>11.049881322930036</v>
      </c>
      <c r="AB213" s="346">
        <f t="shared" si="101"/>
        <v>-88.457100582144705</v>
      </c>
      <c r="AD213">
        <f t="shared" si="105"/>
        <v>0</v>
      </c>
      <c r="AE213">
        <f t="shared" si="80"/>
        <v>0</v>
      </c>
    </row>
    <row r="214" spans="1:31" x14ac:dyDescent="0.2">
      <c r="A214" s="347">
        <v>12303</v>
      </c>
      <c r="B214" s="364">
        <f t="shared" si="102"/>
        <v>12.303000000000001</v>
      </c>
      <c r="C214" s="337">
        <f t="shared" si="83"/>
        <v>69.07002067270605</v>
      </c>
      <c r="D214" s="338">
        <f t="shared" si="84"/>
        <v>1.5563177595486983</v>
      </c>
      <c r="E214" s="338">
        <f t="shared" si="85"/>
        <v>1.0004779340813654</v>
      </c>
      <c r="F214" s="339">
        <f t="shared" si="86"/>
        <v>3.0910962720159758E-2</v>
      </c>
      <c r="G214" s="338">
        <f t="shared" si="87"/>
        <v>1</v>
      </c>
      <c r="H214" s="339">
        <f t="shared" si="88"/>
        <v>0</v>
      </c>
      <c r="I214" s="337">
        <f t="shared" si="89"/>
        <v>40588.135199855838</v>
      </c>
      <c r="J214" s="340">
        <f t="shared" si="90"/>
        <v>1.5707716890529757</v>
      </c>
      <c r="K214" s="348">
        <f t="shared" si="81"/>
        <v>20.055448085209026</v>
      </c>
      <c r="L214" s="349">
        <f t="shared" si="82"/>
        <v>1.5209138795951869</v>
      </c>
      <c r="M214" s="337">
        <f t="shared" si="91"/>
        <v>1.0007988185004157</v>
      </c>
      <c r="N214" s="340">
        <f t="shared" si="92"/>
        <v>3.9957154640394843E-2</v>
      </c>
      <c r="O214" s="341">
        <f t="shared" si="93"/>
        <v>0.99848854973833556</v>
      </c>
      <c r="P214" s="342">
        <f t="shared" si="94"/>
        <v>1.8473363862216763E-2</v>
      </c>
      <c r="Q214" s="343">
        <f t="shared" si="95"/>
        <v>-6.1704856178700105</v>
      </c>
      <c r="R214" s="344">
        <f t="shared" si="96"/>
        <v>-93.603835768462531</v>
      </c>
      <c r="S214" s="346">
        <f t="shared" si="97"/>
        <v>86.396164231537469</v>
      </c>
      <c r="U214" s="319">
        <f t="shared" si="103"/>
        <v>12303</v>
      </c>
      <c r="V214" s="319">
        <f t="shared" si="104"/>
        <v>151363809</v>
      </c>
      <c r="X214" s="345">
        <f t="shared" si="98"/>
        <v>31.576954145571566</v>
      </c>
      <c r="Y214" s="346">
        <f t="shared" si="99"/>
        <v>-5.1460183858251263</v>
      </c>
      <c r="AA214" s="345">
        <f t="shared" si="100"/>
        <v>11.000527040508066</v>
      </c>
      <c r="AB214" s="346">
        <f t="shared" si="101"/>
        <v>-88.457817382637401</v>
      </c>
      <c r="AD214">
        <f t="shared" si="105"/>
        <v>0</v>
      </c>
      <c r="AE214">
        <f t="shared" si="80"/>
        <v>0</v>
      </c>
    </row>
    <row r="215" spans="1:31" x14ac:dyDescent="0.2">
      <c r="A215" s="347">
        <v>12374.5</v>
      </c>
      <c r="B215" s="364">
        <f t="shared" si="102"/>
        <v>12.374499999999999</v>
      </c>
      <c r="C215" s="337">
        <f t="shared" si="83"/>
        <v>69.47134346281662</v>
      </c>
      <c r="D215" s="338">
        <f t="shared" si="84"/>
        <v>1.5564014052831552</v>
      </c>
      <c r="E215" s="338">
        <f t="shared" si="85"/>
        <v>1.0004835039916713</v>
      </c>
      <c r="F215" s="339">
        <f t="shared" si="86"/>
        <v>3.1090489175650087E-2</v>
      </c>
      <c r="G215" s="338">
        <f t="shared" si="87"/>
        <v>1</v>
      </c>
      <c r="H215" s="339">
        <f t="shared" si="88"/>
        <v>0</v>
      </c>
      <c r="I215" s="337">
        <f t="shared" si="89"/>
        <v>40824.016827510328</v>
      </c>
      <c r="J215" s="340">
        <f t="shared" si="90"/>
        <v>1.5707718314101253</v>
      </c>
      <c r="K215" s="348">
        <f t="shared" ref="K215:K278" si="106">SQRT(1+(A215/Zero2)^2)</f>
        <v>20.171713199101262</v>
      </c>
      <c r="L215" s="349">
        <f t="shared" ref="L215:L278" si="107">ATAN(A215/Zero2)</f>
        <v>1.521201627186124</v>
      </c>
      <c r="M215" s="337">
        <f t="shared" si="91"/>
        <v>1.0008081265329341</v>
      </c>
      <c r="N215" s="340">
        <f t="shared" si="92"/>
        <v>4.018912002577827E-2</v>
      </c>
      <c r="O215" s="341">
        <f t="shared" si="93"/>
        <v>0.99847093404203702</v>
      </c>
      <c r="P215" s="342">
        <f t="shared" si="94"/>
        <v>1.8581063663915705E-2</v>
      </c>
      <c r="Q215" s="343">
        <f t="shared" si="95"/>
        <v>-6.2208114508246934</v>
      </c>
      <c r="R215" s="344">
        <f t="shared" si="96"/>
        <v>-93.601325023413224</v>
      </c>
      <c r="S215" s="346">
        <f t="shared" si="97"/>
        <v>86.398674976586776</v>
      </c>
      <c r="U215" s="319">
        <f t="shared" si="103"/>
        <v>12374.5</v>
      </c>
      <c r="V215" s="319">
        <f t="shared" si="104"/>
        <v>153128250.25</v>
      </c>
      <c r="X215" s="345">
        <f t="shared" si="98"/>
        <v>31.576748945553422</v>
      </c>
      <c r="Y215" s="346">
        <f t="shared" si="99"/>
        <v>-5.142830457335176</v>
      </c>
      <c r="AA215" s="345">
        <f t="shared" si="100"/>
        <v>10.950406407571529</v>
      </c>
      <c r="AB215" s="346">
        <f t="shared" si="101"/>
        <v>-88.458494566078045</v>
      </c>
      <c r="AD215">
        <f t="shared" si="105"/>
        <v>0</v>
      </c>
      <c r="AE215">
        <f t="shared" si="80"/>
        <v>0</v>
      </c>
    </row>
    <row r="216" spans="1:31" x14ac:dyDescent="0.2">
      <c r="A216" s="347">
        <v>12446</v>
      </c>
      <c r="B216" s="364">
        <f t="shared" si="102"/>
        <v>12.446</v>
      </c>
      <c r="C216" s="337">
        <f t="shared" si="83"/>
        <v>69.872666733407442</v>
      </c>
      <c r="D216" s="338">
        <f t="shared" si="84"/>
        <v>1.5564840901566268</v>
      </c>
      <c r="E216" s="338">
        <f t="shared" si="85"/>
        <v>1.000489106146949</v>
      </c>
      <c r="F216" s="339">
        <f t="shared" si="86"/>
        <v>3.127001362643958E-2</v>
      </c>
      <c r="G216" s="338">
        <f t="shared" si="87"/>
        <v>1</v>
      </c>
      <c r="H216" s="339">
        <f t="shared" si="88"/>
        <v>0</v>
      </c>
      <c r="I216" s="337">
        <f t="shared" si="89"/>
        <v>41059.898455165639</v>
      </c>
      <c r="J216" s="340">
        <f t="shared" si="90"/>
        <v>1.5707719721316431</v>
      </c>
      <c r="K216" s="348">
        <f t="shared" si="106"/>
        <v>20.287979964041703</v>
      </c>
      <c r="L216" s="349">
        <f t="shared" si="107"/>
        <v>1.5214860767409883</v>
      </c>
      <c r="M216" s="337">
        <f t="shared" si="91"/>
        <v>1.0008174884158725</v>
      </c>
      <c r="N216" s="340">
        <f t="shared" si="92"/>
        <v>4.0421081083924955E-2</v>
      </c>
      <c r="O216" s="341">
        <f t="shared" si="93"/>
        <v>0.99845321634194195</v>
      </c>
      <c r="P216" s="342">
        <f t="shared" si="94"/>
        <v>1.8688769390970295E-2</v>
      </c>
      <c r="Q216" s="343">
        <f t="shared" si="95"/>
        <v>-6.2708446394116191</v>
      </c>
      <c r="R216" s="344">
        <f t="shared" si="96"/>
        <v>-93.598948301344095</v>
      </c>
      <c r="S216" s="346">
        <f t="shared" si="97"/>
        <v>86.401051698655905</v>
      </c>
      <c r="U216" s="319">
        <f t="shared" si="103"/>
        <v>12446</v>
      </c>
      <c r="V216" s="319">
        <f t="shared" si="104"/>
        <v>154902916</v>
      </c>
      <c r="X216" s="345">
        <f t="shared" si="98"/>
        <v>31.576545413539989</v>
      </c>
      <c r="Y216" s="346">
        <f t="shared" si="99"/>
        <v>-5.1398311507458949</v>
      </c>
      <c r="AA216" s="345">
        <f t="shared" si="100"/>
        <v>10.900576750998036</v>
      </c>
      <c r="AB216" s="346">
        <f t="shared" si="101"/>
        <v>-88.459117150598217</v>
      </c>
      <c r="AD216">
        <f t="shared" si="105"/>
        <v>0</v>
      </c>
      <c r="AE216">
        <f t="shared" si="80"/>
        <v>0</v>
      </c>
    </row>
    <row r="217" spans="1:31" x14ac:dyDescent="0.2">
      <c r="A217" s="347">
        <v>12517.5</v>
      </c>
      <c r="B217" s="364">
        <f t="shared" si="102"/>
        <v>12.5175</v>
      </c>
      <c r="C217" s="337">
        <f t="shared" si="83"/>
        <v>70.273990476246723</v>
      </c>
      <c r="D217" s="338">
        <f t="shared" si="84"/>
        <v>1.5565658306299517</v>
      </c>
      <c r="E217" s="338">
        <f t="shared" si="85"/>
        <v>1.0004947405466567</v>
      </c>
      <c r="F217" s="339">
        <f t="shared" si="86"/>
        <v>3.1449536060990199E-2</v>
      </c>
      <c r="G217" s="338">
        <f t="shared" si="87"/>
        <v>1</v>
      </c>
      <c r="H217" s="339">
        <f t="shared" si="88"/>
        <v>0</v>
      </c>
      <c r="I217" s="337">
        <f t="shared" si="89"/>
        <v>41295.780082821744</v>
      </c>
      <c r="J217" s="340">
        <f t="shared" si="90"/>
        <v>1.5707721112455575</v>
      </c>
      <c r="K217" s="348">
        <f t="shared" si="106"/>
        <v>20.404248351806523</v>
      </c>
      <c r="L217" s="349">
        <f t="shared" si="107"/>
        <v>1.5217672845923953</v>
      </c>
      <c r="M217" s="337">
        <f t="shared" si="91"/>
        <v>1.00082690414772</v>
      </c>
      <c r="N217" s="340">
        <f t="shared" si="92"/>
        <v>4.0653037789994927E-2</v>
      </c>
      <c r="O217" s="341">
        <f t="shared" si="93"/>
        <v>0.99843539663935055</v>
      </c>
      <c r="P217" s="342">
        <f t="shared" si="94"/>
        <v>1.8796481077956076E-2</v>
      </c>
      <c r="Q217" s="343">
        <f t="shared" si="95"/>
        <v>-6.3205885503341888</v>
      </c>
      <c r="R217" s="344">
        <f t="shared" si="96"/>
        <v>-93.596703320595495</v>
      </c>
      <c r="S217" s="346">
        <f t="shared" si="97"/>
        <v>86.403296679404505</v>
      </c>
      <c r="U217" s="319">
        <f t="shared" si="103"/>
        <v>12517.5</v>
      </c>
      <c r="V217" s="319">
        <f t="shared" si="104"/>
        <v>156687806.25</v>
      </c>
      <c r="X217" s="345">
        <f t="shared" si="98"/>
        <v>31.576343501023317</v>
      </c>
      <c r="Y217" s="346">
        <f t="shared" si="99"/>
        <v>-5.1370172386188537</v>
      </c>
      <c r="AA217" s="345">
        <f t="shared" si="100"/>
        <v>10.851034752592136</v>
      </c>
      <c r="AB217" s="346">
        <f t="shared" si="101"/>
        <v>-88.459686081976656</v>
      </c>
      <c r="AD217">
        <f t="shared" si="105"/>
        <v>0</v>
      </c>
      <c r="AE217">
        <f t="shared" si="80"/>
        <v>0</v>
      </c>
    </row>
    <row r="218" spans="1:31" x14ac:dyDescent="0.2">
      <c r="A218" s="347">
        <v>12589</v>
      </c>
      <c r="B218" s="364">
        <f t="shared" si="102"/>
        <v>12.589</v>
      </c>
      <c r="C218" s="337">
        <f t="shared" si="83"/>
        <v>70.675314683289571</v>
      </c>
      <c r="D218" s="338">
        <f t="shared" si="84"/>
        <v>1.5566466427901342</v>
      </c>
      <c r="E218" s="338">
        <f t="shared" si="85"/>
        <v>1.0005004071902497</v>
      </c>
      <c r="F218" s="339">
        <f t="shared" si="86"/>
        <v>3.1629056467764698E-2</v>
      </c>
      <c r="G218" s="338">
        <f t="shared" si="87"/>
        <v>1</v>
      </c>
      <c r="H218" s="339">
        <f t="shared" si="88"/>
        <v>0</v>
      </c>
      <c r="I218" s="337">
        <f t="shared" si="89"/>
        <v>41531.661710478649</v>
      </c>
      <c r="J218" s="340">
        <f t="shared" si="90"/>
        <v>1.5707722487792597</v>
      </c>
      <c r="K218" s="348">
        <f t="shared" si="106"/>
        <v>20.520518334811154</v>
      </c>
      <c r="L218" s="349">
        <f t="shared" si="107"/>
        <v>1.522045305798307</v>
      </c>
      <c r="M218" s="337">
        <f t="shared" si="91"/>
        <v>1.0008363737269568</v>
      </c>
      <c r="N218" s="340">
        <f t="shared" si="92"/>
        <v>4.0884990119150991E-2</v>
      </c>
      <c r="O218" s="341">
        <f t="shared" si="93"/>
        <v>0.9984174749355712</v>
      </c>
      <c r="P218" s="342">
        <f t="shared" si="94"/>
        <v>1.8904198759454462E-2</v>
      </c>
      <c r="Q218" s="343">
        <f t="shared" si="95"/>
        <v>-6.3700464922707631</v>
      </c>
      <c r="R218" s="344">
        <f t="shared" si="96"/>
        <v>-93.594587851084668</v>
      </c>
      <c r="S218" s="346">
        <f t="shared" si="97"/>
        <v>86.405412148915332</v>
      </c>
      <c r="U218" s="319">
        <f t="shared" si="103"/>
        <v>12589</v>
      </c>
      <c r="V218" s="319">
        <f t="shared" si="104"/>
        <v>158482921</v>
      </c>
      <c r="X218" s="345">
        <f t="shared" si="98"/>
        <v>31.57614316086665</v>
      </c>
      <c r="Y218" s="346">
        <f t="shared" si="99"/>
        <v>-5.1343855665115177</v>
      </c>
      <c r="AA218" s="345">
        <f t="shared" si="100"/>
        <v>10.801777150812232</v>
      </c>
      <c r="AB218" s="346">
        <f t="shared" si="101"/>
        <v>-88.460202284573171</v>
      </c>
      <c r="AD218">
        <f t="shared" si="105"/>
        <v>0</v>
      </c>
      <c r="AE218">
        <f t="shared" ref="AE218:AE281" si="108">IF(AD218&gt;0,S218,0)</f>
        <v>0</v>
      </c>
    </row>
    <row r="219" spans="1:31" x14ac:dyDescent="0.2">
      <c r="A219" s="347">
        <v>12662.25</v>
      </c>
      <c r="B219" s="364">
        <f t="shared" si="102"/>
        <v>12.66225</v>
      </c>
      <c r="C219" s="337">
        <f t="shared" si="83"/>
        <v>71.08646198394996</v>
      </c>
      <c r="D219" s="338">
        <f t="shared" si="84"/>
        <v>1.5567284866341569</v>
      </c>
      <c r="E219" s="338">
        <f t="shared" si="85"/>
        <v>1.0005062459646663</v>
      </c>
      <c r="F219" s="339">
        <f t="shared" si="86"/>
        <v>3.1812968615758198E-2</v>
      </c>
      <c r="G219" s="338">
        <f t="shared" si="87"/>
        <v>1</v>
      </c>
      <c r="H219" s="339">
        <f t="shared" si="88"/>
        <v>0</v>
      </c>
      <c r="I219" s="337">
        <f t="shared" si="89"/>
        <v>41773.316664687401</v>
      </c>
      <c r="J219" s="340">
        <f t="shared" si="90"/>
        <v>1.5707723880684574</v>
      </c>
      <c r="K219" s="348">
        <f t="shared" si="106"/>
        <v>20.639635712729206</v>
      </c>
      <c r="L219" s="349">
        <f t="shared" si="107"/>
        <v>1.5223268833855601</v>
      </c>
      <c r="M219" s="337">
        <f t="shared" si="91"/>
        <v>1.0008461309179466</v>
      </c>
      <c r="N219" s="340">
        <f t="shared" si="92"/>
        <v>4.112261503833705E-2</v>
      </c>
      <c r="O219" s="341">
        <f t="shared" si="93"/>
        <v>0.9983990088135295</v>
      </c>
      <c r="P219" s="342">
        <f t="shared" si="94"/>
        <v>1.9014559140249351E-2</v>
      </c>
      <c r="Q219" s="343">
        <f t="shared" si="95"/>
        <v>-6.4204217892772437</v>
      </c>
      <c r="R219" s="344">
        <f t="shared" si="96"/>
        <v>-93.592552630392376</v>
      </c>
      <c r="S219" s="346">
        <f t="shared" si="97"/>
        <v>86.407447369607624</v>
      </c>
      <c r="U219" s="319">
        <f t="shared" si="103"/>
        <v>12662.25</v>
      </c>
      <c r="V219" s="319">
        <f t="shared" si="104"/>
        <v>160332575.0625</v>
      </c>
      <c r="X219" s="345">
        <f t="shared" si="98"/>
        <v>31.575939499950326</v>
      </c>
      <c r="Y219" s="346">
        <f t="shared" si="99"/>
        <v>-5.1318752448132257</v>
      </c>
      <c r="AA219" s="345">
        <f t="shared" si="100"/>
        <v>10.751605514722069</v>
      </c>
      <c r="AB219" s="346">
        <f t="shared" si="101"/>
        <v>-88.460677385579132</v>
      </c>
      <c r="AD219">
        <f t="shared" si="105"/>
        <v>0</v>
      </c>
      <c r="AE219">
        <f t="shared" si="108"/>
        <v>0</v>
      </c>
    </row>
    <row r="220" spans="1:31" x14ac:dyDescent="0.2">
      <c r="A220" s="347">
        <v>12735.5</v>
      </c>
      <c r="B220" s="364">
        <f t="shared" si="102"/>
        <v>12.7355</v>
      </c>
      <c r="C220" s="337">
        <f t="shared" si="83"/>
        <v>71.497609755300559</v>
      </c>
      <c r="D220" s="338">
        <f t="shared" si="84"/>
        <v>1.5568093891909116</v>
      </c>
      <c r="E220" s="338">
        <f t="shared" si="85"/>
        <v>1.0005121185794885</v>
      </c>
      <c r="F220" s="339">
        <f t="shared" si="86"/>
        <v>3.1996878610987392E-2</v>
      </c>
      <c r="G220" s="338">
        <f t="shared" si="87"/>
        <v>1</v>
      </c>
      <c r="H220" s="339">
        <f t="shared" si="88"/>
        <v>0</v>
      </c>
      <c r="I220" s="337">
        <f t="shared" si="89"/>
        <v>42014.971618896947</v>
      </c>
      <c r="J220" s="340">
        <f t="shared" si="90"/>
        <v>1.5707725257553729</v>
      </c>
      <c r="K220" s="348">
        <f t="shared" si="106"/>
        <v>20.758754708299779</v>
      </c>
      <c r="L220" s="349">
        <f t="shared" si="107"/>
        <v>1.5226052294675556</v>
      </c>
      <c r="M220" s="337">
        <f t="shared" si="91"/>
        <v>1.0008559446212122</v>
      </c>
      <c r="N220" s="340">
        <f t="shared" si="92"/>
        <v>4.1360235310968052E-2</v>
      </c>
      <c r="O220" s="341">
        <f t="shared" si="93"/>
        <v>0.99838043563893486</v>
      </c>
      <c r="P220" s="342">
        <f t="shared" si="94"/>
        <v>1.9124925886082802E-2</v>
      </c>
      <c r="Q220" s="343">
        <f t="shared" si="95"/>
        <v>-6.47050379675174</v>
      </c>
      <c r="R220" s="344">
        <f t="shared" si="96"/>
        <v>-93.590648759527269</v>
      </c>
      <c r="S220" s="346">
        <f t="shared" si="97"/>
        <v>86.409351240472731</v>
      </c>
      <c r="U220" s="319">
        <f t="shared" si="103"/>
        <v>12735.5</v>
      </c>
      <c r="V220" s="319">
        <f t="shared" si="104"/>
        <v>162192960.25</v>
      </c>
      <c r="X220" s="345">
        <f t="shared" si="98"/>
        <v>31.575737393363113</v>
      </c>
      <c r="Y220" s="346">
        <f t="shared" si="99"/>
        <v>-5.1295497166958803</v>
      </c>
      <c r="AA220" s="345">
        <f t="shared" si="100"/>
        <v>10.701725613834789</v>
      </c>
      <c r="AB220" s="346">
        <f t="shared" si="101"/>
        <v>-88.461099042831421</v>
      </c>
      <c r="AD220">
        <f t="shared" si="105"/>
        <v>0</v>
      </c>
      <c r="AE220">
        <f t="shared" si="108"/>
        <v>0</v>
      </c>
    </row>
    <row r="221" spans="1:31" x14ac:dyDescent="0.2">
      <c r="A221" s="347">
        <v>12808.75</v>
      </c>
      <c r="B221" s="364">
        <f t="shared" si="102"/>
        <v>12.80875</v>
      </c>
      <c r="C221" s="337">
        <f t="shared" si="83"/>
        <v>71.908757989267684</v>
      </c>
      <c r="D221" s="338">
        <f t="shared" si="84"/>
        <v>1.5568893666051489</v>
      </c>
      <c r="E221" s="338">
        <f t="shared" si="85"/>
        <v>1.0005180250341206</v>
      </c>
      <c r="F221" s="339">
        <f t="shared" si="86"/>
        <v>3.2180786441049575E-2</v>
      </c>
      <c r="G221" s="338">
        <f t="shared" si="87"/>
        <v>1</v>
      </c>
      <c r="H221" s="339">
        <f t="shared" si="88"/>
        <v>0</v>
      </c>
      <c r="I221" s="337">
        <f t="shared" si="89"/>
        <v>42256.626573107285</v>
      </c>
      <c r="J221" s="340">
        <f t="shared" si="90"/>
        <v>1.5707726618674949</v>
      </c>
      <c r="K221" s="348">
        <f t="shared" si="106"/>
        <v>20.877875293834251</v>
      </c>
      <c r="L221" s="349">
        <f t="shared" si="107"/>
        <v>1.5228803993137163</v>
      </c>
      <c r="M221" s="337">
        <f t="shared" si="91"/>
        <v>1.0008658148350913</v>
      </c>
      <c r="N221" s="340">
        <f t="shared" si="92"/>
        <v>4.159785091034738E-2</v>
      </c>
      <c r="O221" s="341">
        <f t="shared" si="93"/>
        <v>0.99836175541321881</v>
      </c>
      <c r="P221" s="342">
        <f t="shared" si="94"/>
        <v>1.9235299034157497E-2</v>
      </c>
      <c r="Q221" s="343">
        <f t="shared" si="95"/>
        <v>-6.5202958914438476</v>
      </c>
      <c r="R221" s="344">
        <f t="shared" si="96"/>
        <v>-93.588873999698492</v>
      </c>
      <c r="S221" s="346">
        <f t="shared" si="97"/>
        <v>86.411126000301508</v>
      </c>
      <c r="U221" s="319">
        <f t="shared" si="103"/>
        <v>12808.75</v>
      </c>
      <c r="V221" s="319">
        <f t="shared" si="104"/>
        <v>164064076.5625</v>
      </c>
      <c r="X221" s="345">
        <f t="shared" si="98"/>
        <v>31.575536794602222</v>
      </c>
      <c r="Y221" s="346">
        <f t="shared" si="99"/>
        <v>-5.1274058155001949</v>
      </c>
      <c r="AA221" s="345">
        <f t="shared" si="100"/>
        <v>10.652134117903573</v>
      </c>
      <c r="AB221" s="346">
        <f t="shared" si="101"/>
        <v>-88.461468184198296</v>
      </c>
      <c r="AD221">
        <f t="shared" si="105"/>
        <v>0</v>
      </c>
      <c r="AE221">
        <f t="shared" si="108"/>
        <v>0</v>
      </c>
    </row>
    <row r="222" spans="1:31" x14ac:dyDescent="0.2">
      <c r="A222" s="347">
        <v>12882</v>
      </c>
      <c r="B222" s="364">
        <f t="shared" si="102"/>
        <v>12.882</v>
      </c>
      <c r="C222" s="337">
        <f t="shared" si="83"/>
        <v>72.3199066779612</v>
      </c>
      <c r="D222" s="338">
        <f t="shared" si="84"/>
        <v>1.5569684346545272</v>
      </c>
      <c r="E222" s="338">
        <f t="shared" si="85"/>
        <v>1.0005239653279629</v>
      </c>
      <c r="F222" s="339">
        <f t="shared" si="86"/>
        <v>3.2364692093542889E-2</v>
      </c>
      <c r="G222" s="338">
        <f t="shared" si="87"/>
        <v>1</v>
      </c>
      <c r="H222" s="339">
        <f t="shared" si="88"/>
        <v>0</v>
      </c>
      <c r="I222" s="337">
        <f t="shared" si="89"/>
        <v>42498.281527318395</v>
      </c>
      <c r="J222" s="340">
        <f t="shared" si="90"/>
        <v>1.5707727964316878</v>
      </c>
      <c r="K222" s="348">
        <f t="shared" si="106"/>
        <v>20.996997442271979</v>
      </c>
      <c r="L222" s="349">
        <f t="shared" si="107"/>
        <v>1.5231524469411757</v>
      </c>
      <c r="M222" s="337">
        <f t="shared" si="91"/>
        <v>1.0008757415579117</v>
      </c>
      <c r="N222" s="340">
        <f t="shared" si="92"/>
        <v>4.1835461809781573E-2</v>
      </c>
      <c r="O222" s="341">
        <f t="shared" si="93"/>
        <v>0.99834296813782153</v>
      </c>
      <c r="P222" s="342">
        <f t="shared" si="94"/>
        <v>1.9345678621682759E-2</v>
      </c>
      <c r="Q222" s="343">
        <f t="shared" si="95"/>
        <v>-6.5698013918581442</v>
      </c>
      <c r="R222" s="344">
        <f t="shared" si="96"/>
        <v>-93.587226162797663</v>
      </c>
      <c r="S222" s="346">
        <f t="shared" si="97"/>
        <v>86.412773837202337</v>
      </c>
      <c r="U222" s="319">
        <f t="shared" si="103"/>
        <v>12882</v>
      </c>
      <c r="V222" s="319">
        <f t="shared" si="104"/>
        <v>165945924</v>
      </c>
      <c r="X222" s="345">
        <f t="shared" si="98"/>
        <v>31.575337658481217</v>
      </c>
      <c r="Y222" s="346">
        <f t="shared" si="99"/>
        <v>-5.1254404462821936</v>
      </c>
      <c r="AA222" s="345">
        <f t="shared" si="100"/>
        <v>10.602827753610281</v>
      </c>
      <c r="AB222" s="346">
        <f t="shared" si="101"/>
        <v>-88.461785716515479</v>
      </c>
      <c r="AD222">
        <f t="shared" si="105"/>
        <v>0</v>
      </c>
      <c r="AE222">
        <f t="shared" si="108"/>
        <v>0</v>
      </c>
    </row>
    <row r="223" spans="1:31" x14ac:dyDescent="0.2">
      <c r="A223" s="347">
        <v>12957.25</v>
      </c>
      <c r="B223" s="364">
        <f t="shared" si="102"/>
        <v>12.95725</v>
      </c>
      <c r="C223" s="337">
        <f t="shared" si="83"/>
        <v>72.742281734834933</v>
      </c>
      <c r="D223" s="338">
        <f t="shared" si="84"/>
        <v>1.557048730812973</v>
      </c>
      <c r="E223" s="338">
        <f t="shared" si="85"/>
        <v>1.0005301030512253</v>
      </c>
      <c r="F223" s="339">
        <f t="shared" si="86"/>
        <v>3.2553616780184806E-2</v>
      </c>
      <c r="G223" s="338">
        <f t="shared" si="87"/>
        <v>1</v>
      </c>
      <c r="H223" s="339">
        <f t="shared" si="88"/>
        <v>0</v>
      </c>
      <c r="I223" s="337">
        <f t="shared" si="89"/>
        <v>42746.534569017298</v>
      </c>
      <c r="J223" s="340">
        <f t="shared" si="90"/>
        <v>1.5707729330856715</v>
      </c>
      <c r="K223" s="348">
        <f t="shared" si="106"/>
        <v>21.119373672283913</v>
      </c>
      <c r="L223" s="349">
        <f t="shared" si="107"/>
        <v>1.5234287267093682</v>
      </c>
      <c r="M223" s="337">
        <f t="shared" si="91"/>
        <v>1.0008859981601306</v>
      </c>
      <c r="N223" s="340">
        <f t="shared" si="92"/>
        <v>4.2079555456592373E-2</v>
      </c>
      <c r="O223" s="341">
        <f t="shared" si="93"/>
        <v>0.99832355642692416</v>
      </c>
      <c r="P223" s="342">
        <f t="shared" si="94"/>
        <v>1.9459078731031244E-2</v>
      </c>
      <c r="Q223" s="343">
        <f t="shared" si="95"/>
        <v>-6.6203635664368985</v>
      </c>
      <c r="R223" s="344">
        <f t="shared" si="96"/>
        <v>-93.585663255039989</v>
      </c>
      <c r="S223" s="346">
        <f t="shared" si="97"/>
        <v>86.414336744960011</v>
      </c>
      <c r="U223" s="319">
        <f t="shared" si="103"/>
        <v>12957.25</v>
      </c>
      <c r="V223" s="319">
        <f t="shared" si="104"/>
        <v>167890327.5625</v>
      </c>
      <c r="X223" s="345">
        <f t="shared" si="98"/>
        <v>31.575134562148136</v>
      </c>
      <c r="Y223" s="346">
        <f t="shared" si="99"/>
        <v>-5.1236041470625482</v>
      </c>
      <c r="AA223" s="345">
        <f t="shared" si="100"/>
        <v>10.552468675364606</v>
      </c>
      <c r="AB223" s="346">
        <f t="shared" si="101"/>
        <v>-88.462059107977439</v>
      </c>
      <c r="AD223">
        <f t="shared" si="105"/>
        <v>0</v>
      </c>
      <c r="AE223">
        <f t="shared" si="108"/>
        <v>0</v>
      </c>
    </row>
    <row r="224" spans="1:31" x14ac:dyDescent="0.2">
      <c r="A224" s="347">
        <v>13032.5</v>
      </c>
      <c r="B224" s="364">
        <f t="shared" si="102"/>
        <v>13.032500000000001</v>
      </c>
      <c r="C224" s="337">
        <f t="shared" si="83"/>
        <v>73.164657255297513</v>
      </c>
      <c r="D224" s="338">
        <f t="shared" si="84"/>
        <v>1.5571280998813608</v>
      </c>
      <c r="E224" s="338">
        <f t="shared" si="85"/>
        <v>1.000536276485507</v>
      </c>
      <c r="F224" s="339">
        <f t="shared" si="86"/>
        <v>3.2742539142191766E-2</v>
      </c>
      <c r="G224" s="338">
        <f t="shared" si="87"/>
        <v>1</v>
      </c>
      <c r="H224" s="339">
        <f t="shared" si="88"/>
        <v>0</v>
      </c>
      <c r="I224" s="337">
        <f t="shared" si="89"/>
        <v>42994.78761071698</v>
      </c>
      <c r="J224" s="340">
        <f t="shared" si="90"/>
        <v>1.5707730681615677</v>
      </c>
      <c r="K224" s="348">
        <f t="shared" si="106"/>
        <v>21.241751495773894</v>
      </c>
      <c r="L224" s="349">
        <f t="shared" si="107"/>
        <v>1.5237018230962434</v>
      </c>
      <c r="M224" s="337">
        <f t="shared" si="91"/>
        <v>1.0008963143956229</v>
      </c>
      <c r="N224" s="340">
        <f t="shared" si="92"/>
        <v>4.2323644086201088E-2</v>
      </c>
      <c r="O224" s="341">
        <f t="shared" si="93"/>
        <v>0.9983040317439319</v>
      </c>
      <c r="P224" s="342">
        <f t="shared" si="94"/>
        <v>1.9572485715904999E-2</v>
      </c>
      <c r="Q224" s="343">
        <f t="shared" si="95"/>
        <v>-6.6706301997625692</v>
      </c>
      <c r="R224" s="344">
        <f t="shared" si="96"/>
        <v>-93.584229772497025</v>
      </c>
      <c r="S224" s="346">
        <f t="shared" si="97"/>
        <v>86.415770227502975</v>
      </c>
      <c r="U224" s="319">
        <f t="shared" si="103"/>
        <v>13032.5</v>
      </c>
      <c r="V224" s="319">
        <f t="shared" si="104"/>
        <v>169846056.25</v>
      </c>
      <c r="X224" s="345">
        <f t="shared" si="98"/>
        <v>31.574932916816657</v>
      </c>
      <c r="Y224" s="346">
        <f t="shared" si="99"/>
        <v>-5.1219498642749199</v>
      </c>
      <c r="AA224" s="345">
        <f t="shared" si="100"/>
        <v>10.502403687370418</v>
      </c>
      <c r="AB224" s="346">
        <f t="shared" si="101"/>
        <v>-88.462279908222115</v>
      </c>
      <c r="AD224">
        <f t="shared" si="105"/>
        <v>0</v>
      </c>
      <c r="AE224">
        <f t="shared" si="108"/>
        <v>0</v>
      </c>
    </row>
    <row r="225" spans="1:31" x14ac:dyDescent="0.2">
      <c r="A225" s="347">
        <v>13107.75</v>
      </c>
      <c r="B225" s="364">
        <f t="shared" si="102"/>
        <v>13.107749999999999</v>
      </c>
      <c r="C225" s="337">
        <f t="shared" si="83"/>
        <v>73.587033231366206</v>
      </c>
      <c r="D225" s="338">
        <f t="shared" si="84"/>
        <v>1.5572065578226586</v>
      </c>
      <c r="E225" s="338">
        <f t="shared" si="85"/>
        <v>1.0005424856301466</v>
      </c>
      <c r="F225" s="339">
        <f t="shared" si="86"/>
        <v>3.2931459166121016E-2</v>
      </c>
      <c r="G225" s="338">
        <f t="shared" si="87"/>
        <v>1</v>
      </c>
      <c r="H225" s="339">
        <f t="shared" si="88"/>
        <v>0</v>
      </c>
      <c r="I225" s="337">
        <f t="shared" si="89"/>
        <v>43243.04065241744</v>
      </c>
      <c r="J225" s="340">
        <f t="shared" si="90"/>
        <v>1.5707732016865554</v>
      </c>
      <c r="K225" s="348">
        <f t="shared" si="106"/>
        <v>21.364130885358684</v>
      </c>
      <c r="L225" s="349">
        <f t="shared" si="107"/>
        <v>1.5239717907664605</v>
      </c>
      <c r="M225" s="337">
        <f t="shared" si="91"/>
        <v>1.0009066902625445</v>
      </c>
      <c r="N225" s="340">
        <f t="shared" si="92"/>
        <v>4.2567727669678056E-2</v>
      </c>
      <c r="O225" s="341">
        <f t="shared" si="93"/>
        <v>0.99828439409043346</v>
      </c>
      <c r="P225" s="342">
        <f t="shared" si="94"/>
        <v>1.9685899616667286E-2</v>
      </c>
      <c r="Q225" s="343">
        <f t="shared" si="95"/>
        <v>-6.7206047063503105</v>
      </c>
      <c r="R225" s="344">
        <f t="shared" si="96"/>
        <v>-93.582923500707821</v>
      </c>
      <c r="S225" s="346">
        <f t="shared" si="97"/>
        <v>86.417076499292179</v>
      </c>
      <c r="U225" s="319">
        <f t="shared" si="103"/>
        <v>13107.75</v>
      </c>
      <c r="V225" s="319">
        <f t="shared" si="104"/>
        <v>171813110.0625</v>
      </c>
      <c r="X225" s="345">
        <f t="shared" si="98"/>
        <v>31.574732677548539</v>
      </c>
      <c r="Y225" s="346">
        <f t="shared" si="99"/>
        <v>-5.120474465764727</v>
      </c>
      <c r="AA225" s="345">
        <f t="shared" si="100"/>
        <v>10.452629420050792</v>
      </c>
      <c r="AB225" s="346">
        <f t="shared" si="101"/>
        <v>-88.462449034943106</v>
      </c>
      <c r="AD225">
        <f t="shared" si="105"/>
        <v>0</v>
      </c>
      <c r="AE225">
        <f t="shared" si="108"/>
        <v>0</v>
      </c>
    </row>
    <row r="226" spans="1:31" x14ac:dyDescent="0.2">
      <c r="A226" s="347">
        <v>13183</v>
      </c>
      <c r="B226" s="364">
        <f t="shared" si="102"/>
        <v>13.183</v>
      </c>
      <c r="C226" s="337">
        <f t="shared" si="83"/>
        <v>74.009409655240475</v>
      </c>
      <c r="D226" s="338">
        <f t="shared" si="84"/>
        <v>1.5572841202354739</v>
      </c>
      <c r="E226" s="338">
        <f t="shared" si="85"/>
        <v>1.0005487304844793</v>
      </c>
      <c r="F226" s="339">
        <f t="shared" si="86"/>
        <v>3.31203768385308E-2</v>
      </c>
      <c r="G226" s="338">
        <f t="shared" si="87"/>
        <v>1</v>
      </c>
      <c r="H226" s="339">
        <f t="shared" si="88"/>
        <v>0</v>
      </c>
      <c r="I226" s="337">
        <f t="shared" si="89"/>
        <v>43491.293694118664</v>
      </c>
      <c r="J226" s="340">
        <f t="shared" si="90"/>
        <v>1.5707733336871927</v>
      </c>
      <c r="K226" s="348">
        <f t="shared" si="106"/>
        <v>21.486511814278558</v>
      </c>
      <c r="L226" s="349">
        <f t="shared" si="107"/>
        <v>1.524238683141111</v>
      </c>
      <c r="M226" s="337">
        <f t="shared" si="91"/>
        <v>1.0009171257590415</v>
      </c>
      <c r="N226" s="340">
        <f t="shared" si="92"/>
        <v>4.2811806178097225E-2</v>
      </c>
      <c r="O226" s="341">
        <f t="shared" si="93"/>
        <v>0.99826464346802712</v>
      </c>
      <c r="P226" s="342">
        <f t="shared" si="94"/>
        <v>1.9799320473688934E-2</v>
      </c>
      <c r="Q226" s="343">
        <f t="shared" si="95"/>
        <v>-6.770290441612687</v>
      </c>
      <c r="R226" s="344">
        <f t="shared" si="96"/>
        <v>-93.581742275551193</v>
      </c>
      <c r="S226" s="346">
        <f t="shared" si="97"/>
        <v>86.418257724448807</v>
      </c>
      <c r="U226" s="319">
        <f t="shared" si="103"/>
        <v>13183</v>
      </c>
      <c r="V226" s="319">
        <f t="shared" si="104"/>
        <v>173791489</v>
      </c>
      <c r="X226" s="345">
        <f t="shared" si="98"/>
        <v>31.574533800682755</v>
      </c>
      <c r="Y226" s="346">
        <f t="shared" si="99"/>
        <v>-5.1191748905932251</v>
      </c>
      <c r="AA226" s="345">
        <f t="shared" si="100"/>
        <v>10.403142561654199</v>
      </c>
      <c r="AB226" s="346">
        <f t="shared" si="101"/>
        <v>-88.462567384957993</v>
      </c>
      <c r="AD226">
        <f t="shared" si="105"/>
        <v>0</v>
      </c>
      <c r="AE226">
        <f t="shared" si="108"/>
        <v>0</v>
      </c>
    </row>
    <row r="227" spans="1:31" x14ac:dyDescent="0.2">
      <c r="A227" s="347">
        <v>13259.75</v>
      </c>
      <c r="B227" s="364">
        <f t="shared" si="102"/>
        <v>13.25975</v>
      </c>
      <c r="C227" s="337">
        <f t="shared" si="83"/>
        <v>74.440205996093468</v>
      </c>
      <c r="D227" s="338">
        <f t="shared" si="84"/>
        <v>1.5573623220658799</v>
      </c>
      <c r="E227" s="338">
        <f t="shared" si="85"/>
        <v>1.0005551366047845</v>
      </c>
      <c r="F227" s="339">
        <f t="shared" si="86"/>
        <v>3.3313057875484373E-2</v>
      </c>
      <c r="G227" s="338">
        <f t="shared" si="87"/>
        <v>1</v>
      </c>
      <c r="H227" s="339">
        <f t="shared" si="88"/>
        <v>0</v>
      </c>
      <c r="I227" s="337">
        <f t="shared" si="89"/>
        <v>43744.495301435963</v>
      </c>
      <c r="J227" s="340">
        <f t="shared" si="90"/>
        <v>1.5707734667757514</v>
      </c>
      <c r="K227" s="348">
        <f t="shared" si="106"/>
        <v>21.611333788704179</v>
      </c>
      <c r="L227" s="349">
        <f t="shared" si="107"/>
        <v>1.5245077819061141</v>
      </c>
      <c r="M227" s="337">
        <f t="shared" si="91"/>
        <v>1.0009278306945115</v>
      </c>
      <c r="N227" s="340">
        <f t="shared" si="92"/>
        <v>4.30607447810408E-2</v>
      </c>
      <c r="O227" s="341">
        <f t="shared" si="93"/>
        <v>0.99824438277801353</v>
      </c>
      <c r="P227" s="342">
        <f t="shared" si="94"/>
        <v>1.9915009419087464E-2</v>
      </c>
      <c r="Q227" s="343">
        <f t="shared" si="95"/>
        <v>-6.8206725463506492</v>
      </c>
      <c r="R227" s="344">
        <f t="shared" si="96"/>
        <v>-93.580664121692863</v>
      </c>
      <c r="S227" s="346">
        <f t="shared" si="97"/>
        <v>86.419335878307137</v>
      </c>
      <c r="U227" s="319">
        <f t="shared" si="103"/>
        <v>13259.75</v>
      </c>
      <c r="V227" s="319">
        <f t="shared" si="104"/>
        <v>175820970.0625</v>
      </c>
      <c r="X227" s="345">
        <f t="shared" si="98"/>
        <v>31.574332318915047</v>
      </c>
      <c r="Y227" s="346">
        <f t="shared" si="99"/>
        <v>-5.1180274238043015</v>
      </c>
      <c r="AA227" s="345">
        <f t="shared" si="100"/>
        <v>10.352961938683944</v>
      </c>
      <c r="AB227" s="346">
        <f t="shared" si="101"/>
        <v>-88.462636697888541</v>
      </c>
      <c r="AD227">
        <f t="shared" si="105"/>
        <v>0</v>
      </c>
      <c r="AE227">
        <f t="shared" si="108"/>
        <v>0</v>
      </c>
    </row>
    <row r="228" spans="1:31" x14ac:dyDescent="0.2">
      <c r="A228" s="347">
        <v>13336.5</v>
      </c>
      <c r="B228" s="364">
        <f t="shared" si="102"/>
        <v>13.336499999999999</v>
      </c>
      <c r="C228" s="337">
        <f t="shared" si="83"/>
        <v>74.871002786948708</v>
      </c>
      <c r="D228" s="338">
        <f t="shared" si="84"/>
        <v>1.5574396239729833</v>
      </c>
      <c r="E228" s="338">
        <f t="shared" si="85"/>
        <v>1.0005615798712051</v>
      </c>
      <c r="F228" s="339">
        <f t="shared" si="86"/>
        <v>3.3505736437994357E-2</v>
      </c>
      <c r="G228" s="338">
        <f t="shared" si="87"/>
        <v>1</v>
      </c>
      <c r="H228" s="339">
        <f t="shared" si="88"/>
        <v>0</v>
      </c>
      <c r="I228" s="337">
        <f t="shared" si="89"/>
        <v>43997.696908754035</v>
      </c>
      <c r="J228" s="340">
        <f t="shared" si="90"/>
        <v>1.570773598332492</v>
      </c>
      <c r="K228" s="348">
        <f t="shared" si="106"/>
        <v>21.73615731012206</v>
      </c>
      <c r="L228" s="349">
        <f t="shared" si="107"/>
        <v>1.5247737900007998</v>
      </c>
      <c r="M228" s="337">
        <f t="shared" si="91"/>
        <v>1.0009385976565788</v>
      </c>
      <c r="N228" s="340">
        <f t="shared" si="92"/>
        <v>4.3309678043812361E-2</v>
      </c>
      <c r="O228" s="341">
        <f t="shared" si="93"/>
        <v>0.99822400457384819</v>
      </c>
      <c r="P228" s="342">
        <f t="shared" si="94"/>
        <v>2.0030705685689352E-2</v>
      </c>
      <c r="Q228" s="343">
        <f t="shared" si="95"/>
        <v>-6.8707611211726771</v>
      </c>
      <c r="R228" s="344">
        <f t="shared" si="96"/>
        <v>-93.579711655905754</v>
      </c>
      <c r="S228" s="346">
        <f t="shared" si="97"/>
        <v>86.420288344094246</v>
      </c>
      <c r="U228" s="319">
        <f t="shared" si="103"/>
        <v>13336.5</v>
      </c>
      <c r="V228" s="319">
        <f t="shared" si="104"/>
        <v>177862232.25</v>
      </c>
      <c r="X228" s="345">
        <f t="shared" si="98"/>
        <v>31.574132166536927</v>
      </c>
      <c r="Y228" s="346">
        <f t="shared" si="99"/>
        <v>-5.1170566456446318</v>
      </c>
      <c r="AA228" s="345">
        <f t="shared" si="100"/>
        <v>10.30307351624004</v>
      </c>
      <c r="AB228" s="346">
        <f t="shared" si="101"/>
        <v>-88.462655010261145</v>
      </c>
      <c r="AD228">
        <f t="shared" si="105"/>
        <v>0</v>
      </c>
      <c r="AE228">
        <f t="shared" si="108"/>
        <v>0</v>
      </c>
    </row>
    <row r="229" spans="1:31" x14ac:dyDescent="0.2">
      <c r="A229" s="347">
        <v>13413.25</v>
      </c>
      <c r="B229" s="364">
        <f t="shared" si="102"/>
        <v>13.41325</v>
      </c>
      <c r="C229" s="337">
        <f t="shared" si="83"/>
        <v>75.301800020082922</v>
      </c>
      <c r="D229" s="338">
        <f t="shared" si="84"/>
        <v>1.5575160414010794</v>
      </c>
      <c r="E229" s="338">
        <f t="shared" si="85"/>
        <v>1.0005680602830236</v>
      </c>
      <c r="F229" s="339">
        <f t="shared" si="86"/>
        <v>3.3698412511802292E-2</v>
      </c>
      <c r="G229" s="338">
        <f t="shared" si="87"/>
        <v>1</v>
      </c>
      <c r="H229" s="339">
        <f t="shared" si="88"/>
        <v>0</v>
      </c>
      <c r="I229" s="337">
        <f t="shared" si="89"/>
        <v>44250.898516072855</v>
      </c>
      <c r="J229" s="340">
        <f t="shared" si="90"/>
        <v>1.5707737283837091</v>
      </c>
      <c r="K229" s="348">
        <f t="shared" si="106"/>
        <v>21.860982352032792</v>
      </c>
      <c r="L229" s="349">
        <f t="shared" si="107"/>
        <v>1.5250367603298838</v>
      </c>
      <c r="M229" s="337">
        <f t="shared" si="91"/>
        <v>1.0009494266432415</v>
      </c>
      <c r="N229" s="340">
        <f t="shared" si="92"/>
        <v>4.3558605935733047E-2</v>
      </c>
      <c r="O229" s="341">
        <f t="shared" si="93"/>
        <v>0.99820350885725673</v>
      </c>
      <c r="P229" s="342">
        <f t="shared" si="94"/>
        <v>2.0146409316352636E-2</v>
      </c>
      <c r="Q229" s="343">
        <f t="shared" si="95"/>
        <v>-6.9205595448130532</v>
      </c>
      <c r="R229" s="344">
        <f t="shared" si="96"/>
        <v>-93.578882734887301</v>
      </c>
      <c r="S229" s="346">
        <f t="shared" si="97"/>
        <v>86.421117265112699</v>
      </c>
      <c r="U229" s="319">
        <f t="shared" si="103"/>
        <v>13413.25</v>
      </c>
      <c r="V229" s="319">
        <f t="shared" si="104"/>
        <v>179915275.5625</v>
      </c>
      <c r="X229" s="345">
        <f t="shared" si="98"/>
        <v>31.573933301056798</v>
      </c>
      <c r="Y229" s="346">
        <f t="shared" si="99"/>
        <v>-5.1162595246460487</v>
      </c>
      <c r="AA229" s="345">
        <f t="shared" si="100"/>
        <v>10.253473958079793</v>
      </c>
      <c r="AB229" s="346">
        <f t="shared" si="101"/>
        <v>-88.462623210241247</v>
      </c>
      <c r="AD229">
        <f t="shared" si="105"/>
        <v>0</v>
      </c>
      <c r="AE229">
        <f t="shared" si="108"/>
        <v>0</v>
      </c>
    </row>
    <row r="230" spans="1:31" x14ac:dyDescent="0.2">
      <c r="A230" s="347">
        <v>13490</v>
      </c>
      <c r="B230" s="364">
        <f t="shared" si="102"/>
        <v>13.49</v>
      </c>
      <c r="C230" s="337">
        <f t="shared" si="83"/>
        <v>75.732597687948527</v>
      </c>
      <c r="D230" s="338">
        <f t="shared" si="84"/>
        <v>1.5575915894430916</v>
      </c>
      <c r="E230" s="338">
        <f t="shared" si="85"/>
        <v>1.0005745778395183</v>
      </c>
      <c r="F230" s="339">
        <f t="shared" si="86"/>
        <v>3.3891086082650845E-2</v>
      </c>
      <c r="G230" s="338">
        <f t="shared" si="87"/>
        <v>1</v>
      </c>
      <c r="H230" s="339">
        <f t="shared" si="88"/>
        <v>0</v>
      </c>
      <c r="I230" s="337">
        <f t="shared" si="89"/>
        <v>44504.100123392418</v>
      </c>
      <c r="J230" s="340">
        <f t="shared" si="90"/>
        <v>1.5707738569550995</v>
      </c>
      <c r="K230" s="348">
        <f t="shared" si="106"/>
        <v>21.985808888538461</v>
      </c>
      <c r="L230" s="349">
        <f t="shared" si="107"/>
        <v>1.5252967445982977</v>
      </c>
      <c r="M230" s="337">
        <f t="shared" si="91"/>
        <v>1.0009603176524868</v>
      </c>
      <c r="N230" s="340">
        <f t="shared" si="92"/>
        <v>4.380752842612802E-2</v>
      </c>
      <c r="O230" s="341">
        <f t="shared" si="93"/>
        <v>0.9981828956299752</v>
      </c>
      <c r="P230" s="342">
        <f t="shared" si="94"/>
        <v>2.026212035394374E-2</v>
      </c>
      <c r="Q230" s="343">
        <f t="shared" si="95"/>
        <v>-6.970071137734978</v>
      </c>
      <c r="R230" s="344">
        <f t="shared" si="96"/>
        <v>-93.578175263911604</v>
      </c>
      <c r="S230" s="346">
        <f t="shared" si="97"/>
        <v>86.421824736088396</v>
      </c>
      <c r="U230" s="319">
        <f t="shared" si="103"/>
        <v>13490</v>
      </c>
      <c r="V230" s="319">
        <f t="shared" si="104"/>
        <v>181980100</v>
      </c>
      <c r="X230" s="345">
        <f t="shared" si="98"/>
        <v>31.573735681187038</v>
      </c>
      <c r="Y230" s="346">
        <f t="shared" si="99"/>
        <v>-5.1156330980489759</v>
      </c>
      <c r="AA230" s="345">
        <f t="shared" si="100"/>
        <v>10.204159985027628</v>
      </c>
      <c r="AB230" s="346">
        <f t="shared" si="101"/>
        <v>-88.462542165862644</v>
      </c>
      <c r="AD230">
        <f t="shared" si="105"/>
        <v>0</v>
      </c>
      <c r="AE230">
        <f t="shared" si="108"/>
        <v>0</v>
      </c>
    </row>
    <row r="231" spans="1:31" x14ac:dyDescent="0.2">
      <c r="A231" s="347">
        <v>13568.5</v>
      </c>
      <c r="B231" s="364">
        <f t="shared" si="102"/>
        <v>13.5685</v>
      </c>
      <c r="C231" s="337">
        <f t="shared" si="83"/>
        <v>76.173218545966336</v>
      </c>
      <c r="D231" s="338">
        <f t="shared" si="84"/>
        <v>1.5576679761059626</v>
      </c>
      <c r="E231" s="338">
        <f t="shared" si="85"/>
        <v>1.000581282428789</v>
      </c>
      <c r="F231" s="339">
        <f t="shared" si="86"/>
        <v>3.4088150257879486E-2</v>
      </c>
      <c r="G231" s="338">
        <f t="shared" si="87"/>
        <v>1</v>
      </c>
      <c r="H231" s="339">
        <f t="shared" si="88"/>
        <v>0</v>
      </c>
      <c r="I231" s="337">
        <f t="shared" si="89"/>
        <v>44763.075057263988</v>
      </c>
      <c r="J231" s="340">
        <f t="shared" si="90"/>
        <v>1.5707739869534356</v>
      </c>
      <c r="K231" s="348">
        <f t="shared" si="106"/>
        <v>22.113483152437045</v>
      </c>
      <c r="L231" s="349">
        <f t="shared" si="107"/>
        <v>1.5255596205519637</v>
      </c>
      <c r="M231" s="337">
        <f t="shared" si="91"/>
        <v>1.0009715211488215</v>
      </c>
      <c r="N231" s="340">
        <f t="shared" si="92"/>
        <v>4.4062121053991439E-2</v>
      </c>
      <c r="O231" s="341">
        <f t="shared" si="93"/>
        <v>0.99816169083574147</v>
      </c>
      <c r="P231" s="342">
        <f t="shared" si="94"/>
        <v>2.0380477460829709E-2</v>
      </c>
      <c r="Q231" s="343">
        <f t="shared" si="95"/>
        <v>-7.0204183453555</v>
      </c>
      <c r="R231" s="344">
        <f t="shared" si="96"/>
        <v>-93.57757516321783</v>
      </c>
      <c r="S231" s="346">
        <f t="shared" si="97"/>
        <v>86.42242483678217</v>
      </c>
      <c r="U231" s="319">
        <f t="shared" si="103"/>
        <v>13568.5</v>
      </c>
      <c r="V231" s="319">
        <f t="shared" si="104"/>
        <v>184104192.25</v>
      </c>
      <c r="X231" s="345">
        <f t="shared" si="98"/>
        <v>31.573534802047444</v>
      </c>
      <c r="Y231" s="346">
        <f t="shared" si="99"/>
        <v>-5.1151659467956234</v>
      </c>
      <c r="AA231" s="345">
        <f t="shared" si="100"/>
        <v>10.154013656546697</v>
      </c>
      <c r="AB231" s="346">
        <f t="shared" si="101"/>
        <v>-88.462409216422202</v>
      </c>
      <c r="AD231">
        <f t="shared" si="105"/>
        <v>0</v>
      </c>
      <c r="AE231">
        <f t="shared" si="108"/>
        <v>0</v>
      </c>
    </row>
    <row r="232" spans="1:31" x14ac:dyDescent="0.2">
      <c r="A232" s="347">
        <v>13647</v>
      </c>
      <c r="B232" s="364">
        <f t="shared" si="102"/>
        <v>13.647</v>
      </c>
      <c r="C232" s="337">
        <f t="shared" si="83"/>
        <v>76.61383984333655</v>
      </c>
      <c r="D232" s="338">
        <f t="shared" si="84"/>
        <v>1.5577434841397544</v>
      </c>
      <c r="E232" s="338">
        <f t="shared" si="85"/>
        <v>1.0005880258744007</v>
      </c>
      <c r="F232" s="339">
        <f t="shared" si="86"/>
        <v>3.428521178453961E-2</v>
      </c>
      <c r="G232" s="338">
        <f t="shared" si="87"/>
        <v>1</v>
      </c>
      <c r="H232" s="339">
        <f t="shared" si="88"/>
        <v>0</v>
      </c>
      <c r="I232" s="337">
        <f t="shared" si="89"/>
        <v>45022.049991136315</v>
      </c>
      <c r="J232" s="340">
        <f t="shared" si="90"/>
        <v>1.5707741154562243</v>
      </c>
      <c r="K232" s="348">
        <f t="shared" si="106"/>
        <v>22.241158926916306</v>
      </c>
      <c r="L232" s="349">
        <f t="shared" si="107"/>
        <v>1.5258194784350969</v>
      </c>
      <c r="M232" s="337">
        <f t="shared" si="91"/>
        <v>1.000982789524079</v>
      </c>
      <c r="N232" s="340">
        <f t="shared" si="92"/>
        <v>4.4316707966299072E-2</v>
      </c>
      <c r="O232" s="341">
        <f t="shared" si="93"/>
        <v>0.99814036311463605</v>
      </c>
      <c r="P232" s="342">
        <f t="shared" si="94"/>
        <v>2.0498842407006147E-2</v>
      </c>
      <c r="Q232" s="343">
        <f t="shared" si="95"/>
        <v>-7.0704723384280497</v>
      </c>
      <c r="R232" s="344">
        <f t="shared" si="96"/>
        <v>-93.577097831234269</v>
      </c>
      <c r="S232" s="346">
        <f t="shared" si="97"/>
        <v>86.422902168765731</v>
      </c>
      <c r="U232" s="319">
        <f t="shared" si="103"/>
        <v>13647</v>
      </c>
      <c r="V232" s="319">
        <f t="shared" si="104"/>
        <v>186240609</v>
      </c>
      <c r="X232" s="345">
        <f t="shared" si="98"/>
        <v>31.57333514228268</v>
      </c>
      <c r="Y232" s="346">
        <f t="shared" si="99"/>
        <v>-5.1148713050804879</v>
      </c>
      <c r="AA232" s="345">
        <f t="shared" si="100"/>
        <v>10.104159323238912</v>
      </c>
      <c r="AB232" s="346">
        <f t="shared" si="101"/>
        <v>-88.462226526153771</v>
      </c>
      <c r="AD232">
        <f t="shared" si="105"/>
        <v>0</v>
      </c>
      <c r="AE232">
        <f t="shared" si="108"/>
        <v>0</v>
      </c>
    </row>
    <row r="233" spans="1:31" x14ac:dyDescent="0.2">
      <c r="A233" s="347">
        <v>13725.5</v>
      </c>
      <c r="B233" s="364">
        <f t="shared" si="102"/>
        <v>13.7255</v>
      </c>
      <c r="C233" s="337">
        <f t="shared" si="83"/>
        <v>77.054461572522129</v>
      </c>
      <c r="D233" s="338">
        <f t="shared" si="84"/>
        <v>1.5578181286164334</v>
      </c>
      <c r="E233" s="338">
        <f t="shared" si="85"/>
        <v>1.000594808175568</v>
      </c>
      <c r="F233" s="339">
        <f t="shared" si="86"/>
        <v>3.4482270647379853E-2</v>
      </c>
      <c r="G233" s="338">
        <f t="shared" si="87"/>
        <v>1</v>
      </c>
      <c r="H233" s="339">
        <f t="shared" si="88"/>
        <v>0</v>
      </c>
      <c r="I233" s="337">
        <f t="shared" si="89"/>
        <v>45281.024925009369</v>
      </c>
      <c r="J233" s="340">
        <f t="shared" si="90"/>
        <v>1.5707742424891253</v>
      </c>
      <c r="K233" s="348">
        <f t="shared" si="106"/>
        <v>22.36883618611018</v>
      </c>
      <c r="L233" s="349">
        <f t="shared" si="107"/>
        <v>1.5260763698920961</v>
      </c>
      <c r="M233" s="337">
        <f t="shared" si="91"/>
        <v>1.0009941227760684</v>
      </c>
      <c r="N233" s="340">
        <f t="shared" si="92"/>
        <v>4.4571289130242678E-2</v>
      </c>
      <c r="O233" s="341">
        <f t="shared" si="93"/>
        <v>0.99811891246854878</v>
      </c>
      <c r="P233" s="342">
        <f t="shared" si="94"/>
        <v>2.0617215238366602E-2</v>
      </c>
      <c r="Q233" s="343">
        <f t="shared" si="95"/>
        <v>-7.1202364891678336</v>
      </c>
      <c r="R233" s="344">
        <f t="shared" si="96"/>
        <v>-93.576741175608689</v>
      </c>
      <c r="S233" s="346">
        <f t="shared" si="97"/>
        <v>86.423258824391311</v>
      </c>
      <c r="U233" s="319">
        <f t="shared" si="103"/>
        <v>13725.5</v>
      </c>
      <c r="V233" s="319">
        <f t="shared" si="104"/>
        <v>188389350.25</v>
      </c>
      <c r="X233" s="345">
        <f t="shared" si="98"/>
        <v>31.573136661365332</v>
      </c>
      <c r="Y233" s="346">
        <f t="shared" si="99"/>
        <v>-5.1147462134879165</v>
      </c>
      <c r="AA233" s="345">
        <f t="shared" si="100"/>
        <v>10.054593653416477</v>
      </c>
      <c r="AB233" s="346">
        <f t="shared" si="101"/>
        <v>-88.461994962120755</v>
      </c>
      <c r="AD233">
        <f t="shared" si="105"/>
        <v>0</v>
      </c>
      <c r="AE233">
        <f t="shared" si="108"/>
        <v>0</v>
      </c>
    </row>
    <row r="234" spans="1:31" x14ac:dyDescent="0.2">
      <c r="A234" s="347">
        <v>13804</v>
      </c>
      <c r="B234" s="364">
        <f t="shared" si="102"/>
        <v>13.804</v>
      </c>
      <c r="C234" s="337">
        <f t="shared" si="83"/>
        <v>77.495083726157375</v>
      </c>
      <c r="D234" s="338">
        <f t="shared" si="84"/>
        <v>1.5578919242652203</v>
      </c>
      <c r="E234" s="338">
        <f t="shared" si="85"/>
        <v>1.000601629331501</v>
      </c>
      <c r="F234" s="339">
        <f t="shared" si="86"/>
        <v>3.4679326831150083E-2</v>
      </c>
      <c r="G234" s="338">
        <f t="shared" si="87"/>
        <v>1</v>
      </c>
      <c r="H234" s="339">
        <f t="shared" si="88"/>
        <v>0</v>
      </c>
      <c r="I234" s="337">
        <f t="shared" si="89"/>
        <v>45539.999858883144</v>
      </c>
      <c r="J234" s="340">
        <f t="shared" si="90"/>
        <v>1.5707743680772159</v>
      </c>
      <c r="K234" s="348">
        <f t="shared" si="106"/>
        <v>22.496514904739513</v>
      </c>
      <c r="L234" s="349">
        <f t="shared" si="107"/>
        <v>1.5263303453965178</v>
      </c>
      <c r="M234" s="337">
        <f t="shared" si="91"/>
        <v>1.0010055209025859</v>
      </c>
      <c r="N234" s="340">
        <f t="shared" si="92"/>
        <v>4.482586451301844E-2</v>
      </c>
      <c r="O234" s="341">
        <f t="shared" si="93"/>
        <v>0.99809733889938135</v>
      </c>
      <c r="P234" s="342">
        <f t="shared" si="94"/>
        <v>2.0735596000813979E-2</v>
      </c>
      <c r="Q234" s="343">
        <f t="shared" si="95"/>
        <v>-7.169714111677445</v>
      </c>
      <c r="R234" s="344">
        <f t="shared" si="96"/>
        <v>-93.576503151402548</v>
      </c>
      <c r="S234" s="346">
        <f t="shared" si="97"/>
        <v>86.423496848597452</v>
      </c>
      <c r="U234" s="319">
        <f t="shared" si="103"/>
        <v>13804</v>
      </c>
      <c r="V234" s="319">
        <f t="shared" si="104"/>
        <v>190550416</v>
      </c>
      <c r="X234" s="345">
        <f t="shared" si="98"/>
        <v>31.572939319916049</v>
      </c>
      <c r="Y234" s="346">
        <f t="shared" si="99"/>
        <v>-5.1147877796534109</v>
      </c>
      <c r="AA234" s="345">
        <f t="shared" si="100"/>
        <v>10.005313372356149</v>
      </c>
      <c r="AB234" s="346">
        <f t="shared" si="101"/>
        <v>-88.461715371749136</v>
      </c>
      <c r="AD234">
        <f t="shared" si="105"/>
        <v>0</v>
      </c>
      <c r="AE234">
        <f t="shared" si="108"/>
        <v>0</v>
      </c>
    </row>
    <row r="235" spans="1:31" x14ac:dyDescent="0.2">
      <c r="A235" s="347">
        <v>13884.25</v>
      </c>
      <c r="B235" s="364">
        <f t="shared" si="102"/>
        <v>13.88425</v>
      </c>
      <c r="C235" s="337">
        <f t="shared" si="83"/>
        <v>77.945529097909699</v>
      </c>
      <c r="D235" s="338">
        <f t="shared" si="84"/>
        <v>1.5579665026065783</v>
      </c>
      <c r="E235" s="338">
        <f t="shared" si="85"/>
        <v>1.0006086427142962</v>
      </c>
      <c r="F235" s="339">
        <f t="shared" si="86"/>
        <v>3.4880773201967787E-2</v>
      </c>
      <c r="G235" s="338">
        <f t="shared" si="87"/>
        <v>1</v>
      </c>
      <c r="H235" s="339">
        <f t="shared" si="88"/>
        <v>0</v>
      </c>
      <c r="I235" s="337">
        <f t="shared" si="89"/>
        <v>45804.748119308984</v>
      </c>
      <c r="J235" s="340">
        <f t="shared" si="90"/>
        <v>1.5707744949970779</v>
      </c>
      <c r="K235" s="348">
        <f t="shared" si="106"/>
        <v>22.62704144710316</v>
      </c>
      <c r="L235" s="349">
        <f t="shared" si="107"/>
        <v>1.5265870199603306</v>
      </c>
      <c r="M235" s="337">
        <f t="shared" si="91"/>
        <v>1.0010172401851773</v>
      </c>
      <c r="N235" s="340">
        <f t="shared" si="92"/>
        <v>4.5086109133101043E-2</v>
      </c>
      <c r="O235" s="341">
        <f t="shared" si="93"/>
        <v>0.99807515732865515</v>
      </c>
      <c r="P235" s="342">
        <f t="shared" si="94"/>
        <v>2.0856624070925565E-2</v>
      </c>
      <c r="Q235" s="343">
        <f t="shared" si="95"/>
        <v>-7.2200019494726106</v>
      </c>
      <c r="R235" s="344">
        <f t="shared" si="96"/>
        <v>-93.576380367508548</v>
      </c>
      <c r="S235" s="346">
        <f t="shared" si="97"/>
        <v>86.423619632491452</v>
      </c>
      <c r="U235" s="319">
        <f t="shared" si="103"/>
        <v>13884.25</v>
      </c>
      <c r="V235" s="319">
        <f t="shared" si="104"/>
        <v>192772398.0625</v>
      </c>
      <c r="X235" s="345">
        <f t="shared" si="98"/>
        <v>31.57273871714257</v>
      </c>
      <c r="Y235" s="346">
        <f t="shared" si="99"/>
        <v>-5.1149996007829577</v>
      </c>
      <c r="AA235" s="345">
        <f t="shared" si="100"/>
        <v>9.9552261373344599</v>
      </c>
      <c r="AB235" s="346">
        <f t="shared" si="101"/>
        <v>-88.461380766725583</v>
      </c>
      <c r="AD235">
        <f t="shared" si="105"/>
        <v>0</v>
      </c>
      <c r="AE235">
        <f t="shared" si="108"/>
        <v>0</v>
      </c>
    </row>
    <row r="236" spans="1:31" x14ac:dyDescent="0.2">
      <c r="A236" s="347">
        <v>13964.5</v>
      </c>
      <c r="B236" s="364">
        <f t="shared" si="102"/>
        <v>13.964499999999999</v>
      </c>
      <c r="C236" s="337">
        <f t="shared" si="83"/>
        <v>78.395974898207612</v>
      </c>
      <c r="D236" s="338">
        <f t="shared" si="84"/>
        <v>1.558040223927285</v>
      </c>
      <c r="E236" s="338">
        <f t="shared" si="85"/>
        <v>1.0006156967018607</v>
      </c>
      <c r="F236" s="339">
        <f t="shared" si="86"/>
        <v>3.5082216740708445E-2</v>
      </c>
      <c r="G236" s="338">
        <f t="shared" si="87"/>
        <v>1</v>
      </c>
      <c r="H236" s="339">
        <f t="shared" si="88"/>
        <v>0</v>
      </c>
      <c r="I236" s="337">
        <f t="shared" si="89"/>
        <v>46069.496379735552</v>
      </c>
      <c r="J236" s="340">
        <f t="shared" si="90"/>
        <v>1.5707746204581954</v>
      </c>
      <c r="K236" s="348">
        <f t="shared" si="106"/>
        <v>22.757569463077679</v>
      </c>
      <c r="L236" s="349">
        <f t="shared" si="107"/>
        <v>1.5268407501821983</v>
      </c>
      <c r="M236" s="337">
        <f t="shared" si="91"/>
        <v>1.0010290272623359</v>
      </c>
      <c r="N236" s="340">
        <f t="shared" si="92"/>
        <v>4.5346347642068359E-2</v>
      </c>
      <c r="O236" s="341">
        <f t="shared" si="93"/>
        <v>0.99805284729716559</v>
      </c>
      <c r="P236" s="342">
        <f t="shared" si="94"/>
        <v>2.0977660526725381E-2</v>
      </c>
      <c r="Q236" s="343">
        <f t="shared" si="95"/>
        <v>-7.2699971655743747</v>
      </c>
      <c r="R236" s="344">
        <f t="shared" si="96"/>
        <v>-93.576377387324897</v>
      </c>
      <c r="S236" s="346">
        <f t="shared" si="97"/>
        <v>86.423622612675103</v>
      </c>
      <c r="U236" s="319">
        <f t="shared" si="103"/>
        <v>13964.5</v>
      </c>
      <c r="V236" s="319">
        <f t="shared" si="104"/>
        <v>195007260.25</v>
      </c>
      <c r="X236" s="345">
        <f t="shared" si="98"/>
        <v>31.572539225487386</v>
      </c>
      <c r="Y236" s="346">
        <f t="shared" si="99"/>
        <v>-5.1153796865585894</v>
      </c>
      <c r="AA236" s="345">
        <f t="shared" si="100"/>
        <v>9.9054304128878865</v>
      </c>
      <c r="AB236" s="346">
        <f t="shared" si="101"/>
        <v>-88.460997700766299</v>
      </c>
      <c r="AD236">
        <f t="shared" si="105"/>
        <v>0</v>
      </c>
      <c r="AE236">
        <f t="shared" si="108"/>
        <v>0</v>
      </c>
    </row>
    <row r="237" spans="1:31" x14ac:dyDescent="0.2">
      <c r="A237" s="347">
        <v>14044.75</v>
      </c>
      <c r="B237" s="364">
        <f t="shared" si="102"/>
        <v>14.044750000000001</v>
      </c>
      <c r="C237" s="337">
        <f t="shared" si="83"/>
        <v>78.846421119706349</v>
      </c>
      <c r="D237" s="338">
        <f t="shared" si="84"/>
        <v>1.5581131029148985</v>
      </c>
      <c r="E237" s="338">
        <f t="shared" si="85"/>
        <v>1.0006227912933356</v>
      </c>
      <c r="F237" s="339">
        <f t="shared" si="86"/>
        <v>3.5283657431083172E-2</v>
      </c>
      <c r="G237" s="338">
        <f t="shared" si="87"/>
        <v>1</v>
      </c>
      <c r="H237" s="339">
        <f t="shared" si="88"/>
        <v>0</v>
      </c>
      <c r="I237" s="337">
        <f t="shared" si="89"/>
        <v>46334.24464016284</v>
      </c>
      <c r="J237" s="340">
        <f t="shared" si="90"/>
        <v>1.5707747444855735</v>
      </c>
      <c r="K237" s="348">
        <f t="shared" si="106"/>
        <v>22.888098927451598</v>
      </c>
      <c r="L237" s="349">
        <f t="shared" si="107"/>
        <v>1.5270915864033883</v>
      </c>
      <c r="M237" s="337">
        <f t="shared" si="91"/>
        <v>1.0010408821316668</v>
      </c>
      <c r="N237" s="340">
        <f t="shared" si="92"/>
        <v>4.5606580004888049E-2</v>
      </c>
      <c r="O237" s="341">
        <f t="shared" si="93"/>
        <v>0.99803040880698035</v>
      </c>
      <c r="P237" s="342">
        <f t="shared" si="94"/>
        <v>2.1098705417286003E-2</v>
      </c>
      <c r="Q237" s="343">
        <f t="shared" si="95"/>
        <v>-7.319703120903867</v>
      </c>
      <c r="R237" s="344">
        <f t="shared" si="96"/>
        <v>-93.576492171214966</v>
      </c>
      <c r="S237" s="346">
        <f t="shared" si="97"/>
        <v>86.423507828785034</v>
      </c>
      <c r="U237" s="319">
        <f t="shared" si="103"/>
        <v>14044.75</v>
      </c>
      <c r="V237" s="319">
        <f t="shared" si="104"/>
        <v>197255002.5625</v>
      </c>
      <c r="X237" s="345">
        <f t="shared" si="98"/>
        <v>31.572340806352265</v>
      </c>
      <c r="Y237" s="346">
        <f t="shared" si="99"/>
        <v>-5.1159251520636237</v>
      </c>
      <c r="AA237" s="345">
        <f t="shared" si="100"/>
        <v>9.8559228766935121</v>
      </c>
      <c r="AB237" s="346">
        <f t="shared" si="101"/>
        <v>-88.460567019151327</v>
      </c>
      <c r="AD237">
        <f t="shared" si="105"/>
        <v>0</v>
      </c>
      <c r="AE237">
        <f t="shared" si="108"/>
        <v>0</v>
      </c>
    </row>
    <row r="238" spans="1:31" x14ac:dyDescent="0.2">
      <c r="A238" s="347">
        <v>14125</v>
      </c>
      <c r="B238" s="364">
        <f t="shared" si="102"/>
        <v>14.125</v>
      </c>
      <c r="C238" s="337">
        <f t="shared" si="83"/>
        <v>79.296867755228007</v>
      </c>
      <c r="D238" s="338">
        <f t="shared" si="84"/>
        <v>1.5581851539232825</v>
      </c>
      <c r="E238" s="338">
        <f t="shared" si="85"/>
        <v>1.0006299264878573</v>
      </c>
      <c r="F238" s="339">
        <f t="shared" si="86"/>
        <v>3.5485095256804468E-2</v>
      </c>
      <c r="G238" s="338">
        <f t="shared" si="87"/>
        <v>1</v>
      </c>
      <c r="H238" s="339">
        <f t="shared" si="88"/>
        <v>0</v>
      </c>
      <c r="I238" s="337">
        <f t="shared" si="89"/>
        <v>46598.992900590827</v>
      </c>
      <c r="J238" s="340">
        <f t="shared" si="90"/>
        <v>1.5707748671036494</v>
      </c>
      <c r="K238" s="348">
        <f t="shared" si="106"/>
        <v>23.018629815585033</v>
      </c>
      <c r="L238" s="349">
        <f t="shared" si="107"/>
        <v>1.5273395778247705</v>
      </c>
      <c r="M238" s="337">
        <f t="shared" si="91"/>
        <v>1.0010528047907612</v>
      </c>
      <c r="N238" s="340">
        <f t="shared" si="92"/>
        <v>4.5866806186532758E-2</v>
      </c>
      <c r="O238" s="341">
        <f t="shared" si="93"/>
        <v>0.99800784186017888</v>
      </c>
      <c r="P238" s="342">
        <f t="shared" si="94"/>
        <v>2.1219758791690486E-2</v>
      </c>
      <c r="Q238" s="343">
        <f t="shared" si="95"/>
        <v>-7.3691231185367929</v>
      </c>
      <c r="R238" s="344">
        <f t="shared" si="96"/>
        <v>-93.576722725731003</v>
      </c>
      <c r="S238" s="346">
        <f t="shared" si="97"/>
        <v>86.423277274268997</v>
      </c>
      <c r="U238" s="319">
        <f t="shared" si="103"/>
        <v>14125</v>
      </c>
      <c r="V238" s="319">
        <f t="shared" si="104"/>
        <v>199515625</v>
      </c>
      <c r="X238" s="345">
        <f t="shared" si="98"/>
        <v>31.572143422231683</v>
      </c>
      <c r="Y238" s="346">
        <f t="shared" si="99"/>
        <v>-5.1166331776890681</v>
      </c>
      <c r="AA238" s="345">
        <f t="shared" si="100"/>
        <v>9.8067002631811704</v>
      </c>
      <c r="AB238" s="346">
        <f t="shared" si="101"/>
        <v>-88.460089548041921</v>
      </c>
      <c r="AD238">
        <f t="shared" si="105"/>
        <v>0</v>
      </c>
      <c r="AE238">
        <f t="shared" si="108"/>
        <v>0</v>
      </c>
    </row>
    <row r="239" spans="1:31" x14ac:dyDescent="0.2">
      <c r="A239" s="347">
        <v>14207.25</v>
      </c>
      <c r="B239" s="364">
        <f t="shared" si="102"/>
        <v>14.20725</v>
      </c>
      <c r="C239" s="337">
        <f t="shared" si="83"/>
        <v>79.758540897413397</v>
      </c>
      <c r="D239" s="338">
        <f t="shared" si="84"/>
        <v>1.5582581560838635</v>
      </c>
      <c r="E239" s="338">
        <f t="shared" si="85"/>
        <v>1.0006372816391602</v>
      </c>
      <c r="F239" s="339">
        <f t="shared" si="86"/>
        <v>3.5691550350191316E-2</v>
      </c>
      <c r="G239" s="338">
        <f t="shared" si="87"/>
        <v>1</v>
      </c>
      <c r="H239" s="339">
        <f t="shared" si="88"/>
        <v>0</v>
      </c>
      <c r="I239" s="337">
        <f t="shared" si="89"/>
        <v>46870.339248506833</v>
      </c>
      <c r="J239" s="340">
        <f t="shared" si="90"/>
        <v>1.5707749913401909</v>
      </c>
      <c r="K239" s="348">
        <f t="shared" si="106"/>
        <v>23.152415262194804</v>
      </c>
      <c r="L239" s="349">
        <f t="shared" si="107"/>
        <v>1.5275908479996512</v>
      </c>
      <c r="M239" s="337">
        <f t="shared" si="91"/>
        <v>1.001065094930256</v>
      </c>
      <c r="N239" s="340">
        <f t="shared" si="92"/>
        <v>4.6133511305071144E-2</v>
      </c>
      <c r="O239" s="341">
        <f t="shared" si="93"/>
        <v>0.99798457920082073</v>
      </c>
      <c r="P239" s="342">
        <f t="shared" si="94"/>
        <v>2.1343837927621213E-2</v>
      </c>
      <c r="Q239" s="343">
        <f t="shared" si="95"/>
        <v>-7.419481427243384</v>
      </c>
      <c r="R239" s="344">
        <f t="shared" si="96"/>
        <v>-93.577077122090529</v>
      </c>
      <c r="S239" s="346">
        <f t="shared" si="97"/>
        <v>86.422922877909471</v>
      </c>
      <c r="U239" s="319">
        <f t="shared" si="103"/>
        <v>14207.25</v>
      </c>
      <c r="V239" s="319">
        <f t="shared" si="104"/>
        <v>201845952.5625</v>
      </c>
      <c r="X239" s="345">
        <f t="shared" si="98"/>
        <v>31.571942154777606</v>
      </c>
      <c r="Y239" s="346">
        <f t="shared" si="99"/>
        <v>-5.1175246530481804</v>
      </c>
      <c r="AA239" s="345">
        <f t="shared" si="100"/>
        <v>9.7565432219286521</v>
      </c>
      <c r="AB239" s="346">
        <f t="shared" si="101"/>
        <v>-88.459552469042336</v>
      </c>
      <c r="AD239">
        <f t="shared" si="105"/>
        <v>0</v>
      </c>
      <c r="AE239">
        <f t="shared" si="108"/>
        <v>0</v>
      </c>
    </row>
    <row r="240" spans="1:31" x14ac:dyDescent="0.2">
      <c r="A240" s="347">
        <v>14289.5</v>
      </c>
      <c r="B240" s="364">
        <f t="shared" si="102"/>
        <v>14.2895</v>
      </c>
      <c r="C240" s="337">
        <f t="shared" si="83"/>
        <v>80.220214459764705</v>
      </c>
      <c r="D240" s="338">
        <f t="shared" si="84"/>
        <v>1.5583303179786219</v>
      </c>
      <c r="E240" s="338">
        <f t="shared" si="85"/>
        <v>1.000644679440704</v>
      </c>
      <c r="F240" s="339">
        <f t="shared" si="86"/>
        <v>3.5898002399718174E-2</v>
      </c>
      <c r="G240" s="338">
        <f t="shared" si="87"/>
        <v>1</v>
      </c>
      <c r="H240" s="339">
        <f t="shared" si="88"/>
        <v>0</v>
      </c>
      <c r="I240" s="337">
        <f t="shared" si="89"/>
        <v>47141.685596423566</v>
      </c>
      <c r="J240" s="340">
        <f t="shared" si="90"/>
        <v>1.5707751141465276</v>
      </c>
      <c r="K240" s="348">
        <f t="shared" si="106"/>
        <v>23.286202153775147</v>
      </c>
      <c r="L240" s="349">
        <f t="shared" si="107"/>
        <v>1.5278392309304398</v>
      </c>
      <c r="M240" s="337">
        <f t="shared" si="91"/>
        <v>1.0010774562753817</v>
      </c>
      <c r="N240" s="340">
        <f t="shared" si="92"/>
        <v>4.6400209856008547E-2</v>
      </c>
      <c r="O240" s="341">
        <f t="shared" si="93"/>
        <v>0.99796118160670089</v>
      </c>
      <c r="P240" s="342">
        <f t="shared" si="94"/>
        <v>2.1467926079975098E-2</v>
      </c>
      <c r="Q240" s="343">
        <f t="shared" si="95"/>
        <v>-7.4695461926328202</v>
      </c>
      <c r="R240" s="344">
        <f t="shared" si="96"/>
        <v>-93.5775490344286</v>
      </c>
      <c r="S240" s="346">
        <f t="shared" si="97"/>
        <v>86.4224509655714</v>
      </c>
      <c r="U240" s="319">
        <f t="shared" si="103"/>
        <v>14289.5</v>
      </c>
      <c r="V240" s="319">
        <f t="shared" si="104"/>
        <v>204189810.25</v>
      </c>
      <c r="X240" s="345">
        <f t="shared" si="98"/>
        <v>31.571741898154215</v>
      </c>
      <c r="Y240" s="346">
        <f t="shared" si="99"/>
        <v>-5.1185810970678638</v>
      </c>
      <c r="AA240" s="345">
        <f t="shared" si="100"/>
        <v>9.70667871316261</v>
      </c>
      <c r="AB240" s="346">
        <f t="shared" si="101"/>
        <v>-88.45896793736074</v>
      </c>
      <c r="AD240">
        <f t="shared" si="105"/>
        <v>0</v>
      </c>
      <c r="AE240">
        <f t="shared" si="108"/>
        <v>0</v>
      </c>
    </row>
    <row r="241" spans="1:31" x14ac:dyDescent="0.2">
      <c r="A241" s="347">
        <v>14371.75</v>
      </c>
      <c r="B241" s="364">
        <f t="shared" si="102"/>
        <v>14.37175</v>
      </c>
      <c r="C241" s="337">
        <f t="shared" si="83"/>
        <v>80.68188843506924</v>
      </c>
      <c r="D241" s="338">
        <f t="shared" si="84"/>
        <v>1.5584016540311836</v>
      </c>
      <c r="E241" s="338">
        <f t="shared" si="85"/>
        <v>1.0006521198915423</v>
      </c>
      <c r="F241" s="339">
        <f t="shared" si="86"/>
        <v>3.6104451387853773E-2</v>
      </c>
      <c r="G241" s="338">
        <f t="shared" si="87"/>
        <v>1</v>
      </c>
      <c r="H241" s="339">
        <f t="shared" si="88"/>
        <v>0</v>
      </c>
      <c r="I241" s="337">
        <f t="shared" si="89"/>
        <v>47413.03194434099</v>
      </c>
      <c r="J241" s="340">
        <f t="shared" si="90"/>
        <v>1.5707752355472151</v>
      </c>
      <c r="K241" s="348">
        <f t="shared" si="106"/>
        <v>23.419990465562851</v>
      </c>
      <c r="L241" s="349">
        <f t="shared" si="107"/>
        <v>1.5280847760669662</v>
      </c>
      <c r="M241" s="337">
        <f t="shared" si="91"/>
        <v>1.0010898888235003</v>
      </c>
      <c r="N241" s="340">
        <f t="shared" si="92"/>
        <v>4.6666901801649431E-2</v>
      </c>
      <c r="O241" s="341">
        <f t="shared" si="93"/>
        <v>0.99793764908009808</v>
      </c>
      <c r="P241" s="342">
        <f t="shared" si="94"/>
        <v>2.1592023301631912E-2</v>
      </c>
      <c r="Q241" s="343">
        <f t="shared" si="95"/>
        <v>-7.5193207903482193</v>
      </c>
      <c r="R241" s="344">
        <f t="shared" si="96"/>
        <v>-93.578136459172953</v>
      </c>
      <c r="S241" s="346">
        <f t="shared" si="97"/>
        <v>86.421863540827047</v>
      </c>
      <c r="U241" s="319">
        <f t="shared" si="103"/>
        <v>14371.75</v>
      </c>
      <c r="V241" s="319">
        <f t="shared" si="104"/>
        <v>206547198.0625</v>
      </c>
      <c r="X241" s="345">
        <f t="shared" si="98"/>
        <v>31.571542615317529</v>
      </c>
      <c r="Y241" s="346">
        <f t="shared" si="99"/>
        <v>-5.1197996757287081</v>
      </c>
      <c r="AA241" s="345">
        <f t="shared" si="100"/>
        <v>9.6571033982838959</v>
      </c>
      <c r="AB241" s="346">
        <f t="shared" si="101"/>
        <v>-88.458336783444253</v>
      </c>
      <c r="AD241">
        <f t="shared" si="105"/>
        <v>0</v>
      </c>
      <c r="AE241">
        <f t="shared" si="108"/>
        <v>0</v>
      </c>
    </row>
    <row r="242" spans="1:31" x14ac:dyDescent="0.2">
      <c r="A242" s="347">
        <v>14454</v>
      </c>
      <c r="B242" s="364">
        <f t="shared" si="102"/>
        <v>14.454000000000001</v>
      </c>
      <c r="C242" s="337">
        <f t="shared" si="83"/>
        <v>81.143562816278305</v>
      </c>
      <c r="D242" s="338">
        <f t="shared" si="84"/>
        <v>1.5584721783369511</v>
      </c>
      <c r="E242" s="338">
        <f t="shared" si="85"/>
        <v>1.0006596029907244</v>
      </c>
      <c r="F242" s="339">
        <f t="shared" si="86"/>
        <v>3.6310897297068392E-2</v>
      </c>
      <c r="G242" s="338">
        <f t="shared" si="87"/>
        <v>1</v>
      </c>
      <c r="H242" s="339">
        <f t="shared" si="88"/>
        <v>0</v>
      </c>
      <c r="I242" s="337">
        <f t="shared" si="89"/>
        <v>47684.378292259113</v>
      </c>
      <c r="J242" s="340">
        <f t="shared" si="90"/>
        <v>1.5707753555662494</v>
      </c>
      <c r="K242" s="348">
        <f t="shared" si="106"/>
        <v>23.553780173357065</v>
      </c>
      <c r="L242" s="349">
        <f t="shared" si="107"/>
        <v>1.5283275317369118</v>
      </c>
      <c r="M242" s="337">
        <f t="shared" si="91"/>
        <v>1.0011023925719591</v>
      </c>
      <c r="N242" s="340">
        <f t="shared" si="92"/>
        <v>4.6933587104303891E-2</v>
      </c>
      <c r="O242" s="341">
        <f t="shared" si="93"/>
        <v>0.9979139816233048</v>
      </c>
      <c r="P242" s="342">
        <f t="shared" si="94"/>
        <v>2.1716129645483247E-2</v>
      </c>
      <c r="Q242" s="343">
        <f t="shared" si="95"/>
        <v>-7.5688085378584375</v>
      </c>
      <c r="R242" s="344">
        <f t="shared" si="96"/>
        <v>-93.578837438208694</v>
      </c>
      <c r="S242" s="346">
        <f t="shared" si="97"/>
        <v>86.421162561791306</v>
      </c>
      <c r="U242" s="319">
        <f t="shared" si="103"/>
        <v>14454</v>
      </c>
      <c r="V242" s="319">
        <f t="shared" si="104"/>
        <v>208918116</v>
      </c>
      <c r="X242" s="345">
        <f t="shared" si="98"/>
        <v>31.571344270274174</v>
      </c>
      <c r="Y242" s="346">
        <f t="shared" si="99"/>
        <v>-5.1211776192739267</v>
      </c>
      <c r="AA242" s="345">
        <f t="shared" si="100"/>
        <v>9.6078139958170325</v>
      </c>
      <c r="AB242" s="346">
        <f t="shared" si="101"/>
        <v>-88.457659818934772</v>
      </c>
      <c r="AD242">
        <f t="shared" si="105"/>
        <v>0</v>
      </c>
      <c r="AE242">
        <f t="shared" si="108"/>
        <v>0</v>
      </c>
    </row>
    <row r="243" spans="1:31" x14ac:dyDescent="0.2">
      <c r="A243" s="347">
        <v>14622.5</v>
      </c>
      <c r="B243" s="364">
        <f t="shared" si="102"/>
        <v>14.6225</v>
      </c>
      <c r="C243" s="337">
        <f t="shared" si="83"/>
        <v>82.089365066920806</v>
      </c>
      <c r="D243" s="338">
        <f t="shared" si="84"/>
        <v>1.5586141795248856</v>
      </c>
      <c r="E243" s="338">
        <f t="shared" si="85"/>
        <v>1.0006750662854407</v>
      </c>
      <c r="F243" s="339">
        <f t="shared" si="86"/>
        <v>3.6733819349526187E-2</v>
      </c>
      <c r="G243" s="338">
        <f t="shared" si="87"/>
        <v>1</v>
      </c>
      <c r="H243" s="339">
        <f t="shared" si="88"/>
        <v>0</v>
      </c>
      <c r="I243" s="337">
        <f t="shared" si="89"/>
        <v>48240.267163072203</v>
      </c>
      <c r="J243" s="340">
        <f t="shared" si="90"/>
        <v>1.570775597224791</v>
      </c>
      <c r="K243" s="348">
        <f t="shared" si="106"/>
        <v>23.827870339591794</v>
      </c>
      <c r="L243" s="349">
        <f t="shared" si="107"/>
        <v>1.5288163358815392</v>
      </c>
      <c r="M243" s="337">
        <f t="shared" si="91"/>
        <v>1.0011282304844438</v>
      </c>
      <c r="N243" s="340">
        <f t="shared" si="92"/>
        <v>4.7479906304334671E-2</v>
      </c>
      <c r="O243" s="341">
        <f t="shared" si="93"/>
        <v>0.99786507436349081</v>
      </c>
      <c r="P243" s="342">
        <f t="shared" si="94"/>
        <v>2.1970406609477498E-2</v>
      </c>
      <c r="Q243" s="343">
        <f t="shared" si="95"/>
        <v>-7.6693086465285276</v>
      </c>
      <c r="R243" s="344">
        <f t="shared" si="96"/>
        <v>-93.580620071108285</v>
      </c>
      <c r="S243" s="346">
        <f t="shared" si="97"/>
        <v>86.419379928891715</v>
      </c>
      <c r="U243" s="319">
        <f t="shared" si="103"/>
        <v>14622.5</v>
      </c>
      <c r="V243" s="319">
        <f t="shared" si="104"/>
        <v>213817506.25</v>
      </c>
      <c r="X243" s="345">
        <f t="shared" si="98"/>
        <v>31.57094071640892</v>
      </c>
      <c r="Y243" s="346">
        <f t="shared" si="99"/>
        <v>-5.1244868352253032</v>
      </c>
      <c r="AA243" s="345">
        <f t="shared" si="100"/>
        <v>9.5077174410121934</v>
      </c>
      <c r="AB243" s="346">
        <f t="shared" si="101"/>
        <v>-88.456133235882959</v>
      </c>
      <c r="AD243">
        <f t="shared" si="105"/>
        <v>0</v>
      </c>
      <c r="AE243">
        <f t="shared" si="108"/>
        <v>0</v>
      </c>
    </row>
    <row r="244" spans="1:31" x14ac:dyDescent="0.2">
      <c r="A244" s="347">
        <v>14706.75</v>
      </c>
      <c r="B244" s="364">
        <f t="shared" si="102"/>
        <v>14.70675</v>
      </c>
      <c r="C244" s="337">
        <f t="shared" si="83"/>
        <v>82.562266802304904</v>
      </c>
      <c r="D244" s="338">
        <f t="shared" si="84"/>
        <v>1.5586839600840321</v>
      </c>
      <c r="E244" s="338">
        <f t="shared" si="85"/>
        <v>1.0006828650501673</v>
      </c>
      <c r="F244" s="339">
        <f t="shared" si="86"/>
        <v>3.6945275455365072E-2</v>
      </c>
      <c r="G244" s="338">
        <f t="shared" si="87"/>
        <v>1</v>
      </c>
      <c r="H244" s="339">
        <f t="shared" si="88"/>
        <v>0</v>
      </c>
      <c r="I244" s="337">
        <f t="shared" si="89"/>
        <v>48518.211598479786</v>
      </c>
      <c r="J244" s="340">
        <f t="shared" si="90"/>
        <v>1.5707757159774918</v>
      </c>
      <c r="K244" s="348">
        <f t="shared" si="106"/>
        <v>23.964917521025409</v>
      </c>
      <c r="L244" s="349">
        <f t="shared" si="107"/>
        <v>1.5290565450333657</v>
      </c>
      <c r="M244" s="337">
        <f t="shared" si="91"/>
        <v>1.0011412614868664</v>
      </c>
      <c r="N244" s="340">
        <f t="shared" si="92"/>
        <v>4.7753055288845318E-2</v>
      </c>
      <c r="O244" s="341">
        <f t="shared" si="93"/>
        <v>0.99784040838556964</v>
      </c>
      <c r="P244" s="342">
        <f t="shared" si="94"/>
        <v>2.2097559673756633E-2</v>
      </c>
      <c r="Q244" s="343">
        <f t="shared" si="95"/>
        <v>-7.7191209272508683</v>
      </c>
      <c r="R244" s="344">
        <f t="shared" si="96"/>
        <v>-93.58168211157836</v>
      </c>
      <c r="S244" s="346">
        <f t="shared" si="97"/>
        <v>86.41831788842164</v>
      </c>
      <c r="U244" s="319">
        <f t="shared" si="103"/>
        <v>14706.75</v>
      </c>
      <c r="V244" s="319">
        <f t="shared" si="104"/>
        <v>216288495.5625</v>
      </c>
      <c r="X244" s="345">
        <f t="shared" si="98"/>
        <v>31.570740270093914</v>
      </c>
      <c r="Y244" s="346">
        <f t="shared" si="99"/>
        <v>-5.1263809526466844</v>
      </c>
      <c r="AA244" s="345">
        <f t="shared" si="100"/>
        <v>9.4581056066048621</v>
      </c>
      <c r="AB244" s="346">
        <f t="shared" si="101"/>
        <v>-88.45530115893169</v>
      </c>
      <c r="AD244">
        <f t="shared" si="105"/>
        <v>0</v>
      </c>
      <c r="AE244">
        <f t="shared" si="108"/>
        <v>0</v>
      </c>
    </row>
    <row r="245" spans="1:31" x14ac:dyDescent="0.2">
      <c r="A245" s="347">
        <v>14791</v>
      </c>
      <c r="B245" s="364">
        <f t="shared" si="102"/>
        <v>14.791</v>
      </c>
      <c r="C245" s="337">
        <f t="shared" si="83"/>
        <v>83.035168935132447</v>
      </c>
      <c r="D245" s="338">
        <f t="shared" si="84"/>
        <v>1.5587529458146294</v>
      </c>
      <c r="E245" s="338">
        <f t="shared" si="85"/>
        <v>1.0006907085584134</v>
      </c>
      <c r="F245" s="339">
        <f t="shared" si="86"/>
        <v>3.7156728255832827E-2</v>
      </c>
      <c r="G245" s="338">
        <f t="shared" si="87"/>
        <v>1</v>
      </c>
      <c r="H245" s="339">
        <f t="shared" si="88"/>
        <v>0</v>
      </c>
      <c r="I245" s="337">
        <f t="shared" si="89"/>
        <v>48796.156033888037</v>
      </c>
      <c r="J245" s="340">
        <f t="shared" si="90"/>
        <v>1.570775833377354</v>
      </c>
      <c r="K245" s="348">
        <f t="shared" si="106"/>
        <v>24.101966069519754</v>
      </c>
      <c r="L245" s="349">
        <f t="shared" si="107"/>
        <v>1.5292940224452227</v>
      </c>
      <c r="M245" s="337">
        <f t="shared" si="91"/>
        <v>1.0011543671828587</v>
      </c>
      <c r="N245" s="340">
        <f t="shared" si="92"/>
        <v>4.8026197142374931E-2</v>
      </c>
      <c r="O245" s="341">
        <f t="shared" si="93"/>
        <v>0.99781560084566323</v>
      </c>
      <c r="P245" s="342">
        <f t="shared" si="94"/>
        <v>2.2224722535415395E-2</v>
      </c>
      <c r="Q245" s="343">
        <f t="shared" si="95"/>
        <v>-7.7686458127568416</v>
      </c>
      <c r="R245" s="344">
        <f t="shared" si="96"/>
        <v>-93.582855393543539</v>
      </c>
      <c r="S245" s="346">
        <f t="shared" si="97"/>
        <v>86.417144606456461</v>
      </c>
      <c r="U245" s="319">
        <f t="shared" si="103"/>
        <v>14791</v>
      </c>
      <c r="V245" s="319">
        <f t="shared" si="104"/>
        <v>218773681</v>
      </c>
      <c r="X245" s="345">
        <f t="shared" si="98"/>
        <v>31.570540664554908</v>
      </c>
      <c r="Y245" s="346">
        <f t="shared" si="99"/>
        <v>-5.1284311011521924</v>
      </c>
      <c r="AA245" s="345">
        <f t="shared" si="100"/>
        <v>9.408780326637892</v>
      </c>
      <c r="AB245" s="346">
        <f t="shared" si="101"/>
        <v>-88.454424292391352</v>
      </c>
      <c r="AD245">
        <f t="shared" si="105"/>
        <v>0</v>
      </c>
      <c r="AE245">
        <f t="shared" si="108"/>
        <v>0</v>
      </c>
    </row>
    <row r="246" spans="1:31" x14ac:dyDescent="0.2">
      <c r="A246" s="347">
        <v>14877.25</v>
      </c>
      <c r="B246" s="364">
        <f t="shared" si="102"/>
        <v>14.87725</v>
      </c>
      <c r="C246" s="337">
        <f t="shared" si="83"/>
        <v>83.519297636009412</v>
      </c>
      <c r="D246" s="338">
        <f t="shared" si="84"/>
        <v>1.5588227599296454</v>
      </c>
      <c r="E246" s="338">
        <f t="shared" si="85"/>
        <v>1.0006987846109703</v>
      </c>
      <c r="F246" s="339">
        <f t="shared" si="86"/>
        <v>3.7373197263687784E-2</v>
      </c>
      <c r="G246" s="338">
        <f t="shared" si="87"/>
        <v>1</v>
      </c>
      <c r="H246" s="339">
        <f t="shared" si="88"/>
        <v>0</v>
      </c>
      <c r="I246" s="337">
        <f t="shared" si="89"/>
        <v>49080.698556784424</v>
      </c>
      <c r="J246" s="340">
        <f t="shared" si="90"/>
        <v>1.5707759521867619</v>
      </c>
      <c r="K246" s="348">
        <f t="shared" si="106"/>
        <v>24.242269387937199</v>
      </c>
      <c r="L246" s="349">
        <f t="shared" si="107"/>
        <v>1.5295343558655088</v>
      </c>
      <c r="M246" s="337">
        <f t="shared" si="91"/>
        <v>1.0011678613645612</v>
      </c>
      <c r="N246" s="340">
        <f t="shared" si="92"/>
        <v>4.8305815646341205E-2</v>
      </c>
      <c r="O246" s="341">
        <f t="shared" si="93"/>
        <v>0.99779005776272578</v>
      </c>
      <c r="P246" s="342">
        <f t="shared" si="94"/>
        <v>2.2354914308449447E-2</v>
      </c>
      <c r="Q246" s="343">
        <f t="shared" si="95"/>
        <v>-7.8190520658902365</v>
      </c>
      <c r="R246" s="344">
        <f t="shared" si="96"/>
        <v>-93.584169803032935</v>
      </c>
      <c r="S246" s="346">
        <f t="shared" si="97"/>
        <v>86.415830196967065</v>
      </c>
      <c r="U246" s="319">
        <f t="shared" si="103"/>
        <v>14877.25</v>
      </c>
      <c r="V246" s="319">
        <f t="shared" si="104"/>
        <v>221332567.5625</v>
      </c>
      <c r="X246" s="345">
        <f t="shared" si="98"/>
        <v>31.570337156584543</v>
      </c>
      <c r="Y246" s="346">
        <f t="shared" si="99"/>
        <v>-5.1306887779250987</v>
      </c>
      <c r="AA246" s="345">
        <f t="shared" si="100"/>
        <v>9.3585775814748651</v>
      </c>
      <c r="AB246" s="346">
        <f t="shared" si="101"/>
        <v>-88.453481025107834</v>
      </c>
      <c r="AD246">
        <f t="shared" si="105"/>
        <v>0</v>
      </c>
      <c r="AE246">
        <f t="shared" si="108"/>
        <v>0</v>
      </c>
    </row>
    <row r="247" spans="1:31" x14ac:dyDescent="0.2">
      <c r="A247" s="347">
        <v>14963.5</v>
      </c>
      <c r="B247" s="364">
        <f t="shared" si="102"/>
        <v>14.9635</v>
      </c>
      <c r="C247" s="337">
        <f t="shared" si="83"/>
        <v>84.003426739268235</v>
      </c>
      <c r="D247" s="338">
        <f t="shared" si="84"/>
        <v>1.5588917693386577</v>
      </c>
      <c r="E247" s="338">
        <f t="shared" si="85"/>
        <v>1.0007069075543447</v>
      </c>
      <c r="F247" s="339">
        <f t="shared" si="86"/>
        <v>3.7589662767439191E-2</v>
      </c>
      <c r="G247" s="338">
        <f t="shared" si="87"/>
        <v>1</v>
      </c>
      <c r="H247" s="339">
        <f t="shared" si="88"/>
        <v>0</v>
      </c>
      <c r="I247" s="337">
        <f t="shared" si="89"/>
        <v>49365.241079681487</v>
      </c>
      <c r="J247" s="340">
        <f t="shared" si="90"/>
        <v>1.5707760696265287</v>
      </c>
      <c r="K247" s="348">
        <f t="shared" si="106"/>
        <v>24.382574090477164</v>
      </c>
      <c r="L247" s="349">
        <f t="shared" si="107"/>
        <v>1.5297719233970719</v>
      </c>
      <c r="M247" s="337">
        <f t="shared" si="91"/>
        <v>1.0011814338219687</v>
      </c>
      <c r="N247" s="340">
        <f t="shared" si="92"/>
        <v>4.858542659090509E-2</v>
      </c>
      <c r="O247" s="341">
        <f t="shared" si="93"/>
        <v>0.99776436632238108</v>
      </c>
      <c r="P247" s="342">
        <f t="shared" si="94"/>
        <v>2.2485116470261465E-2</v>
      </c>
      <c r="Q247" s="343">
        <f t="shared" si="95"/>
        <v>-7.8691639892091017</v>
      </c>
      <c r="R247" s="344">
        <f t="shared" si="96"/>
        <v>-93.585596864422101</v>
      </c>
      <c r="S247" s="346">
        <f t="shared" si="97"/>
        <v>86.414403135577899</v>
      </c>
      <c r="U247" s="319">
        <f t="shared" si="103"/>
        <v>14963.5</v>
      </c>
      <c r="V247" s="319">
        <f t="shared" si="104"/>
        <v>223906332.25</v>
      </c>
      <c r="X247" s="345">
        <f t="shared" si="98"/>
        <v>31.570134459752005</v>
      </c>
      <c r="Y247" s="346">
        <f t="shared" si="99"/>
        <v>-5.1331044168521176</v>
      </c>
      <c r="AA247" s="345">
        <f t="shared" si="100"/>
        <v>9.3086683549885372</v>
      </c>
      <c r="AB247" s="346">
        <f t="shared" si="101"/>
        <v>-88.452492447569981</v>
      </c>
      <c r="AD247">
        <f t="shared" si="105"/>
        <v>0</v>
      </c>
      <c r="AE247">
        <f t="shared" si="108"/>
        <v>0</v>
      </c>
    </row>
    <row r="248" spans="1:31" x14ac:dyDescent="0.2">
      <c r="A248" s="347">
        <v>15049.75</v>
      </c>
      <c r="B248" s="364">
        <f t="shared" si="102"/>
        <v>15.04975</v>
      </c>
      <c r="C248" s="337">
        <f t="shared" si="83"/>
        <v>84.487556237991726</v>
      </c>
      <c r="D248" s="338">
        <f t="shared" si="84"/>
        <v>1.5589599878743514</v>
      </c>
      <c r="E248" s="338">
        <f t="shared" si="85"/>
        <v>1.0007150773873947</v>
      </c>
      <c r="F248" s="339">
        <f t="shared" si="86"/>
        <v>3.7806124746886625E-2</v>
      </c>
      <c r="G248" s="338">
        <f t="shared" si="87"/>
        <v>1</v>
      </c>
      <c r="H248" s="339">
        <f t="shared" si="88"/>
        <v>0</v>
      </c>
      <c r="I248" s="337">
        <f t="shared" si="89"/>
        <v>49649.783602579228</v>
      </c>
      <c r="J248" s="340">
        <f t="shared" si="90"/>
        <v>1.5707761857202029</v>
      </c>
      <c r="K248" s="348">
        <f t="shared" si="106"/>
        <v>24.522880153382381</v>
      </c>
      <c r="L248" s="349">
        <f t="shared" si="107"/>
        <v>1.5300067724874205</v>
      </c>
      <c r="M248" s="337">
        <f t="shared" si="91"/>
        <v>1.001195084551898</v>
      </c>
      <c r="N248" s="340">
        <f t="shared" si="92"/>
        <v>4.8865029932653653E-2</v>
      </c>
      <c r="O248" s="341">
        <f t="shared" si="93"/>
        <v>0.99773852652738348</v>
      </c>
      <c r="P248" s="342">
        <f t="shared" si="94"/>
        <v>2.2615329081941506E-2</v>
      </c>
      <c r="Q248" s="343">
        <f t="shared" si="95"/>
        <v>-7.9189849695754493</v>
      </c>
      <c r="R248" s="344">
        <f t="shared" si="96"/>
        <v>-93.587134655242963</v>
      </c>
      <c r="S248" s="346">
        <f t="shared" si="97"/>
        <v>86.412865344757037</v>
      </c>
      <c r="U248" s="319">
        <f t="shared" si="103"/>
        <v>15049.75</v>
      </c>
      <c r="V248" s="319">
        <f t="shared" si="104"/>
        <v>226494975.0625</v>
      </c>
      <c r="X248" s="345">
        <f t="shared" si="98"/>
        <v>31.569932540132079</v>
      </c>
      <c r="Y248" s="346">
        <f t="shared" si="99"/>
        <v>-5.1356752982531004</v>
      </c>
      <c r="AA248" s="345">
        <f t="shared" si="100"/>
        <v>9.2590492942421196</v>
      </c>
      <c r="AB248" s="346">
        <f t="shared" si="101"/>
        <v>-88.451459356989872</v>
      </c>
      <c r="AD248">
        <f t="shared" si="105"/>
        <v>0</v>
      </c>
      <c r="AE248">
        <f t="shared" si="108"/>
        <v>0</v>
      </c>
    </row>
    <row r="249" spans="1:31" x14ac:dyDescent="0.2">
      <c r="A249" s="347">
        <v>15136</v>
      </c>
      <c r="B249" s="364">
        <f t="shared" si="102"/>
        <v>15.135999999999999</v>
      </c>
      <c r="C249" s="337">
        <f t="shared" si="83"/>
        <v>84.971686125420376</v>
      </c>
      <c r="D249" s="338">
        <f t="shared" si="84"/>
        <v>1.5590274290541914</v>
      </c>
      <c r="E249" s="338">
        <f t="shared" si="85"/>
        <v>1.0007232941089719</v>
      </c>
      <c r="F249" s="339">
        <f t="shared" si="86"/>
        <v>3.802258318183168E-2</v>
      </c>
      <c r="G249" s="338">
        <f t="shared" si="87"/>
        <v>1</v>
      </c>
      <c r="H249" s="339">
        <f t="shared" si="88"/>
        <v>0</v>
      </c>
      <c r="I249" s="337">
        <f t="shared" si="89"/>
        <v>49934.326125477637</v>
      </c>
      <c r="J249" s="340">
        <f t="shared" si="90"/>
        <v>1.5707763004907955</v>
      </c>
      <c r="K249" s="348">
        <f t="shared" si="106"/>
        <v>24.663187553435964</v>
      </c>
      <c r="L249" s="349">
        <f t="shared" si="107"/>
        <v>1.5302389495055737</v>
      </c>
      <c r="M249" s="337">
        <f t="shared" si="91"/>
        <v>1.0012088135511474</v>
      </c>
      <c r="N249" s="340">
        <f t="shared" si="92"/>
        <v>4.9144625628181095E-2</v>
      </c>
      <c r="O249" s="341">
        <f t="shared" si="93"/>
        <v>0.99771253838050356</v>
      </c>
      <c r="P249" s="342">
        <f t="shared" si="94"/>
        <v>2.2745552204594649E-2</v>
      </c>
      <c r="Q249" s="343">
        <f t="shared" si="95"/>
        <v>-7.9685183354353395</v>
      </c>
      <c r="R249" s="344">
        <f t="shared" si="96"/>
        <v>-93.588781296729934</v>
      </c>
      <c r="S249" s="346">
        <f t="shared" si="97"/>
        <v>86.411218703270066</v>
      </c>
      <c r="U249" s="319">
        <f t="shared" si="103"/>
        <v>15136</v>
      </c>
      <c r="V249" s="319">
        <f t="shared" si="104"/>
        <v>229098496</v>
      </c>
      <c r="X249" s="345">
        <f t="shared" si="98"/>
        <v>31.569731364763637</v>
      </c>
      <c r="Y249" s="346">
        <f t="shared" si="99"/>
        <v>-5.1383987642104163</v>
      </c>
      <c r="AA249" s="345">
        <f t="shared" si="100"/>
        <v>9.209717103750668</v>
      </c>
      <c r="AB249" s="346">
        <f t="shared" si="101"/>
        <v>-88.450382532519541</v>
      </c>
      <c r="AD249">
        <f t="shared" si="105"/>
        <v>0</v>
      </c>
      <c r="AE249">
        <f t="shared" si="108"/>
        <v>0</v>
      </c>
    </row>
    <row r="250" spans="1:31" x14ac:dyDescent="0.2">
      <c r="A250" s="347">
        <v>15224</v>
      </c>
      <c r="B250" s="364">
        <f t="shared" si="102"/>
        <v>15.224</v>
      </c>
      <c r="C250" s="337">
        <f t="shared" si="83"/>
        <v>85.465639331862491</v>
      </c>
      <c r="D250" s="338">
        <f t="shared" si="84"/>
        <v>1.5590954511377615</v>
      </c>
      <c r="E250" s="338">
        <f t="shared" si="85"/>
        <v>1.0007317258706614</v>
      </c>
      <c r="F250" s="339">
        <f t="shared" si="86"/>
        <v>3.8243429852986795E-2</v>
      </c>
      <c r="G250" s="338">
        <f t="shared" si="87"/>
        <v>1</v>
      </c>
      <c r="H250" s="339">
        <f t="shared" si="88"/>
        <v>0</v>
      </c>
      <c r="I250" s="337">
        <f t="shared" si="89"/>
        <v>50224.641974928265</v>
      </c>
      <c r="J250" s="340">
        <f t="shared" si="90"/>
        <v>1.5707764162497788</v>
      </c>
      <c r="K250" s="348">
        <f t="shared" si="106"/>
        <v>24.806343124879106</v>
      </c>
      <c r="L250" s="349">
        <f t="shared" si="107"/>
        <v>1.5304731304357944</v>
      </c>
      <c r="M250" s="337">
        <f t="shared" si="91"/>
        <v>1.0012229017740018</v>
      </c>
      <c r="N250" s="340">
        <f t="shared" si="92"/>
        <v>4.942988635431271E-2</v>
      </c>
      <c r="O250" s="341">
        <f t="shared" si="93"/>
        <v>0.99768587004330489</v>
      </c>
      <c r="P250" s="342">
        <f t="shared" si="94"/>
        <v>2.287842843198843E-2</v>
      </c>
      <c r="Q250" s="343">
        <f t="shared" si="95"/>
        <v>-8.0187636930285819</v>
      </c>
      <c r="R250" s="344">
        <f t="shared" si="96"/>
        <v>-93.590571629110087</v>
      </c>
      <c r="S250" s="346">
        <f t="shared" si="97"/>
        <v>86.409428370889913</v>
      </c>
      <c r="U250" s="319">
        <f t="shared" si="103"/>
        <v>15224</v>
      </c>
      <c r="V250" s="319">
        <f t="shared" si="104"/>
        <v>231770176</v>
      </c>
      <c r="X250" s="345">
        <f t="shared" si="98"/>
        <v>31.569526841402435</v>
      </c>
      <c r="Y250" s="346">
        <f t="shared" si="99"/>
        <v>-5.1413320534390419</v>
      </c>
      <c r="AA250" s="345">
        <f t="shared" si="100"/>
        <v>9.1596762695186289</v>
      </c>
      <c r="AB250" s="346">
        <f t="shared" si="101"/>
        <v>-88.449239575671072</v>
      </c>
      <c r="AD250">
        <f t="shared" si="105"/>
        <v>0</v>
      </c>
      <c r="AE250">
        <f t="shared" si="108"/>
        <v>0</v>
      </c>
    </row>
    <row r="251" spans="1:31" x14ac:dyDescent="0.2">
      <c r="A251" s="347">
        <v>15312</v>
      </c>
      <c r="B251" s="364">
        <f t="shared" si="102"/>
        <v>15.311999999999999</v>
      </c>
      <c r="C251" s="337">
        <f t="shared" si="83"/>
        <v>85.959592929209663</v>
      </c>
      <c r="D251" s="338">
        <f t="shared" si="84"/>
        <v>1.5591626914647299</v>
      </c>
      <c r="E251" s="338">
        <f t="shared" si="85"/>
        <v>1.0007402064404678</v>
      </c>
      <c r="F251" s="339">
        <f t="shared" si="86"/>
        <v>3.8464272791872388E-2</v>
      </c>
      <c r="G251" s="338">
        <f t="shared" si="87"/>
        <v>1</v>
      </c>
      <c r="H251" s="339">
        <f t="shared" si="88"/>
        <v>0</v>
      </c>
      <c r="I251" s="337">
        <f t="shared" si="89"/>
        <v>50514.95782437957</v>
      </c>
      <c r="J251" s="340">
        <f t="shared" si="90"/>
        <v>1.5707765306781991</v>
      </c>
      <c r="K251" s="348">
        <f t="shared" si="106"/>
        <v>24.949500041108216</v>
      </c>
      <c r="L251" s="349">
        <f t="shared" si="107"/>
        <v>1.5307046239804647</v>
      </c>
      <c r="M251" s="337">
        <f t="shared" si="91"/>
        <v>1.0012370714677532</v>
      </c>
      <c r="N251" s="340">
        <f t="shared" si="92"/>
        <v>4.9715139029529849E-2</v>
      </c>
      <c r="O251" s="341">
        <f t="shared" si="93"/>
        <v>0.99765904727895272</v>
      </c>
      <c r="P251" s="342">
        <f t="shared" si="94"/>
        <v>2.3011315729773191E-2</v>
      </c>
      <c r="Q251" s="343">
        <f t="shared" si="95"/>
        <v>-8.0687164663956139</v>
      </c>
      <c r="R251" s="344">
        <f t="shared" si="96"/>
        <v>-93.59247145659738</v>
      </c>
      <c r="S251" s="346">
        <f t="shared" si="97"/>
        <v>86.40752854340262</v>
      </c>
      <c r="U251" s="319">
        <f t="shared" si="103"/>
        <v>15312</v>
      </c>
      <c r="V251" s="319">
        <f t="shared" si="104"/>
        <v>234457344</v>
      </c>
      <c r="X251" s="345">
        <f t="shared" si="98"/>
        <v>31.569323026407648</v>
      </c>
      <c r="Y251" s="346">
        <f t="shared" si="99"/>
        <v>-5.1444187809987287</v>
      </c>
      <c r="AA251" s="345">
        <f t="shared" si="100"/>
        <v>9.1099273111463823</v>
      </c>
      <c r="AB251" s="346">
        <f t="shared" si="101"/>
        <v>-88.448052675598618</v>
      </c>
      <c r="AD251">
        <f t="shared" si="105"/>
        <v>0</v>
      </c>
      <c r="AE251">
        <f t="shared" si="108"/>
        <v>0</v>
      </c>
    </row>
    <row r="252" spans="1:31" x14ac:dyDescent="0.2">
      <c r="A252" s="347">
        <v>15400</v>
      </c>
      <c r="B252" s="364">
        <f t="shared" si="102"/>
        <v>15.4</v>
      </c>
      <c r="C252" s="337">
        <f t="shared" si="83"/>
        <v>86.453546910761574</v>
      </c>
      <c r="D252" s="338">
        <f t="shared" si="84"/>
        <v>1.5592291634342266</v>
      </c>
      <c r="E252" s="338">
        <f t="shared" si="85"/>
        <v>1.0007487358171503</v>
      </c>
      <c r="F252" s="339">
        <f t="shared" si="86"/>
        <v>3.8685111977041886E-2</v>
      </c>
      <c r="G252" s="338">
        <f t="shared" si="87"/>
        <v>1</v>
      </c>
      <c r="H252" s="339">
        <f t="shared" si="88"/>
        <v>0</v>
      </c>
      <c r="I252" s="337">
        <f t="shared" si="89"/>
        <v>50805.273673831522</v>
      </c>
      <c r="J252" s="340">
        <f t="shared" si="90"/>
        <v>1.5707766437988659</v>
      </c>
      <c r="K252" s="348">
        <f t="shared" si="106"/>
        <v>25.09265827910675</v>
      </c>
      <c r="L252" s="349">
        <f t="shared" si="107"/>
        <v>1.5309334761106475</v>
      </c>
      <c r="M252" s="337">
        <f t="shared" si="91"/>
        <v>1.001251322628943</v>
      </c>
      <c r="N252" s="340">
        <f t="shared" si="92"/>
        <v>5.0000383607753822E-2</v>
      </c>
      <c r="O252" s="341">
        <f t="shared" si="93"/>
        <v>0.99763207009044153</v>
      </c>
      <c r="P252" s="342">
        <f t="shared" si="94"/>
        <v>2.3144214162898379E-2</v>
      </c>
      <c r="Q252" s="343">
        <f t="shared" si="95"/>
        <v>-8.1183800112170559</v>
      </c>
      <c r="R252" s="344">
        <f t="shared" si="96"/>
        <v>-93.594478916574346</v>
      </c>
      <c r="S252" s="346">
        <f t="shared" si="97"/>
        <v>86.405521083425654</v>
      </c>
      <c r="U252" s="319">
        <f t="shared" si="103"/>
        <v>15400</v>
      </c>
      <c r="V252" s="319">
        <f t="shared" si="104"/>
        <v>237160000</v>
      </c>
      <c r="X252" s="345">
        <f t="shared" si="98"/>
        <v>31.569119887667863</v>
      </c>
      <c r="Y252" s="346">
        <f t="shared" si="99"/>
        <v>-5.1476563116083867</v>
      </c>
      <c r="AA252" s="345">
        <f t="shared" si="100"/>
        <v>9.0604669050647253</v>
      </c>
      <c r="AB252" s="346">
        <f t="shared" si="101"/>
        <v>-88.446822604965959</v>
      </c>
      <c r="AD252">
        <f t="shared" si="105"/>
        <v>0</v>
      </c>
      <c r="AE252">
        <f t="shared" si="108"/>
        <v>0</v>
      </c>
    </row>
    <row r="253" spans="1:31" x14ac:dyDescent="0.2">
      <c r="A253" s="347">
        <v>15488</v>
      </c>
      <c r="B253" s="364">
        <f t="shared" si="102"/>
        <v>15.488</v>
      </c>
      <c r="C253" s="337">
        <f t="shared" si="83"/>
        <v>86.947501269970147</v>
      </c>
      <c r="D253" s="338">
        <f t="shared" si="84"/>
        <v>1.5592948801409239</v>
      </c>
      <c r="E253" s="338">
        <f t="shared" si="85"/>
        <v>1.000757313999461</v>
      </c>
      <c r="F253" s="339">
        <f t="shared" si="86"/>
        <v>3.8905947387050922E-2</v>
      </c>
      <c r="G253" s="338">
        <f t="shared" si="87"/>
        <v>1</v>
      </c>
      <c r="H253" s="339">
        <f t="shared" si="88"/>
        <v>0</v>
      </c>
      <c r="I253" s="337">
        <f t="shared" si="89"/>
        <v>51095.589523284121</v>
      </c>
      <c r="J253" s="340">
        <f t="shared" si="90"/>
        <v>1.5707767556340706</v>
      </c>
      <c r="K253" s="348">
        <f t="shared" si="106"/>
        <v>25.235817816380226</v>
      </c>
      <c r="L253" s="349">
        <f t="shared" si="107"/>
        <v>1.5311597317553751</v>
      </c>
      <c r="M253" s="337">
        <f t="shared" si="91"/>
        <v>1.0012656552540926</v>
      </c>
      <c r="N253" s="340">
        <f t="shared" si="92"/>
        <v>5.0285620042913801E-2</v>
      </c>
      <c r="O253" s="341">
        <f t="shared" si="93"/>
        <v>0.99760493848078446</v>
      </c>
      <c r="P253" s="342">
        <f t="shared" si="94"/>
        <v>2.3277123796330092E-2</v>
      </c>
      <c r="Q253" s="343">
        <f t="shared" si="95"/>
        <v>-8.1677576254786164</v>
      </c>
      <c r="R253" s="344">
        <f t="shared" si="96"/>
        <v>-93.596592188655066</v>
      </c>
      <c r="S253" s="346">
        <f t="shared" si="97"/>
        <v>86.403407811344934</v>
      </c>
      <c r="U253" s="319">
        <f t="shared" si="103"/>
        <v>15488</v>
      </c>
      <c r="V253" s="319">
        <f t="shared" si="104"/>
        <v>239878144</v>
      </c>
      <c r="X253" s="345">
        <f t="shared" si="98"/>
        <v>31.56891739398192</v>
      </c>
      <c r="Y253" s="346">
        <f t="shared" si="99"/>
        <v>-5.1510420696616004</v>
      </c>
      <c r="AA253" s="345">
        <f t="shared" si="100"/>
        <v>9.0112917844891101</v>
      </c>
      <c r="AB253" s="346">
        <f t="shared" si="101"/>
        <v>-88.445550118993467</v>
      </c>
      <c r="AD253">
        <f t="shared" si="105"/>
        <v>0</v>
      </c>
      <c r="AE253">
        <f t="shared" si="108"/>
        <v>0</v>
      </c>
    </row>
    <row r="254" spans="1:31" x14ac:dyDescent="0.2">
      <c r="A254" s="347">
        <v>15578.25</v>
      </c>
      <c r="B254" s="364">
        <f t="shared" si="102"/>
        <v>15.578250000000001</v>
      </c>
      <c r="C254" s="337">
        <f t="shared" si="83"/>
        <v>87.454085529605592</v>
      </c>
      <c r="D254" s="338">
        <f t="shared" si="84"/>
        <v>1.5593615060338371</v>
      </c>
      <c r="E254" s="338">
        <f t="shared" si="85"/>
        <v>1.0007661622023698</v>
      </c>
      <c r="F254" s="339">
        <f t="shared" si="86"/>
        <v>3.9132425213333197E-2</v>
      </c>
      <c r="G254" s="338">
        <f t="shared" si="87"/>
        <v>1</v>
      </c>
      <c r="H254" s="339">
        <f t="shared" si="88"/>
        <v>0</v>
      </c>
      <c r="I254" s="337">
        <f t="shared" si="89"/>
        <v>51393.328221160875</v>
      </c>
      <c r="J254" s="340">
        <f t="shared" si="90"/>
        <v>1.5707768690163351</v>
      </c>
      <c r="K254" s="348">
        <f t="shared" si="106"/>
        <v>25.382639009232616</v>
      </c>
      <c r="L254" s="349">
        <f t="shared" si="107"/>
        <v>1.5313891214274173</v>
      </c>
      <c r="M254" s="337">
        <f t="shared" si="91"/>
        <v>1.0012804389496588</v>
      </c>
      <c r="N254" s="340">
        <f t="shared" si="92"/>
        <v>5.0578140948826164E-2</v>
      </c>
      <c r="O254" s="341">
        <f t="shared" si="93"/>
        <v>0.99757695277435021</v>
      </c>
      <c r="P254" s="342">
        <f t="shared" si="94"/>
        <v>2.3413443389031251E-2</v>
      </c>
      <c r="Q254" s="343">
        <f t="shared" si="95"/>
        <v>-8.218104140767192</v>
      </c>
      <c r="R254" s="344">
        <f t="shared" si="96"/>
        <v>-93.598867534436764</v>
      </c>
      <c r="S254" s="346">
        <f t="shared" si="97"/>
        <v>86.401132465563236</v>
      </c>
      <c r="U254" s="319">
        <f t="shared" si="103"/>
        <v>15578.25</v>
      </c>
      <c r="V254" s="319">
        <f t="shared" si="104"/>
        <v>242681873.0625</v>
      </c>
      <c r="X254" s="345">
        <f t="shared" si="98"/>
        <v>31.568710361147453</v>
      </c>
      <c r="Y254" s="346">
        <f t="shared" si="99"/>
        <v>-5.1546657192471788</v>
      </c>
      <c r="AA254" s="345">
        <f t="shared" si="100"/>
        <v>8.9611523020349999</v>
      </c>
      <c r="AB254" s="346">
        <f t="shared" si="101"/>
        <v>-88.444201815189587</v>
      </c>
      <c r="AD254">
        <f t="shared" si="105"/>
        <v>0</v>
      </c>
      <c r="AE254">
        <f t="shared" si="108"/>
        <v>0</v>
      </c>
    </row>
    <row r="255" spans="1:31" x14ac:dyDescent="0.2">
      <c r="A255" s="347">
        <v>15668.5</v>
      </c>
      <c r="B255" s="364">
        <f t="shared" si="102"/>
        <v>15.6685</v>
      </c>
      <c r="C255" s="337">
        <f t="shared" si="83"/>
        <v>87.960670172979007</v>
      </c>
      <c r="D255" s="338">
        <f t="shared" si="84"/>
        <v>1.5594273645010039</v>
      </c>
      <c r="E255" s="338">
        <f t="shared" si="85"/>
        <v>1.0007750617358733</v>
      </c>
      <c r="F255" s="339">
        <f t="shared" si="86"/>
        <v>3.9358899023259571E-2</v>
      </c>
      <c r="G255" s="338">
        <f t="shared" si="87"/>
        <v>1</v>
      </c>
      <c r="H255" s="339">
        <f t="shared" si="88"/>
        <v>0</v>
      </c>
      <c r="I255" s="337">
        <f t="shared" si="89"/>
        <v>51691.066919038283</v>
      </c>
      <c r="J255" s="340">
        <f t="shared" si="90"/>
        <v>1.5707769810924441</v>
      </c>
      <c r="K255" s="348">
        <f t="shared" si="106"/>
        <v>25.529461522347333</v>
      </c>
      <c r="L255" s="349">
        <f t="shared" si="107"/>
        <v>1.5316158726249069</v>
      </c>
      <c r="M255" s="337">
        <f t="shared" si="91"/>
        <v>1.0012953083207363</v>
      </c>
      <c r="N255" s="340">
        <f t="shared" si="92"/>
        <v>5.0870653191817515E-2</v>
      </c>
      <c r="O255" s="341">
        <f t="shared" si="93"/>
        <v>0.99754880465575935</v>
      </c>
      <c r="P255" s="342">
        <f t="shared" si="94"/>
        <v>2.3549774900566638E-2</v>
      </c>
      <c r="Q255" s="343">
        <f t="shared" si="95"/>
        <v>-8.2681567628541774</v>
      </c>
      <c r="R255" s="344">
        <f t="shared" si="96"/>
        <v>-93.601250425251592</v>
      </c>
      <c r="S255" s="346">
        <f t="shared" si="97"/>
        <v>86.398749574748408</v>
      </c>
      <c r="U255" s="319">
        <f t="shared" si="103"/>
        <v>15668.5</v>
      </c>
      <c r="V255" s="319">
        <f t="shared" si="104"/>
        <v>245501892.25</v>
      </c>
      <c r="X255" s="345">
        <f t="shared" si="98"/>
        <v>31.568503943106986</v>
      </c>
      <c r="Y255" s="346">
        <f t="shared" si="99"/>
        <v>-5.1584399711031406</v>
      </c>
      <c r="AA255" s="345">
        <f t="shared" si="100"/>
        <v>8.9113060979884793</v>
      </c>
      <c r="AB255" s="346">
        <f t="shared" si="101"/>
        <v>-88.442810454148457</v>
      </c>
      <c r="AD255">
        <f t="shared" si="105"/>
        <v>0</v>
      </c>
      <c r="AE255">
        <f t="shared" si="108"/>
        <v>0</v>
      </c>
    </row>
    <row r="256" spans="1:31" x14ac:dyDescent="0.2">
      <c r="A256" s="347">
        <v>15758.75</v>
      </c>
      <c r="B256" s="364">
        <f t="shared" si="102"/>
        <v>15.758749999999999</v>
      </c>
      <c r="C256" s="337">
        <f t="shared" si="83"/>
        <v>88.467255193498247</v>
      </c>
      <c r="D256" s="338">
        <f t="shared" si="84"/>
        <v>1.559492468725248</v>
      </c>
      <c r="E256" s="338">
        <f t="shared" si="85"/>
        <v>1.0007840125986021</v>
      </c>
      <c r="F256" s="339">
        <f t="shared" si="86"/>
        <v>3.9585368793705632E-2</v>
      </c>
      <c r="G256" s="338">
        <f t="shared" si="87"/>
        <v>1</v>
      </c>
      <c r="H256" s="339">
        <f t="shared" si="88"/>
        <v>0</v>
      </c>
      <c r="I256" s="337">
        <f t="shared" si="89"/>
        <v>51988.805616916339</v>
      </c>
      <c r="J256" s="340">
        <f t="shared" si="90"/>
        <v>1.5707770918848387</v>
      </c>
      <c r="K256" s="348">
        <f t="shared" si="106"/>
        <v>25.676285333075754</v>
      </c>
      <c r="L256" s="349">
        <f t="shared" si="107"/>
        <v>1.5318400305868163</v>
      </c>
      <c r="M256" s="337">
        <f t="shared" si="91"/>
        <v>1.0013102633635083</v>
      </c>
      <c r="N256" s="340">
        <f t="shared" si="92"/>
        <v>5.116315672221821E-2</v>
      </c>
      <c r="O256" s="341">
        <f t="shared" si="93"/>
        <v>0.99752049412831967</v>
      </c>
      <c r="P256" s="342">
        <f t="shared" si="94"/>
        <v>2.3686118401069364E-2</v>
      </c>
      <c r="Q256" s="343">
        <f t="shared" si="95"/>
        <v>-8.3179188686841847</v>
      </c>
      <c r="R256" s="344">
        <f t="shared" si="96"/>
        <v>-93.603739028200678</v>
      </c>
      <c r="S256" s="346">
        <f t="shared" si="97"/>
        <v>86.396260971799322</v>
      </c>
      <c r="U256" s="319">
        <f t="shared" si="103"/>
        <v>15758.75</v>
      </c>
      <c r="V256" s="319">
        <f t="shared" si="104"/>
        <v>248338201.5625</v>
      </c>
      <c r="X256" s="345">
        <f t="shared" si="98"/>
        <v>31.568298108989644</v>
      </c>
      <c r="Y256" s="346">
        <f t="shared" si="99"/>
        <v>-5.1623622316672106</v>
      </c>
      <c r="AA256" s="345">
        <f t="shared" si="100"/>
        <v>8.8617498262758172</v>
      </c>
      <c r="AB256" s="346">
        <f t="shared" si="101"/>
        <v>-88.441376796533461</v>
      </c>
      <c r="AD256">
        <f t="shared" si="105"/>
        <v>0</v>
      </c>
      <c r="AE256">
        <f t="shared" si="108"/>
        <v>0</v>
      </c>
    </row>
    <row r="257" spans="1:31" x14ac:dyDescent="0.2">
      <c r="A257" s="347">
        <v>15849</v>
      </c>
      <c r="B257" s="364">
        <f t="shared" si="102"/>
        <v>15.849</v>
      </c>
      <c r="C257" s="337">
        <f t="shared" si="83"/>
        <v>88.973840584721344</v>
      </c>
      <c r="D257" s="338">
        <f t="shared" si="84"/>
        <v>1.559556831589185</v>
      </c>
      <c r="E257" s="338">
        <f t="shared" si="85"/>
        <v>1.0007930147891793</v>
      </c>
      <c r="F257" s="339">
        <f t="shared" si="86"/>
        <v>3.9811834501549473E-2</v>
      </c>
      <c r="G257" s="338">
        <f t="shared" si="87"/>
        <v>1</v>
      </c>
      <c r="H257" s="339">
        <f t="shared" si="88"/>
        <v>0</v>
      </c>
      <c r="I257" s="337">
        <f t="shared" si="89"/>
        <v>52286.544314795021</v>
      </c>
      <c r="J257" s="340">
        <f t="shared" si="90"/>
        <v>1.5707772014154484</v>
      </c>
      <c r="K257" s="348">
        <f t="shared" si="106"/>
        <v>25.823110419284145</v>
      </c>
      <c r="L257" s="349">
        <f t="shared" si="107"/>
        <v>1.532061639524295</v>
      </c>
      <c r="M257" s="337">
        <f t="shared" si="91"/>
        <v>1.0013253040741361</v>
      </c>
      <c r="N257" s="340">
        <f t="shared" si="92"/>
        <v>5.1455651490367543E-2</v>
      </c>
      <c r="O257" s="341">
        <f t="shared" si="93"/>
        <v>0.99749202119535829</v>
      </c>
      <c r="P257" s="342">
        <f t="shared" si="94"/>
        <v>2.3822473960691416E-2</v>
      </c>
      <c r="Q257" s="343">
        <f t="shared" si="95"/>
        <v>-8.3673937770271642</v>
      </c>
      <c r="R257" s="344">
        <f t="shared" si="96"/>
        <v>-93.606331552046569</v>
      </c>
      <c r="S257" s="346">
        <f t="shared" si="97"/>
        <v>86.393668447953431</v>
      </c>
      <c r="U257" s="319">
        <f t="shared" si="103"/>
        <v>15849</v>
      </c>
      <c r="V257" s="319">
        <f t="shared" si="104"/>
        <v>251190801</v>
      </c>
      <c r="X257" s="345">
        <f t="shared" si="98"/>
        <v>31.568092828801902</v>
      </c>
      <c r="Y257" s="346">
        <f t="shared" si="99"/>
        <v>-5.1664299662382263</v>
      </c>
      <c r="AA257" s="345">
        <f t="shared" si="100"/>
        <v>8.8124801981205731</v>
      </c>
      <c r="AB257" s="346">
        <f t="shared" si="101"/>
        <v>-88.439901585808329</v>
      </c>
      <c r="AD257">
        <f t="shared" si="105"/>
        <v>0</v>
      </c>
      <c r="AE257">
        <f t="shared" si="108"/>
        <v>0</v>
      </c>
    </row>
    <row r="258" spans="1:31" x14ac:dyDescent="0.2">
      <c r="A258" s="347">
        <v>15941.25</v>
      </c>
      <c r="B258" s="364">
        <f t="shared" si="102"/>
        <v>15.94125</v>
      </c>
      <c r="C258" s="337">
        <f t="shared" si="83"/>
        <v>89.491652621565223</v>
      </c>
      <c r="D258" s="338">
        <f t="shared" si="84"/>
        <v>1.5596218676980838</v>
      </c>
      <c r="E258" s="338">
        <f t="shared" si="85"/>
        <v>1.0008022695194825</v>
      </c>
      <c r="F258" s="339">
        <f t="shared" si="86"/>
        <v>4.004331461732321E-2</v>
      </c>
      <c r="G258" s="338">
        <f t="shared" si="87"/>
        <v>1</v>
      </c>
      <c r="H258" s="339">
        <f t="shared" si="88"/>
        <v>0</v>
      </c>
      <c r="I258" s="337">
        <f t="shared" si="89"/>
        <v>52590.881100161969</v>
      </c>
      <c r="J258" s="340">
        <f t="shared" si="90"/>
        <v>1.5707773120916031</v>
      </c>
      <c r="K258" s="348">
        <f t="shared" si="106"/>
        <v>25.97319054268641</v>
      </c>
      <c r="L258" s="349">
        <f t="shared" si="107"/>
        <v>1.5322855700643387</v>
      </c>
      <c r="M258" s="337">
        <f t="shared" si="91"/>
        <v>1.001340766629468</v>
      </c>
      <c r="N258" s="340">
        <f t="shared" si="92"/>
        <v>5.1754619029673113E-2</v>
      </c>
      <c r="O258" s="341">
        <f t="shared" si="93"/>
        <v>0.99746274944283631</v>
      </c>
      <c r="P258" s="342">
        <f t="shared" si="94"/>
        <v>2.3961863786160741E-2</v>
      </c>
      <c r="Q258" s="343">
        <f t="shared" si="95"/>
        <v>-8.417671663229024</v>
      </c>
      <c r="R258" s="344">
        <f t="shared" si="96"/>
        <v>-93.609087106278579</v>
      </c>
      <c r="S258" s="346">
        <f t="shared" si="97"/>
        <v>86.390912893721421</v>
      </c>
      <c r="U258" s="319">
        <f t="shared" si="103"/>
        <v>15941.25</v>
      </c>
      <c r="V258" s="319">
        <f t="shared" si="104"/>
        <v>254123451.5625</v>
      </c>
      <c r="X258" s="345">
        <f t="shared" si="98"/>
        <v>31.567883541607969</v>
      </c>
      <c r="Y258" s="346">
        <f t="shared" si="99"/>
        <v>-5.1707356108847371</v>
      </c>
      <c r="AA258" s="345">
        <f t="shared" si="100"/>
        <v>8.7624115991126512</v>
      </c>
      <c r="AB258" s="346">
        <f t="shared" si="101"/>
        <v>-88.438351495393846</v>
      </c>
      <c r="AD258">
        <f t="shared" si="105"/>
        <v>0</v>
      </c>
      <c r="AE258">
        <f t="shared" si="108"/>
        <v>0</v>
      </c>
    </row>
    <row r="259" spans="1:31" x14ac:dyDescent="0.2">
      <c r="A259" s="347">
        <v>16033.5</v>
      </c>
      <c r="B259" s="364">
        <f t="shared" si="102"/>
        <v>16.0335</v>
      </c>
      <c r="C259" s="337">
        <f t="shared" si="83"/>
        <v>90.009465032576372</v>
      </c>
      <c r="D259" s="338">
        <f t="shared" si="84"/>
        <v>1.5596861555191834</v>
      </c>
      <c r="E259" s="338">
        <f t="shared" si="85"/>
        <v>1.0008115778748243</v>
      </c>
      <c r="F259" s="339">
        <f t="shared" si="86"/>
        <v>4.0274790439596163E-2</v>
      </c>
      <c r="G259" s="338">
        <f t="shared" si="87"/>
        <v>1</v>
      </c>
      <c r="H259" s="339">
        <f t="shared" si="88"/>
        <v>0</v>
      </c>
      <c r="I259" s="337">
        <f t="shared" si="89"/>
        <v>52895.217885529535</v>
      </c>
      <c r="J259" s="340">
        <f t="shared" si="90"/>
        <v>1.5707774214941901</v>
      </c>
      <c r="K259" s="348">
        <f t="shared" si="106"/>
        <v>26.123271953546308</v>
      </c>
      <c r="L259" s="349">
        <f t="shared" si="107"/>
        <v>1.5325069275983789</v>
      </c>
      <c r="M259" s="337">
        <f t="shared" si="91"/>
        <v>1.0013563186834606</v>
      </c>
      <c r="N259" s="340">
        <f t="shared" si="92"/>
        <v>5.2053577309176223E-2</v>
      </c>
      <c r="O259" s="341">
        <f t="shared" si="93"/>
        <v>0.99743330801409968</v>
      </c>
      <c r="P259" s="342">
        <f t="shared" si="94"/>
        <v>2.4101266359424254E-2</v>
      </c>
      <c r="Q259" s="343">
        <f t="shared" si="95"/>
        <v>-8.4676563134676979</v>
      </c>
      <c r="R259" s="344">
        <f t="shared" si="96"/>
        <v>-93.611947582039264</v>
      </c>
      <c r="S259" s="346">
        <f t="shared" si="97"/>
        <v>86.388052417960736</v>
      </c>
      <c r="U259" s="319">
        <f t="shared" si="103"/>
        <v>16033.5</v>
      </c>
      <c r="V259" s="319">
        <f t="shared" si="104"/>
        <v>257073122.25</v>
      </c>
      <c r="X259" s="345">
        <f t="shared" si="98"/>
        <v>31.567674772475378</v>
      </c>
      <c r="Y259" s="346">
        <f t="shared" si="99"/>
        <v>-5.1751880743984149</v>
      </c>
      <c r="AA259" s="345">
        <f t="shared" si="100"/>
        <v>8.7126357180065686</v>
      </c>
      <c r="AB259" s="346">
        <f t="shared" si="101"/>
        <v>-88.436759507640829</v>
      </c>
      <c r="AD259">
        <f t="shared" si="105"/>
        <v>0</v>
      </c>
      <c r="AE259">
        <f t="shared" si="108"/>
        <v>0</v>
      </c>
    </row>
    <row r="260" spans="1:31" x14ac:dyDescent="0.2">
      <c r="A260" s="347">
        <v>16125.75</v>
      </c>
      <c r="B260" s="364">
        <f t="shared" si="102"/>
        <v>16.12575</v>
      </c>
      <c r="C260" s="337">
        <f t="shared" si="83"/>
        <v>90.52727781133413</v>
      </c>
      <c r="D260" s="338">
        <f t="shared" si="84"/>
        <v>1.5597497078924867</v>
      </c>
      <c r="E260" s="338">
        <f t="shared" si="85"/>
        <v>1.0008209398537087</v>
      </c>
      <c r="F260" s="339">
        <f t="shared" si="86"/>
        <v>4.050626194368305E-2</v>
      </c>
      <c r="G260" s="338">
        <f t="shared" si="87"/>
        <v>1</v>
      </c>
      <c r="H260" s="339">
        <f t="shared" si="88"/>
        <v>0</v>
      </c>
      <c r="I260" s="337">
        <f t="shared" si="89"/>
        <v>53199.554670897742</v>
      </c>
      <c r="J260" s="340">
        <f t="shared" si="90"/>
        <v>1.5707775296450663</v>
      </c>
      <c r="K260" s="348">
        <f t="shared" si="106"/>
        <v>26.273354629800785</v>
      </c>
      <c r="L260" s="349">
        <f t="shared" si="107"/>
        <v>1.5327257561982903</v>
      </c>
      <c r="M260" s="337">
        <f t="shared" si="91"/>
        <v>1.001371960231944</v>
      </c>
      <c r="N260" s="340">
        <f t="shared" si="92"/>
        <v>5.2352526275870122E-2</v>
      </c>
      <c r="O260" s="341">
        <f t="shared" si="93"/>
        <v>0.99740369691276554</v>
      </c>
      <c r="P260" s="342">
        <f t="shared" si="94"/>
        <v>2.4240681755463813E-2</v>
      </c>
      <c r="Q260" s="343">
        <f t="shared" si="95"/>
        <v>-8.5173510921572877</v>
      </c>
      <c r="R260" s="344">
        <f t="shared" si="96"/>
        <v>-93.61491119379987</v>
      </c>
      <c r="S260" s="346">
        <f t="shared" si="97"/>
        <v>86.38508880620013</v>
      </c>
      <c r="U260" s="319">
        <f t="shared" si="103"/>
        <v>16125.75</v>
      </c>
      <c r="V260" s="319">
        <f t="shared" si="104"/>
        <v>260039813.0625</v>
      </c>
      <c r="X260" s="345">
        <f t="shared" si="98"/>
        <v>31.567466492025396</v>
      </c>
      <c r="Y260" s="346">
        <f t="shared" si="99"/>
        <v>-5.1797848298621121</v>
      </c>
      <c r="AA260" s="345">
        <f t="shared" si="100"/>
        <v>8.6631492197669644</v>
      </c>
      <c r="AB260" s="346">
        <f t="shared" si="101"/>
        <v>-88.435126363937769</v>
      </c>
      <c r="AD260">
        <f t="shared" si="105"/>
        <v>0</v>
      </c>
      <c r="AE260">
        <f t="shared" si="108"/>
        <v>0</v>
      </c>
    </row>
    <row r="261" spans="1:31" x14ac:dyDescent="0.2">
      <c r="A261" s="347">
        <v>16218</v>
      </c>
      <c r="B261" s="364">
        <f t="shared" si="102"/>
        <v>16.218</v>
      </c>
      <c r="C261" s="337">
        <f t="shared" si="83"/>
        <v>91.045090951563864</v>
      </c>
      <c r="D261" s="338">
        <f t="shared" si="84"/>
        <v>1.5598125373659122</v>
      </c>
      <c r="E261" s="338">
        <f t="shared" si="85"/>
        <v>1.0008303554546303</v>
      </c>
      <c r="F261" s="339">
        <f t="shared" si="86"/>
        <v>4.0737729104901345E-2</v>
      </c>
      <c r="G261" s="338">
        <f t="shared" si="87"/>
        <v>1</v>
      </c>
      <c r="H261" s="339">
        <f t="shared" si="88"/>
        <v>0</v>
      </c>
      <c r="I261" s="337">
        <f t="shared" si="89"/>
        <v>53503.89145626656</v>
      </c>
      <c r="J261" s="340">
        <f t="shared" si="90"/>
        <v>1.570777636565591</v>
      </c>
      <c r="K261" s="348">
        <f t="shared" si="106"/>
        <v>26.423438549887869</v>
      </c>
      <c r="L261" s="349">
        <f t="shared" si="107"/>
        <v>1.5329420989356248</v>
      </c>
      <c r="M261" s="337">
        <f t="shared" si="91"/>
        <v>1.0013876912707245</v>
      </c>
      <c r="N261" s="340">
        <f t="shared" si="92"/>
        <v>5.265146587675805E-2</v>
      </c>
      <c r="O261" s="341">
        <f t="shared" si="93"/>
        <v>0.99737391614247195</v>
      </c>
      <c r="P261" s="342">
        <f t="shared" si="94"/>
        <v>2.4380110049282415E-2</v>
      </c>
      <c r="Q261" s="343">
        <f t="shared" si="95"/>
        <v>-8.5667593058304714</v>
      </c>
      <c r="R261" s="344">
        <f t="shared" si="96"/>
        <v>-93.617976196583953</v>
      </c>
      <c r="S261" s="346">
        <f t="shared" si="97"/>
        <v>86.382023803416047</v>
      </c>
      <c r="U261" s="319">
        <f t="shared" si="103"/>
        <v>16218</v>
      </c>
      <c r="V261" s="319">
        <f t="shared" si="104"/>
        <v>263023524</v>
      </c>
      <c r="X261" s="345">
        <f t="shared" si="98"/>
        <v>31.567258671713716</v>
      </c>
      <c r="Y261" s="346">
        <f t="shared" si="99"/>
        <v>-5.18452340764496</v>
      </c>
      <c r="AA261" s="345">
        <f t="shared" si="100"/>
        <v>8.6139488264054549</v>
      </c>
      <c r="AB261" s="346">
        <f t="shared" si="101"/>
        <v>-88.433452788938993</v>
      </c>
      <c r="AD261">
        <f t="shared" si="105"/>
        <v>0</v>
      </c>
      <c r="AE261">
        <f t="shared" si="108"/>
        <v>0</v>
      </c>
    </row>
    <row r="262" spans="1:31" x14ac:dyDescent="0.2">
      <c r="A262" s="347">
        <v>16312.5</v>
      </c>
      <c r="B262" s="364">
        <f t="shared" si="102"/>
        <v>16.3125</v>
      </c>
      <c r="C262" s="337">
        <f t="shared" si="83"/>
        <v>91.57553404897412</v>
      </c>
      <c r="D262" s="338">
        <f t="shared" si="84"/>
        <v>1.5598761625211106</v>
      </c>
      <c r="E262" s="338">
        <f t="shared" si="85"/>
        <v>1.0008400563025419</v>
      </c>
      <c r="F262" s="339">
        <f t="shared" si="86"/>
        <v>4.0974837277793351E-2</v>
      </c>
      <c r="G262" s="338">
        <f t="shared" si="87"/>
        <v>1</v>
      </c>
      <c r="H262" s="339">
        <f t="shared" si="88"/>
        <v>0</v>
      </c>
      <c r="I262" s="337">
        <f t="shared" si="89"/>
        <v>53815.651090059633</v>
      </c>
      <c r="J262" s="340">
        <f t="shared" si="90"/>
        <v>1.5707777448400229</v>
      </c>
      <c r="K262" s="348">
        <f t="shared" si="106"/>
        <v>26.577184321073403</v>
      </c>
      <c r="L262" s="349">
        <f t="shared" si="107"/>
        <v>1.5331611847779421</v>
      </c>
      <c r="M262" s="337">
        <f t="shared" si="91"/>
        <v>1.0014038987799192</v>
      </c>
      <c r="N262" s="340">
        <f t="shared" si="92"/>
        <v>5.2957686920792856E-2</v>
      </c>
      <c r="O262" s="341">
        <f t="shared" si="93"/>
        <v>0.99734323308892592</v>
      </c>
      <c r="P262" s="342">
        <f t="shared" si="94"/>
        <v>2.4522952485103409E-2</v>
      </c>
      <c r="Q262" s="343">
        <f t="shared" si="95"/>
        <v>-8.6170788604313824</v>
      </c>
      <c r="R262" s="344">
        <f t="shared" si="96"/>
        <v>-93.621219303537941</v>
      </c>
      <c r="S262" s="346">
        <f t="shared" si="97"/>
        <v>86.378780696462059</v>
      </c>
      <c r="U262" s="319">
        <f t="shared" si="103"/>
        <v>16312.5</v>
      </c>
      <c r="V262" s="319">
        <f t="shared" si="104"/>
        <v>266097656.25</v>
      </c>
      <c r="X262" s="345">
        <f t="shared" si="98"/>
        <v>31.567046230733503</v>
      </c>
      <c r="Y262" s="346">
        <f t="shared" si="99"/>
        <v>-5.1895220906240827</v>
      </c>
      <c r="AA262" s="345">
        <f t="shared" si="100"/>
        <v>8.5638417127847593</v>
      </c>
      <c r="AB262" s="346">
        <f t="shared" si="101"/>
        <v>-88.431697212913861</v>
      </c>
      <c r="AD262">
        <f t="shared" si="105"/>
        <v>0</v>
      </c>
      <c r="AE262">
        <f t="shared" si="108"/>
        <v>0</v>
      </c>
    </row>
    <row r="263" spans="1:31" x14ac:dyDescent="0.2">
      <c r="A263" s="347">
        <v>16407</v>
      </c>
      <c r="B263" s="364">
        <f t="shared" si="102"/>
        <v>16.407</v>
      </c>
      <c r="C263" s="337">
        <f t="shared" si="83"/>
        <v>92.105977512826925</v>
      </c>
      <c r="D263" s="338">
        <f t="shared" si="84"/>
        <v>1.5599390548349235</v>
      </c>
      <c r="E263" s="338">
        <f t="shared" si="85"/>
        <v>1.0008498134168748</v>
      </c>
      <c r="F263" s="339">
        <f t="shared" si="86"/>
        <v>4.1211940840960803E-2</v>
      </c>
      <c r="G263" s="338">
        <f t="shared" si="87"/>
        <v>1</v>
      </c>
      <c r="H263" s="339">
        <f t="shared" si="88"/>
        <v>0</v>
      </c>
      <c r="I263" s="337">
        <f t="shared" si="89"/>
        <v>54127.410723853325</v>
      </c>
      <c r="J263" s="340">
        <f t="shared" si="90"/>
        <v>1.5707778518671902</v>
      </c>
      <c r="K263" s="348">
        <f t="shared" si="106"/>
        <v>26.730931353252426</v>
      </c>
      <c r="L263" s="349">
        <f t="shared" si="107"/>
        <v>1.533377750419223</v>
      </c>
      <c r="M263" s="337">
        <f t="shared" si="91"/>
        <v>1.0014202001890427</v>
      </c>
      <c r="N263" s="340">
        <f t="shared" si="92"/>
        <v>5.3263898024030372E-2</v>
      </c>
      <c r="O263" s="341">
        <f t="shared" si="93"/>
        <v>0.99731237199675027</v>
      </c>
      <c r="P263" s="342">
        <f t="shared" si="94"/>
        <v>2.4665808614936769E-2</v>
      </c>
      <c r="Q263" s="343">
        <f t="shared" si="95"/>
        <v>-8.6671045444601127</v>
      </c>
      <c r="R263" s="344">
        <f t="shared" si="96"/>
        <v>-93.624565226354704</v>
      </c>
      <c r="S263" s="346">
        <f t="shared" si="97"/>
        <v>86.375434773645296</v>
      </c>
      <c r="U263" s="319">
        <f t="shared" si="103"/>
        <v>16407</v>
      </c>
      <c r="V263" s="319">
        <f t="shared" si="104"/>
        <v>269189649</v>
      </c>
      <c r="X263" s="345">
        <f t="shared" si="98"/>
        <v>31.566834214536673</v>
      </c>
      <c r="Y263" s="346">
        <f t="shared" si="99"/>
        <v>-5.1946645294575529</v>
      </c>
      <c r="AA263" s="345">
        <f t="shared" si="100"/>
        <v>8.5140280449528589</v>
      </c>
      <c r="AB263" s="346">
        <f t="shared" si="101"/>
        <v>-88.429900696897121</v>
      </c>
      <c r="AD263">
        <f t="shared" si="105"/>
        <v>0</v>
      </c>
      <c r="AE263">
        <f t="shared" si="108"/>
        <v>0</v>
      </c>
    </row>
    <row r="264" spans="1:31" x14ac:dyDescent="0.2">
      <c r="A264" s="347">
        <v>16501.5</v>
      </c>
      <c r="B264" s="364">
        <f t="shared" si="102"/>
        <v>16.5015</v>
      </c>
      <c r="C264" s="337">
        <f t="shared" si="83"/>
        <v>92.636421336827425</v>
      </c>
      <c r="D264" s="338">
        <f t="shared" si="84"/>
        <v>1.5600012268957801</v>
      </c>
      <c r="E264" s="338">
        <f t="shared" si="85"/>
        <v>1.0008596267959833</v>
      </c>
      <c r="F264" s="339">
        <f t="shared" si="86"/>
        <v>4.1449039767879885E-2</v>
      </c>
      <c r="G264" s="338">
        <f t="shared" si="87"/>
        <v>1</v>
      </c>
      <c r="H264" s="339">
        <f t="shared" si="88"/>
        <v>0</v>
      </c>
      <c r="I264" s="337">
        <f t="shared" si="89"/>
        <v>54439.170357647643</v>
      </c>
      <c r="J264" s="340">
        <f t="shared" si="90"/>
        <v>1.5707779576685215</v>
      </c>
      <c r="K264" s="348">
        <f t="shared" si="106"/>
        <v>26.884679624790987</v>
      </c>
      <c r="L264" s="349">
        <f t="shared" si="107"/>
        <v>1.5335918390766012</v>
      </c>
      <c r="M264" s="337">
        <f t="shared" si="91"/>
        <v>1.0014365954935092</v>
      </c>
      <c r="N264" s="340">
        <f t="shared" si="92"/>
        <v>5.3570099129533533E-2</v>
      </c>
      <c r="O264" s="341">
        <f t="shared" si="93"/>
        <v>0.99728133286992593</v>
      </c>
      <c r="P264" s="342">
        <f t="shared" si="94"/>
        <v>2.4808678519478201E-2</v>
      </c>
      <c r="Q264" s="343">
        <f t="shared" si="95"/>
        <v>-8.7168397319501167</v>
      </c>
      <c r="R264" s="344">
        <f t="shared" si="96"/>
        <v>-93.628012214247363</v>
      </c>
      <c r="S264" s="346">
        <f t="shared" si="97"/>
        <v>86.371987785752637</v>
      </c>
      <c r="U264" s="319">
        <f t="shared" si="103"/>
        <v>16501.5</v>
      </c>
      <c r="V264" s="319">
        <f t="shared" si="104"/>
        <v>272299502.25</v>
      </c>
      <c r="X264" s="345">
        <f t="shared" si="98"/>
        <v>31.566622594981798</v>
      </c>
      <c r="Y264" s="346">
        <f t="shared" si="99"/>
        <v>-5.1999482459515187</v>
      </c>
      <c r="AA264" s="345">
        <f t="shared" si="100"/>
        <v>8.4645044770177318</v>
      </c>
      <c r="AB264" s="346">
        <f t="shared" si="101"/>
        <v>-88.428063968295845</v>
      </c>
      <c r="AD264">
        <f t="shared" si="105"/>
        <v>0</v>
      </c>
      <c r="AE264">
        <f t="shared" si="108"/>
        <v>0</v>
      </c>
    </row>
    <row r="265" spans="1:31" x14ac:dyDescent="0.2">
      <c r="A265" s="347">
        <v>16596</v>
      </c>
      <c r="B265" s="364">
        <f t="shared" si="102"/>
        <v>16.596</v>
      </c>
      <c r="C265" s="337">
        <f t="shared" si="83"/>
        <v>93.166865514824167</v>
      </c>
      <c r="D265" s="338">
        <f t="shared" si="84"/>
        <v>1.5600626910054447</v>
      </c>
      <c r="E265" s="338">
        <f t="shared" si="85"/>
        <v>1.0008694964382123</v>
      </c>
      <c r="F265" s="339">
        <f t="shared" si="86"/>
        <v>4.1686134032029899E-2</v>
      </c>
      <c r="G265" s="338">
        <f t="shared" si="87"/>
        <v>1</v>
      </c>
      <c r="H265" s="339">
        <f t="shared" si="88"/>
        <v>0</v>
      </c>
      <c r="I265" s="337">
        <f t="shared" si="89"/>
        <v>54750.929991442557</v>
      </c>
      <c r="J265" s="340">
        <f t="shared" si="90"/>
        <v>1.570778062264957</v>
      </c>
      <c r="K265" s="348">
        <f t="shared" si="106"/>
        <v>27.038429114547025</v>
      </c>
      <c r="L265" s="349">
        <f t="shared" si="107"/>
        <v>1.5338034929851423</v>
      </c>
      <c r="M265" s="337">
        <f t="shared" si="91"/>
        <v>1.0014530846887071</v>
      </c>
      <c r="N265" s="340">
        <f t="shared" si="92"/>
        <v>5.3876290180376499E-2</v>
      </c>
      <c r="O265" s="341">
        <f t="shared" si="93"/>
        <v>0.9972501157124577</v>
      </c>
      <c r="P265" s="342">
        <f t="shared" si="94"/>
        <v>2.4951562279447198E-2</v>
      </c>
      <c r="Q265" s="343">
        <f t="shared" si="95"/>
        <v>-8.7662877388394875</v>
      </c>
      <c r="R265" s="344">
        <f t="shared" si="96"/>
        <v>-93.631558556246787</v>
      </c>
      <c r="S265" s="346">
        <f t="shared" si="97"/>
        <v>86.368441443753213</v>
      </c>
      <c r="U265" s="319">
        <f t="shared" si="103"/>
        <v>16596</v>
      </c>
      <c r="V265" s="319">
        <f t="shared" si="104"/>
        <v>275427216</v>
      </c>
      <c r="X265" s="345">
        <f t="shared" si="98"/>
        <v>31.566411344727953</v>
      </c>
      <c r="Y265" s="346">
        <f t="shared" si="99"/>
        <v>-5.205370818153142</v>
      </c>
      <c r="AA265" s="345">
        <f t="shared" si="100"/>
        <v>8.4152677203822019</v>
      </c>
      <c r="AB265" s="346">
        <f t="shared" si="101"/>
        <v>-88.426187738093645</v>
      </c>
      <c r="AD265">
        <f t="shared" si="105"/>
        <v>0</v>
      </c>
      <c r="AE265">
        <f t="shared" si="108"/>
        <v>0</v>
      </c>
    </row>
    <row r="266" spans="1:31" x14ac:dyDescent="0.2">
      <c r="A266" s="347">
        <v>16692.5</v>
      </c>
      <c r="B266" s="364">
        <f t="shared" si="102"/>
        <v>16.692499999999999</v>
      </c>
      <c r="C266" s="337">
        <f t="shared" si="83"/>
        <v>93.708536383696398</v>
      </c>
      <c r="D266" s="338">
        <f t="shared" si="84"/>
        <v>1.5601247378520711</v>
      </c>
      <c r="E266" s="338">
        <f t="shared" si="85"/>
        <v>1.0008796330218808</v>
      </c>
      <c r="F266" s="339">
        <f t="shared" si="86"/>
        <v>4.1928241324808158E-2</v>
      </c>
      <c r="G266" s="338">
        <f t="shared" si="87"/>
        <v>1</v>
      </c>
      <c r="H266" s="339">
        <f t="shared" si="88"/>
        <v>0</v>
      </c>
      <c r="I266" s="337">
        <f t="shared" si="89"/>
        <v>55069.287712725803</v>
      </c>
      <c r="J266" s="340">
        <f t="shared" si="90"/>
        <v>1.5707781678529238</v>
      </c>
      <c r="K266" s="348">
        <f t="shared" si="106"/>
        <v>27.195433797449532</v>
      </c>
      <c r="L266" s="349">
        <f t="shared" si="107"/>
        <v>1.5340171566496219</v>
      </c>
      <c r="M266" s="337">
        <f t="shared" si="91"/>
        <v>1.0014700197491784</v>
      </c>
      <c r="N266" s="340">
        <f t="shared" si="92"/>
        <v>5.4188951029843759E-2</v>
      </c>
      <c r="O266" s="341">
        <f t="shared" si="93"/>
        <v>0.99721805415631259</v>
      </c>
      <c r="P266" s="342">
        <f t="shared" si="94"/>
        <v>2.5097484416634414E-2</v>
      </c>
      <c r="Q266" s="343">
        <f t="shared" si="95"/>
        <v>-8.8164892894187012</v>
      </c>
      <c r="R266" s="344">
        <f t="shared" si="96"/>
        <v>-93.635280745855994</v>
      </c>
      <c r="S266" s="346">
        <f t="shared" si="97"/>
        <v>86.364719254144006</v>
      </c>
      <c r="U266" s="319">
        <f t="shared" si="103"/>
        <v>16692.5</v>
      </c>
      <c r="V266" s="319">
        <f t="shared" si="104"/>
        <v>278639556.25</v>
      </c>
      <c r="X266" s="345">
        <f t="shared" si="98"/>
        <v>31.566195977070755</v>
      </c>
      <c r="Y266" s="346">
        <f t="shared" si="99"/>
        <v>-5.2110489887879634</v>
      </c>
      <c r="AA266" s="345">
        <f t="shared" si="100"/>
        <v>8.3652815374601914</v>
      </c>
      <c r="AB266" s="346">
        <f t="shared" si="101"/>
        <v>-88.424231757068029</v>
      </c>
      <c r="AD266">
        <f t="shared" si="105"/>
        <v>0</v>
      </c>
      <c r="AE266">
        <f t="shared" si="108"/>
        <v>0</v>
      </c>
    </row>
    <row r="267" spans="1:31" x14ac:dyDescent="0.2">
      <c r="A267" s="347">
        <v>16789</v>
      </c>
      <c r="B267" s="364">
        <f t="shared" si="102"/>
        <v>16.789000000000001</v>
      </c>
      <c r="C267" s="337">
        <f t="shared" si="83"/>
        <v>94.250207609182127</v>
      </c>
      <c r="D267" s="338">
        <f t="shared" si="84"/>
        <v>1.560186071512355</v>
      </c>
      <c r="E267" s="338">
        <f t="shared" si="85"/>
        <v>1.0008898282718606</v>
      </c>
      <c r="F267" s="339">
        <f t="shared" si="86"/>
        <v>4.2170343699477385E-2</v>
      </c>
      <c r="G267" s="338">
        <f t="shared" si="87"/>
        <v>1</v>
      </c>
      <c r="H267" s="339">
        <f t="shared" si="88"/>
        <v>0</v>
      </c>
      <c r="I267" s="337">
        <f t="shared" si="89"/>
        <v>55387.645434009661</v>
      </c>
      <c r="J267" s="340">
        <f t="shared" si="90"/>
        <v>1.5707782722270915</v>
      </c>
      <c r="K267" s="348">
        <f t="shared" si="106"/>
        <v>27.352439707629419</v>
      </c>
      <c r="L267" s="349">
        <f t="shared" si="107"/>
        <v>1.5342283674193791</v>
      </c>
      <c r="M267" s="337">
        <f t="shared" si="91"/>
        <v>1.0014870527068445</v>
      </c>
      <c r="N267" s="340">
        <f t="shared" si="92"/>
        <v>5.4501601274611011E-2</v>
      </c>
      <c r="O267" s="341">
        <f t="shared" si="93"/>
        <v>0.99718580696260761</v>
      </c>
      <c r="P267" s="342">
        <f t="shared" si="94"/>
        <v>2.5243421172131037E-2</v>
      </c>
      <c r="Q267" s="343">
        <f t="shared" si="95"/>
        <v>-8.8663981841761021</v>
      </c>
      <c r="R267" s="344">
        <f t="shared" si="96"/>
        <v>-93.639103055617269</v>
      </c>
      <c r="S267" s="346">
        <f t="shared" si="97"/>
        <v>86.360896944382731</v>
      </c>
      <c r="U267" s="319">
        <f t="shared" si="103"/>
        <v>16789</v>
      </c>
      <c r="V267" s="319">
        <f t="shared" si="104"/>
        <v>281870521</v>
      </c>
      <c r="X267" s="345">
        <f t="shared" si="98"/>
        <v>31.565980939324497</v>
      </c>
      <c r="Y267" s="346">
        <f t="shared" si="99"/>
        <v>-5.2168670227880138</v>
      </c>
      <c r="AA267" s="345">
        <f t="shared" si="100"/>
        <v>8.3155876804490436</v>
      </c>
      <c r="AB267" s="346">
        <f t="shared" si="101"/>
        <v>-88.422236032829247</v>
      </c>
      <c r="AD267">
        <f t="shared" si="105"/>
        <v>0</v>
      </c>
      <c r="AE267">
        <f t="shared" si="108"/>
        <v>0</v>
      </c>
    </row>
    <row r="268" spans="1:31" x14ac:dyDescent="0.2">
      <c r="A268" s="347">
        <v>16885.5</v>
      </c>
      <c r="B268" s="364">
        <f t="shared" si="102"/>
        <v>16.8855</v>
      </c>
      <c r="C268" s="337">
        <f t="shared" si="83"/>
        <v>94.791879185167915</v>
      </c>
      <c r="D268" s="338">
        <f t="shared" si="84"/>
        <v>1.5602467042119659</v>
      </c>
      <c r="E268" s="338">
        <f t="shared" si="85"/>
        <v>1.000900082186359</v>
      </c>
      <c r="F268" s="339">
        <f t="shared" si="86"/>
        <v>4.241244112780735E-2</v>
      </c>
      <c r="G268" s="338">
        <f t="shared" si="87"/>
        <v>1</v>
      </c>
      <c r="H268" s="339">
        <f t="shared" si="88"/>
        <v>0</v>
      </c>
      <c r="I268" s="337">
        <f t="shared" si="89"/>
        <v>55706.003155294107</v>
      </c>
      <c r="J268" s="340">
        <f t="shared" si="90"/>
        <v>1.5707783754082703</v>
      </c>
      <c r="K268" s="348">
        <f t="shared" si="106"/>
        <v>27.509446824073198</v>
      </c>
      <c r="L268" s="349">
        <f t="shared" si="107"/>
        <v>1.53443716727428</v>
      </c>
      <c r="M268" s="337">
        <f t="shared" si="91"/>
        <v>1.00150418355671</v>
      </c>
      <c r="N268" s="340">
        <f t="shared" si="92"/>
        <v>5.4814240854097675E-2</v>
      </c>
      <c r="O268" s="341">
        <f t="shared" si="93"/>
        <v>0.99715337413568306</v>
      </c>
      <c r="P268" s="342">
        <f t="shared" si="94"/>
        <v>2.5389372631968644E-2</v>
      </c>
      <c r="Q268" s="343">
        <f t="shared" si="95"/>
        <v>-8.9160177750029561</v>
      </c>
      <c r="R268" s="344">
        <f t="shared" si="96"/>
        <v>-93.643023785008722</v>
      </c>
      <c r="S268" s="346">
        <f t="shared" si="97"/>
        <v>86.356976214991278</v>
      </c>
      <c r="U268" s="319">
        <f t="shared" si="103"/>
        <v>16885.5</v>
      </c>
      <c r="V268" s="319">
        <f t="shared" si="104"/>
        <v>285120110.25</v>
      </c>
      <c r="X268" s="345">
        <f t="shared" si="98"/>
        <v>31.565766204788083</v>
      </c>
      <c r="Y268" s="346">
        <f t="shared" si="99"/>
        <v>-5.222822512605453</v>
      </c>
      <c r="AA268" s="345">
        <f t="shared" si="100"/>
        <v>8.2661828241586051</v>
      </c>
      <c r="AB268" s="346">
        <f t="shared" si="101"/>
        <v>-88.420201272403304</v>
      </c>
      <c r="AD268">
        <f t="shared" si="105"/>
        <v>0</v>
      </c>
      <c r="AE268">
        <f t="shared" si="108"/>
        <v>0</v>
      </c>
    </row>
    <row r="269" spans="1:31" x14ac:dyDescent="0.2">
      <c r="A269" s="347">
        <v>16982</v>
      </c>
      <c r="B269" s="364">
        <f t="shared" si="102"/>
        <v>16.981999999999999</v>
      </c>
      <c r="C269" s="337">
        <f t="shared" ref="C269:C332" si="109">SQRT(1+(A269/pole1)^2)</f>
        <v>95.333551105679305</v>
      </c>
      <c r="D269" s="338">
        <f t="shared" ref="D269:D332" si="110">ATAN(A269/pole1)</f>
        <v>1.5603066478987357</v>
      </c>
      <c r="E269" s="338">
        <f t="shared" ref="E269:E332" si="111">SQRT(1+(A269/Zero1)^2)</f>
        <v>1.0009103947635731</v>
      </c>
      <c r="F269" s="339">
        <f t="shared" ref="F269:F332" si="112">ATAN(A269/Zero1)</f>
        <v>4.2654533581571293E-2</v>
      </c>
      <c r="G269" s="338">
        <f t="shared" ref="G269:G332" si="113">IF(VIN_nom&gt;Vout, 1, SQRT(1+(A269/z_RHP)^2))</f>
        <v>1</v>
      </c>
      <c r="H269" s="339">
        <f t="shared" ref="H269:H332" si="114">IF(VIN_nom&gt;Vout, 0, -ATAN(A269/z_RHP))</f>
        <v>0</v>
      </c>
      <c r="I269" s="337">
        <f t="shared" ref="I269:I332" si="115">SQRT(1+(A269/Pole2)^2)</f>
        <v>56024.360876579143</v>
      </c>
      <c r="J269" s="340">
        <f t="shared" ref="J269:J332" si="116">ATAN(A269/Pole2)</f>
        <v>1.5707784774167974</v>
      </c>
      <c r="K269" s="348">
        <f t="shared" si="106"/>
        <v>27.666455126244234</v>
      </c>
      <c r="L269" s="349">
        <f t="shared" si="107"/>
        <v>1.5346435972420926</v>
      </c>
      <c r="M269" s="337">
        <f t="shared" ref="M269:M332" si="117">SQRT(1+(A269/pole4)^2)</f>
        <v>1.0015214122937524</v>
      </c>
      <c r="N269" s="340">
        <f t="shared" ref="N269:N332" si="118">ATAN(A269/pole4)</f>
        <v>5.5126869707735622E-2</v>
      </c>
      <c r="O269" s="341">
        <f t="shared" ref="O269:O332" si="119">SQRT((1-(V269/pterm2))^2+(A269/pterm1)^2)</f>
        <v>0.99712075567990544</v>
      </c>
      <c r="P269" s="342">
        <f t="shared" ref="P269:P332" si="120">IF((ATAN((A269/pterm1)/(1-A269^2/pterm2))&gt;0),ATAN((A269/pterm1)/(1-A269^2/pterm2)),PI()+ATAN((A269/pterm1)/(1-A269^2/pterm2)))</f>
        <v>2.5535338882205324E-2</v>
      </c>
      <c r="Q269" s="343">
        <f t="shared" ref="Q269:Q332" si="121">20*LOG10(((E269*K269*G269)/(C269*I269*O269*M269))*Adc)</f>
        <v>-8.965351356207286</v>
      </c>
      <c r="R269" s="344">
        <f t="shared" ref="R269:R332" si="122">((F269+L269+H269)-(D269+J269+P269+N269))*radconv</f>
        <v>-93.647041272115857</v>
      </c>
      <c r="S269" s="346">
        <f t="shared" ref="S269:S332" si="123">IF(R269&gt;0,R269,R269+180)</f>
        <v>86.352958727884143</v>
      </c>
      <c r="U269" s="319">
        <f t="shared" si="103"/>
        <v>16982</v>
      </c>
      <c r="V269" s="319">
        <f t="shared" si="104"/>
        <v>288388324</v>
      </c>
      <c r="X269" s="345">
        <f t="shared" ref="X269:X332" si="124">20*LOG10((K269/(I269*M269))*AEA)</f>
        <v>31.565551747518814</v>
      </c>
      <c r="Y269" s="346">
        <f t="shared" ref="Y269:Y332" si="125">(L269-(J269+N269))*radconv</f>
        <v>-5.2289131052172761</v>
      </c>
      <c r="AA269" s="345">
        <f t="shared" ref="AA269:AA332" si="126">20*LOG10((E269*G269/(C269*O269))*Acs*Am)</f>
        <v>8.2170637002235427</v>
      </c>
      <c r="AB269" s="346">
        <f t="shared" ref="AB269:AB332" si="127">(F269+H269-(D269+P269))*radconv</f>
        <v>-88.418128166898569</v>
      </c>
      <c r="AD269">
        <f t="shared" si="105"/>
        <v>0</v>
      </c>
      <c r="AE269">
        <f t="shared" si="108"/>
        <v>0</v>
      </c>
    </row>
    <row r="270" spans="1:31" x14ac:dyDescent="0.2">
      <c r="A270" s="347">
        <v>17081</v>
      </c>
      <c r="B270" s="364">
        <f t="shared" ref="B270:B333" si="128">A270/1000</f>
        <v>17.081</v>
      </c>
      <c r="C270" s="337">
        <f t="shared" si="109"/>
        <v>95.889256329408923</v>
      </c>
      <c r="D270" s="338">
        <f t="shared" si="110"/>
        <v>1.5603674407501591</v>
      </c>
      <c r="E270" s="338">
        <f t="shared" si="111"/>
        <v>1.0009210354661404</v>
      </c>
      <c r="F270" s="339">
        <f t="shared" si="112"/>
        <v>4.290289266143197E-2</v>
      </c>
      <c r="G270" s="338">
        <f t="shared" si="113"/>
        <v>1</v>
      </c>
      <c r="H270" s="339">
        <f t="shared" si="114"/>
        <v>0</v>
      </c>
      <c r="I270" s="337">
        <f t="shared" si="115"/>
        <v>56350.966207224497</v>
      </c>
      <c r="J270" s="340">
        <f t="shared" si="116"/>
        <v>1.5707785808702504</v>
      </c>
      <c r="K270" s="348">
        <f t="shared" si="106"/>
        <v>27.827532212175935</v>
      </c>
      <c r="L270" s="349">
        <f t="shared" si="107"/>
        <v>1.5348529543881873</v>
      </c>
      <c r="M270" s="337">
        <f t="shared" si="117"/>
        <v>1.0015391890897685</v>
      </c>
      <c r="N270" s="340">
        <f t="shared" si="118"/>
        <v>5.5447586544744881E-2</v>
      </c>
      <c r="O270" s="341">
        <f t="shared" si="119"/>
        <v>0.99708709928631445</v>
      </c>
      <c r="P270" s="342">
        <f t="shared" si="120"/>
        <v>2.5685102101865986E-2</v>
      </c>
      <c r="Q270" s="343">
        <f t="shared" si="121"/>
        <v>-9.0156691831365023</v>
      </c>
      <c r="R270" s="344">
        <f t="shared" si="122"/>
        <v>-93.6512616870084</v>
      </c>
      <c r="S270" s="346">
        <f t="shared" si="123"/>
        <v>86.3487383129916</v>
      </c>
      <c r="U270" s="319">
        <f t="shared" ref="U270:U333" si="129">IF(Q270&lt;0,A270,1000000000)</f>
        <v>17081</v>
      </c>
      <c r="V270" s="319">
        <f t="shared" ref="V270:V333" si="130">A270^2</f>
        <v>291760561</v>
      </c>
      <c r="X270" s="345">
        <f t="shared" si="124"/>
        <v>31.565331996077219</v>
      </c>
      <c r="Y270" s="346">
        <f t="shared" si="125"/>
        <v>-5.2352994729680882</v>
      </c>
      <c r="AA270" s="345">
        <f t="shared" si="126"/>
        <v>8.1669656247359192</v>
      </c>
      <c r="AB270" s="346">
        <f t="shared" si="127"/>
        <v>-88.415962214040306</v>
      </c>
      <c r="AD270">
        <f t="shared" ref="AD270:AD333" si="131">SUM((Q271&lt;0)*(Q270&gt;0))*A270</f>
        <v>0</v>
      </c>
      <c r="AE270">
        <f t="shared" si="108"/>
        <v>0</v>
      </c>
    </row>
    <row r="271" spans="1:31" x14ac:dyDescent="0.2">
      <c r="A271" s="347">
        <v>17180</v>
      </c>
      <c r="B271" s="364">
        <f t="shared" si="128"/>
        <v>17.18</v>
      </c>
      <c r="C271" s="337">
        <f t="shared" si="109"/>
        <v>96.44496190343942</v>
      </c>
      <c r="D271" s="338">
        <f t="shared" si="110"/>
        <v>1.5604275330379629</v>
      </c>
      <c r="E271" s="338">
        <f t="shared" si="111"/>
        <v>1.0009317379064369</v>
      </c>
      <c r="F271" s="339">
        <f t="shared" si="112"/>
        <v>4.3151246445463538E-2</v>
      </c>
      <c r="G271" s="338">
        <f t="shared" si="113"/>
        <v>1</v>
      </c>
      <c r="H271" s="339">
        <f t="shared" si="114"/>
        <v>0</v>
      </c>
      <c r="I271" s="337">
        <f t="shared" si="115"/>
        <v>56677.571537870441</v>
      </c>
      <c r="J271" s="340">
        <f t="shared" si="116"/>
        <v>1.5707786831313995</v>
      </c>
      <c r="K271" s="348">
        <f t="shared" si="106"/>
        <v>27.988610503760988</v>
      </c>
      <c r="L271" s="349">
        <f t="shared" si="107"/>
        <v>1.5350599017850948</v>
      </c>
      <c r="M271" s="337">
        <f t="shared" si="117"/>
        <v>1.0015570688997308</v>
      </c>
      <c r="N271" s="340">
        <f t="shared" si="118"/>
        <v>5.5768291963858303E-2</v>
      </c>
      <c r="O271" s="341">
        <f t="shared" si="119"/>
        <v>0.99705324753060154</v>
      </c>
      <c r="P271" s="342">
        <f t="shared" si="120"/>
        <v>2.5834881071776821E-2</v>
      </c>
      <c r="Q271" s="343">
        <f t="shared" si="121"/>
        <v>-9.0656928332078195</v>
      </c>
      <c r="R271" s="344">
        <f t="shared" si="122"/>
        <v>-93.655580514360778</v>
      </c>
      <c r="S271" s="346">
        <f t="shared" si="123"/>
        <v>86.344419485639222</v>
      </c>
      <c r="U271" s="319">
        <f t="shared" si="129"/>
        <v>17180</v>
      </c>
      <c r="V271" s="319">
        <f t="shared" si="130"/>
        <v>295152400</v>
      </c>
      <c r="X271" s="345">
        <f t="shared" si="124"/>
        <v>31.56511248347929</v>
      </c>
      <c r="Y271" s="346">
        <f t="shared" si="125"/>
        <v>-5.2418231866659495</v>
      </c>
      <c r="AA271" s="345">
        <f t="shared" si="126"/>
        <v>8.1171614872625373</v>
      </c>
      <c r="AB271" s="346">
        <f t="shared" si="127"/>
        <v>-88.41375732769481</v>
      </c>
      <c r="AD271">
        <f t="shared" si="131"/>
        <v>0</v>
      </c>
      <c r="AE271">
        <f t="shared" si="108"/>
        <v>0</v>
      </c>
    </row>
    <row r="272" spans="1:31" x14ac:dyDescent="0.2">
      <c r="A272" s="347">
        <v>17279</v>
      </c>
      <c r="B272" s="364">
        <f t="shared" si="128"/>
        <v>17.279</v>
      </c>
      <c r="C272" s="337">
        <f t="shared" si="109"/>
        <v>97.00066782175027</v>
      </c>
      <c r="D272" s="338">
        <f t="shared" si="110"/>
        <v>1.5604869368020604</v>
      </c>
      <c r="E272" s="338">
        <f t="shared" si="111"/>
        <v>1.000942502082482</v>
      </c>
      <c r="F272" s="339">
        <f t="shared" si="112"/>
        <v>4.339959490319964E-2</v>
      </c>
      <c r="G272" s="338">
        <f t="shared" si="113"/>
        <v>1</v>
      </c>
      <c r="H272" s="339">
        <f t="shared" si="114"/>
        <v>0</v>
      </c>
      <c r="I272" s="337">
        <f t="shared" si="115"/>
        <v>57004.176868516981</v>
      </c>
      <c r="J272" s="340">
        <f t="shared" si="116"/>
        <v>1.5707787842207384</v>
      </c>
      <c r="K272" s="348">
        <f t="shared" si="106"/>
        <v>28.149689980302416</v>
      </c>
      <c r="L272" s="349">
        <f t="shared" si="107"/>
        <v>1.5352644807824749</v>
      </c>
      <c r="M272" s="337">
        <f t="shared" si="117"/>
        <v>1.0015750517181226</v>
      </c>
      <c r="N272" s="340">
        <f t="shared" si="118"/>
        <v>5.60889858997188E-2</v>
      </c>
      <c r="O272" s="341">
        <f t="shared" si="119"/>
        <v>0.99701920041756598</v>
      </c>
      <c r="P272" s="342">
        <f t="shared" si="120"/>
        <v>2.598467588494718E-2</v>
      </c>
      <c r="Q272" s="343">
        <f t="shared" si="121"/>
        <v>-9.1154256830523543</v>
      </c>
      <c r="R272" s="344">
        <f t="shared" si="122"/>
        <v>-93.659996079352368</v>
      </c>
      <c r="S272" s="346">
        <f t="shared" si="123"/>
        <v>86.340003920647632</v>
      </c>
      <c r="U272" s="319">
        <f t="shared" si="129"/>
        <v>17279</v>
      </c>
      <c r="V272" s="319">
        <f t="shared" si="130"/>
        <v>298563841</v>
      </c>
      <c r="X272" s="345">
        <f t="shared" si="124"/>
        <v>31.564893184036691</v>
      </c>
      <c r="Y272" s="346">
        <f t="shared" si="125"/>
        <v>-5.2484818745793858</v>
      </c>
      <c r="AA272" s="345">
        <f t="shared" si="126"/>
        <v>8.0676479368605971</v>
      </c>
      <c r="AB272" s="346">
        <f t="shared" si="127"/>
        <v>-88.411514204772985</v>
      </c>
      <c r="AD272">
        <f t="shared" si="131"/>
        <v>0</v>
      </c>
      <c r="AE272">
        <f t="shared" si="108"/>
        <v>0</v>
      </c>
    </row>
    <row r="273" spans="1:31" x14ac:dyDescent="0.2">
      <c r="A273" s="347">
        <v>17378</v>
      </c>
      <c r="B273" s="364">
        <f t="shared" si="128"/>
        <v>17.378</v>
      </c>
      <c r="C273" s="337">
        <f t="shared" si="109"/>
        <v>97.556374078458163</v>
      </c>
      <c r="D273" s="338">
        <f t="shared" si="110"/>
        <v>1.5605456638080539</v>
      </c>
      <c r="E273" s="338">
        <f t="shared" si="111"/>
        <v>1.0009533279922844</v>
      </c>
      <c r="F273" s="339">
        <f t="shared" si="112"/>
        <v>4.3647938004177857E-2</v>
      </c>
      <c r="G273" s="338">
        <f t="shared" si="113"/>
        <v>1</v>
      </c>
      <c r="H273" s="339">
        <f t="shared" si="114"/>
        <v>0</v>
      </c>
      <c r="I273" s="337">
        <f t="shared" si="115"/>
        <v>57330.782199164089</v>
      </c>
      <c r="J273" s="340">
        <f t="shared" si="116"/>
        <v>1.5707788841582939</v>
      </c>
      <c r="K273" s="348">
        <f t="shared" si="106"/>
        <v>28.310770621574111</v>
      </c>
      <c r="L273" s="349">
        <f t="shared" si="107"/>
        <v>1.5354667317897173</v>
      </c>
      <c r="M273" s="337">
        <f t="shared" si="117"/>
        <v>1.0015931375393954</v>
      </c>
      <c r="N273" s="340">
        <f t="shared" si="118"/>
        <v>5.6409668286983392E-2</v>
      </c>
      <c r="O273" s="341">
        <f t="shared" si="119"/>
        <v>0.99698495795203523</v>
      </c>
      <c r="P273" s="342">
        <f t="shared" si="120"/>
        <v>2.6134486634416497E-2</v>
      </c>
      <c r="Q273" s="343">
        <f t="shared" si="121"/>
        <v>-9.1648710511577498</v>
      </c>
      <c r="R273" s="344">
        <f t="shared" si="122"/>
        <v>-93.664506745294787</v>
      </c>
      <c r="S273" s="346">
        <f t="shared" si="123"/>
        <v>86.335493254705213</v>
      </c>
      <c r="U273" s="319">
        <f t="shared" si="129"/>
        <v>17378</v>
      </c>
      <c r="V273" s="319">
        <f t="shared" si="130"/>
        <v>301994884</v>
      </c>
      <c r="X273" s="345">
        <f t="shared" si="124"/>
        <v>31.564674072793078</v>
      </c>
      <c r="Y273" s="346">
        <f t="shared" si="125"/>
        <v>-5.2552732188244766</v>
      </c>
      <c r="AA273" s="345">
        <f t="shared" si="126"/>
        <v>8.0184216799988146</v>
      </c>
      <c r="AB273" s="346">
        <f t="shared" si="127"/>
        <v>-88.409233526470274</v>
      </c>
      <c r="AD273">
        <f t="shared" si="131"/>
        <v>0</v>
      </c>
      <c r="AE273">
        <f t="shared" si="108"/>
        <v>0</v>
      </c>
    </row>
    <row r="274" spans="1:31" x14ac:dyDescent="0.2">
      <c r="A274" s="347">
        <v>17479.25</v>
      </c>
      <c r="B274" s="364">
        <f t="shared" si="128"/>
        <v>17.47925</v>
      </c>
      <c r="C274" s="337">
        <f t="shared" si="109"/>
        <v>98.124710366847353</v>
      </c>
      <c r="D274" s="338">
        <f t="shared" si="110"/>
        <v>1.5606050374971512</v>
      </c>
      <c r="E274" s="338">
        <f t="shared" si="111"/>
        <v>1.0009644637976642</v>
      </c>
      <c r="F274" s="339">
        <f t="shared" si="112"/>
        <v>4.3901919694040524E-2</v>
      </c>
      <c r="G274" s="338">
        <f t="shared" si="113"/>
        <v>1</v>
      </c>
      <c r="H274" s="339">
        <f t="shared" si="114"/>
        <v>0</v>
      </c>
      <c r="I274" s="337">
        <f t="shared" si="115"/>
        <v>57664.810378235576</v>
      </c>
      <c r="J274" s="340">
        <f t="shared" si="116"/>
        <v>1.5707789851962077</v>
      </c>
      <c r="K274" s="348">
        <f t="shared" si="106"/>
        <v>28.475513370649047</v>
      </c>
      <c r="L274" s="349">
        <f t="shared" si="107"/>
        <v>1.5356712126126131</v>
      </c>
      <c r="M274" s="337">
        <f t="shared" si="117"/>
        <v>1.0016117409371905</v>
      </c>
      <c r="N274" s="340">
        <f t="shared" si="118"/>
        <v>5.6737626896956939E-2</v>
      </c>
      <c r="O274" s="341">
        <f t="shared" si="119"/>
        <v>0.9969497351910207</v>
      </c>
      <c r="P274" s="342">
        <f t="shared" si="120"/>
        <v>2.6287718754340175E-2</v>
      </c>
      <c r="Q274" s="343">
        <f t="shared" si="121"/>
        <v>-9.2151462200665772</v>
      </c>
      <c r="R274" s="344">
        <f t="shared" si="122"/>
        <v>-93.669216627063477</v>
      </c>
      <c r="S274" s="346">
        <f t="shared" si="123"/>
        <v>86.330783372936523</v>
      </c>
      <c r="U274" s="319">
        <f t="shared" si="129"/>
        <v>17479.25</v>
      </c>
      <c r="V274" s="319">
        <f t="shared" si="130"/>
        <v>305524180.5625</v>
      </c>
      <c r="X274" s="345">
        <f t="shared" si="124"/>
        <v>31.564450151143895</v>
      </c>
      <c r="Y274" s="346">
        <f t="shared" si="125"/>
        <v>-5.2623537639417588</v>
      </c>
      <c r="AA274" s="345">
        <f t="shared" si="126"/>
        <v>7.9683704327391709</v>
      </c>
      <c r="AB274" s="346">
        <f t="shared" si="127"/>
        <v>-88.406862863121717</v>
      </c>
      <c r="AD274">
        <f t="shared" si="131"/>
        <v>0</v>
      </c>
      <c r="AE274">
        <f t="shared" si="108"/>
        <v>0</v>
      </c>
    </row>
    <row r="275" spans="1:31" x14ac:dyDescent="0.2">
      <c r="A275" s="347">
        <v>17580.5</v>
      </c>
      <c r="B275" s="364">
        <f t="shared" si="128"/>
        <v>17.580500000000001</v>
      </c>
      <c r="C275" s="337">
        <f t="shared" si="109"/>
        <v>98.693046997165254</v>
      </c>
      <c r="D275" s="338">
        <f t="shared" si="110"/>
        <v>1.5606637273643724</v>
      </c>
      <c r="E275" s="338">
        <f t="shared" si="111"/>
        <v>1.0009756641705185</v>
      </c>
      <c r="F275" s="339">
        <f t="shared" si="112"/>
        <v>4.4155895716452294E-2</v>
      </c>
      <c r="G275" s="338">
        <f t="shared" si="113"/>
        <v>1</v>
      </c>
      <c r="H275" s="339">
        <f t="shared" si="114"/>
        <v>0</v>
      </c>
      <c r="I275" s="337">
        <f t="shared" si="115"/>
        <v>57998.838557307659</v>
      </c>
      <c r="J275" s="340">
        <f t="shared" si="116"/>
        <v>1.570779085070322</v>
      </c>
      <c r="K275" s="348">
        <f t="shared" si="106"/>
        <v>28.640257296656376</v>
      </c>
      <c r="L275" s="349">
        <f t="shared" si="107"/>
        <v>1.5358733410227259</v>
      </c>
      <c r="M275" s="337">
        <f t="shared" si="117"/>
        <v>1.0016304520611807</v>
      </c>
      <c r="N275" s="340">
        <f t="shared" si="118"/>
        <v>5.7065573289231737E-2</v>
      </c>
      <c r="O275" s="341">
        <f t="shared" si="119"/>
        <v>0.99691430810725201</v>
      </c>
      <c r="P275" s="342">
        <f t="shared" si="120"/>
        <v>2.6440967740113536E-2</v>
      </c>
      <c r="Q275" s="343">
        <f t="shared" si="121"/>
        <v>-9.2651275318809372</v>
      </c>
      <c r="R275" s="344">
        <f t="shared" si="122"/>
        <v>-93.674022636408651</v>
      </c>
      <c r="S275" s="346">
        <f t="shared" si="123"/>
        <v>86.325977363591349</v>
      </c>
      <c r="U275" s="319">
        <f t="shared" si="129"/>
        <v>17580.5</v>
      </c>
      <c r="V275" s="319">
        <f t="shared" si="130"/>
        <v>309073980.25</v>
      </c>
      <c r="X275" s="345">
        <f t="shared" si="124"/>
        <v>31.564226375782969</v>
      </c>
      <c r="Y275" s="346">
        <f t="shared" si="125"/>
        <v>-5.2695683256799795</v>
      </c>
      <c r="AA275" s="345">
        <f t="shared" si="126"/>
        <v>7.9186128962857385</v>
      </c>
      <c r="AB275" s="346">
        <f t="shared" si="127"/>
        <v>-88.404454310728681</v>
      </c>
      <c r="AD275">
        <f t="shared" si="131"/>
        <v>0</v>
      </c>
      <c r="AE275">
        <f t="shared" si="108"/>
        <v>0</v>
      </c>
    </row>
    <row r="276" spans="1:31" x14ac:dyDescent="0.2">
      <c r="A276" s="347">
        <v>17681.75</v>
      </c>
      <c r="B276" s="364">
        <f t="shared" si="128"/>
        <v>17.681750000000001</v>
      </c>
      <c r="C276" s="337">
        <f t="shared" si="109"/>
        <v>99.261383963538549</v>
      </c>
      <c r="D276" s="338">
        <f t="shared" si="110"/>
        <v>1.560721745155305</v>
      </c>
      <c r="E276" s="338">
        <f t="shared" si="111"/>
        <v>1.0009869291086793</v>
      </c>
      <c r="F276" s="339">
        <f t="shared" si="112"/>
        <v>4.4409866038839133E-2</v>
      </c>
      <c r="G276" s="338">
        <f t="shared" si="113"/>
        <v>1</v>
      </c>
      <c r="H276" s="339">
        <f t="shared" si="114"/>
        <v>0</v>
      </c>
      <c r="I276" s="337">
        <f t="shared" si="115"/>
        <v>58332.866736380311</v>
      </c>
      <c r="J276" s="340">
        <f t="shared" si="116"/>
        <v>1.5707791838006295</v>
      </c>
      <c r="K276" s="348">
        <f t="shared" si="106"/>
        <v>28.805002379402467</v>
      </c>
      <c r="L276" s="349">
        <f t="shared" si="107"/>
        <v>1.5360731573660142</v>
      </c>
      <c r="M276" s="337">
        <f t="shared" si="117"/>
        <v>1.0016492709053288</v>
      </c>
      <c r="N276" s="340">
        <f t="shared" si="118"/>
        <v>5.7393507393953935E-2</v>
      </c>
      <c r="O276" s="341">
        <f t="shared" si="119"/>
        <v>0.9968786767059864</v>
      </c>
      <c r="P276" s="342">
        <f t="shared" si="120"/>
        <v>2.6594233691363656E-2</v>
      </c>
      <c r="Q276" s="343">
        <f t="shared" si="121"/>
        <v>-9.3148183563534168</v>
      </c>
      <c r="R276" s="344">
        <f t="shared" si="122"/>
        <v>-93.678923139367441</v>
      </c>
      <c r="S276" s="346">
        <f t="shared" si="123"/>
        <v>86.321076860632559</v>
      </c>
      <c r="U276" s="319">
        <f t="shared" si="129"/>
        <v>17681.75</v>
      </c>
      <c r="V276" s="319">
        <f t="shared" si="130"/>
        <v>312644283.0625</v>
      </c>
      <c r="X276" s="345">
        <f t="shared" si="124"/>
        <v>31.564002722231201</v>
      </c>
      <c r="Y276" s="346">
        <f t="shared" si="125"/>
        <v>-5.2769145895291256</v>
      </c>
      <c r="AA276" s="345">
        <f t="shared" si="126"/>
        <v>7.8691457253650245</v>
      </c>
      <c r="AB276" s="346">
        <f t="shared" si="127"/>
        <v>-88.402008549838328</v>
      </c>
      <c r="AD276">
        <f t="shared" si="131"/>
        <v>0</v>
      </c>
      <c r="AE276">
        <f t="shared" si="108"/>
        <v>0</v>
      </c>
    </row>
    <row r="277" spans="1:31" x14ac:dyDescent="0.2">
      <c r="A277" s="347">
        <v>17783</v>
      </c>
      <c r="B277" s="364">
        <f t="shared" si="128"/>
        <v>17.783000000000001</v>
      </c>
      <c r="C277" s="337">
        <f t="shared" si="109"/>
        <v>99.829721260227686</v>
      </c>
      <c r="D277" s="338">
        <f t="shared" si="110"/>
        <v>1.5607791023480813</v>
      </c>
      <c r="E277" s="338">
        <f t="shared" si="111"/>
        <v>1.0009982586099668</v>
      </c>
      <c r="F277" s="339">
        <f t="shared" si="112"/>
        <v>4.4663830628631385E-2</v>
      </c>
      <c r="G277" s="338">
        <f t="shared" si="113"/>
        <v>1</v>
      </c>
      <c r="H277" s="339">
        <f t="shared" si="114"/>
        <v>0</v>
      </c>
      <c r="I277" s="337">
        <f t="shared" si="115"/>
        <v>58666.894915453515</v>
      </c>
      <c r="J277" s="340">
        <f t="shared" si="116"/>
        <v>1.5707792814066672</v>
      </c>
      <c r="K277" s="348">
        <f t="shared" si="106"/>
        <v>28.969748599152904</v>
      </c>
      <c r="L277" s="349">
        <f t="shared" si="107"/>
        <v>1.5362707010714214</v>
      </c>
      <c r="M277" s="337">
        <f t="shared" si="117"/>
        <v>1.0016681974635637</v>
      </c>
      <c r="N277" s="340">
        <f t="shared" si="118"/>
        <v>5.7721429141285516E-2</v>
      </c>
      <c r="O277" s="341">
        <f t="shared" si="119"/>
        <v>0.99684284099251197</v>
      </c>
      <c r="P277" s="342">
        <f t="shared" si="120"/>
        <v>2.6747516707751353E-2</v>
      </c>
      <c r="Q277" s="343">
        <f t="shared" si="121"/>
        <v>-9.3642220052557601</v>
      </c>
      <c r="R277" s="344">
        <f t="shared" si="122"/>
        <v>-93.683916539170625</v>
      </c>
      <c r="S277" s="346">
        <f t="shared" si="123"/>
        <v>86.316083460829375</v>
      </c>
      <c r="U277" s="319">
        <f t="shared" si="129"/>
        <v>17783</v>
      </c>
      <c r="V277" s="319">
        <f t="shared" si="130"/>
        <v>316235089</v>
      </c>
      <c r="X277" s="345">
        <f t="shared" si="124"/>
        <v>31.5637791667071</v>
      </c>
      <c r="Y277" s="346">
        <f t="shared" si="125"/>
        <v>-5.2843902934951306</v>
      </c>
      <c r="AA277" s="345">
        <f t="shared" si="126"/>
        <v>7.8199656319867845</v>
      </c>
      <c r="AB277" s="346">
        <f t="shared" si="127"/>
        <v>-88.399526245675489</v>
      </c>
      <c r="AD277">
        <f t="shared" si="131"/>
        <v>0</v>
      </c>
      <c r="AE277">
        <f t="shared" si="108"/>
        <v>0</v>
      </c>
    </row>
    <row r="278" spans="1:31" x14ac:dyDescent="0.2">
      <c r="A278" s="347">
        <v>17886.5</v>
      </c>
      <c r="B278" s="364">
        <f t="shared" si="128"/>
        <v>17.886500000000002</v>
      </c>
      <c r="C278" s="337">
        <f t="shared" si="109"/>
        <v>100.41068861018877</v>
      </c>
      <c r="D278" s="338">
        <f t="shared" si="110"/>
        <v>1.5608370630433126</v>
      </c>
      <c r="E278" s="338">
        <f t="shared" si="111"/>
        <v>1.0010099066068396</v>
      </c>
      <c r="F278" s="339">
        <f t="shared" si="112"/>
        <v>4.4923432916969999E-2</v>
      </c>
      <c r="G278" s="338">
        <f t="shared" si="113"/>
        <v>1</v>
      </c>
      <c r="H278" s="339">
        <f t="shared" si="114"/>
        <v>0</v>
      </c>
      <c r="I278" s="337">
        <f t="shared" si="115"/>
        <v>59008.345942951142</v>
      </c>
      <c r="J278" s="340">
        <f t="shared" si="116"/>
        <v>1.5707793800395848</v>
      </c>
      <c r="K278" s="348">
        <f t="shared" si="106"/>
        <v>29.138157001113104</v>
      </c>
      <c r="L278" s="349">
        <f t="shared" si="107"/>
        <v>1.5364703258052739</v>
      </c>
      <c r="M278" s="337">
        <f t="shared" si="117"/>
        <v>1.0016876559367762</v>
      </c>
      <c r="N278" s="340">
        <f t="shared" si="118"/>
        <v>5.8056625193501715E-2</v>
      </c>
      <c r="O278" s="341">
        <f t="shared" si="119"/>
        <v>0.99680599776232526</v>
      </c>
      <c r="P278" s="342">
        <f t="shared" si="120"/>
        <v>2.6904223755387171E-2</v>
      </c>
      <c r="Q278" s="343">
        <f t="shared" si="121"/>
        <v>-9.4144300830480994</v>
      </c>
      <c r="R278" s="344">
        <f t="shared" si="122"/>
        <v>-93.68911529498186</v>
      </c>
      <c r="S278" s="346">
        <f t="shared" si="123"/>
        <v>86.31088470501814</v>
      </c>
      <c r="U278" s="319">
        <f t="shared" si="129"/>
        <v>17886.5</v>
      </c>
      <c r="V278" s="319">
        <f t="shared" si="130"/>
        <v>319926882.25</v>
      </c>
      <c r="X278" s="345">
        <f t="shared" si="124"/>
        <v>31.563550720545383</v>
      </c>
      <c r="Y278" s="346">
        <f t="shared" si="125"/>
        <v>-5.2921636091191786</v>
      </c>
      <c r="AA278" s="345">
        <f t="shared" si="126"/>
        <v>7.7699860003561643</v>
      </c>
      <c r="AB278" s="346">
        <f t="shared" si="127"/>
        <v>-88.396951685862675</v>
      </c>
      <c r="AD278">
        <f t="shared" si="131"/>
        <v>0</v>
      </c>
      <c r="AE278">
        <f t="shared" si="108"/>
        <v>0</v>
      </c>
    </row>
    <row r="279" spans="1:31" x14ac:dyDescent="0.2">
      <c r="A279" s="347">
        <v>17990</v>
      </c>
      <c r="B279" s="364">
        <f t="shared" si="128"/>
        <v>17.989999999999998</v>
      </c>
      <c r="C279" s="337">
        <f t="shared" si="109"/>
        <v>100.99165629359277</v>
      </c>
      <c r="D279" s="338">
        <f t="shared" si="110"/>
        <v>1.5608943568858069</v>
      </c>
      <c r="E279" s="338">
        <f t="shared" si="111"/>
        <v>1.0010216220635491</v>
      </c>
      <c r="F279" s="339">
        <f t="shared" si="112"/>
        <v>4.5183029146292478E-2</v>
      </c>
      <c r="G279" s="338">
        <f t="shared" si="113"/>
        <v>1</v>
      </c>
      <c r="H279" s="339">
        <f t="shared" si="114"/>
        <v>0</v>
      </c>
      <c r="I279" s="337">
        <f t="shared" si="115"/>
        <v>59349.796970449337</v>
      </c>
      <c r="J279" s="340">
        <f t="shared" si="116"/>
        <v>1.5707794775375934</v>
      </c>
      <c r="K279" s="348">
        <f t="shared" ref="K279:K342" si="132">SQRT(1+(A279/Zero2)^2)</f>
        <v>29.306566550884806</v>
      </c>
      <c r="L279" s="349">
        <f t="shared" ref="L279:L342" si="133">ATAN(A279/Zero2)</f>
        <v>1.5366676562684982</v>
      </c>
      <c r="M279" s="337">
        <f t="shared" si="117"/>
        <v>1.0017072269516212</v>
      </c>
      <c r="N279" s="340">
        <f t="shared" si="118"/>
        <v>5.8391808185483896E-2</v>
      </c>
      <c r="O279" s="341">
        <f t="shared" si="119"/>
        <v>0.99676894104976732</v>
      </c>
      <c r="P279" s="342">
        <f t="shared" si="120"/>
        <v>2.7060948845739941E-2</v>
      </c>
      <c r="Q279" s="343">
        <f t="shared" si="121"/>
        <v>-9.4643448984673633</v>
      </c>
      <c r="R279" s="344">
        <f t="shared" si="122"/>
        <v>-93.694407862575673</v>
      </c>
      <c r="S279" s="346">
        <f t="shared" si="123"/>
        <v>86.305592137424327</v>
      </c>
      <c r="U279" s="319">
        <f t="shared" si="129"/>
        <v>17990</v>
      </c>
      <c r="V279" s="319">
        <f t="shared" si="130"/>
        <v>323640100</v>
      </c>
      <c r="X279" s="345">
        <f t="shared" si="124"/>
        <v>31.563322328693999</v>
      </c>
      <c r="Y279" s="346">
        <f t="shared" si="125"/>
        <v>-5.3000675634456433</v>
      </c>
      <c r="AA279" s="345">
        <f t="shared" si="126"/>
        <v>7.7202995767882783</v>
      </c>
      <c r="AB279" s="346">
        <f t="shared" si="127"/>
        <v>-88.394340299130036</v>
      </c>
      <c r="AD279">
        <f t="shared" si="131"/>
        <v>0</v>
      </c>
      <c r="AE279">
        <f t="shared" si="108"/>
        <v>0</v>
      </c>
    </row>
    <row r="280" spans="1:31" x14ac:dyDescent="0.2">
      <c r="A280" s="347">
        <v>18093.5</v>
      </c>
      <c r="B280" s="364">
        <f t="shared" si="128"/>
        <v>18.093499999999999</v>
      </c>
      <c r="C280" s="337">
        <f t="shared" si="109"/>
        <v>101.57262430471805</v>
      </c>
      <c r="D280" s="338">
        <f t="shared" si="110"/>
        <v>1.5609509953178382</v>
      </c>
      <c r="E280" s="338">
        <f t="shared" si="111"/>
        <v>1.0010334049777263</v>
      </c>
      <c r="F280" s="339">
        <f t="shared" si="112"/>
        <v>4.54426192818237E-2</v>
      </c>
      <c r="G280" s="338">
        <f t="shared" si="113"/>
        <v>1</v>
      </c>
      <c r="H280" s="339">
        <f t="shared" si="114"/>
        <v>0</v>
      </c>
      <c r="I280" s="337">
        <f t="shared" si="115"/>
        <v>59691.2479979481</v>
      </c>
      <c r="J280" s="340">
        <f t="shared" si="116"/>
        <v>1.5707795739201689</v>
      </c>
      <c r="K280" s="348">
        <f t="shared" si="132"/>
        <v>29.474977228793449</v>
      </c>
      <c r="L280" s="349">
        <f t="shared" si="133"/>
        <v>1.5368627317717989</v>
      </c>
      <c r="M280" s="337">
        <f t="shared" si="117"/>
        <v>1.0017269105015023</v>
      </c>
      <c r="N280" s="340">
        <f t="shared" si="118"/>
        <v>5.8726978042685715E-2</v>
      </c>
      <c r="O280" s="341">
        <f t="shared" si="119"/>
        <v>0.99673167086058834</v>
      </c>
      <c r="P280" s="342">
        <f t="shared" si="120"/>
        <v>2.7217692085373776E-2</v>
      </c>
      <c r="Q280" s="343">
        <f t="shared" si="121"/>
        <v>-9.5139698096422869</v>
      </c>
      <c r="R280" s="344">
        <f t="shared" si="122"/>
        <v>-93.699792650151451</v>
      </c>
      <c r="S280" s="346">
        <f t="shared" si="123"/>
        <v>86.300207349848549</v>
      </c>
      <c r="U280" s="319">
        <f t="shared" si="129"/>
        <v>18093.5</v>
      </c>
      <c r="V280" s="319">
        <f t="shared" si="130"/>
        <v>327374742.25</v>
      </c>
      <c r="X280" s="345">
        <f t="shared" si="124"/>
        <v>31.563093967860713</v>
      </c>
      <c r="Y280" s="346">
        <f t="shared" si="125"/>
        <v>-5.3080999009817633</v>
      </c>
      <c r="AA280" s="345">
        <f t="shared" si="126"/>
        <v>7.6709030264466413</v>
      </c>
      <c r="AB280" s="346">
        <f t="shared" si="127"/>
        <v>-88.391692749169707</v>
      </c>
      <c r="AD280">
        <f t="shared" si="131"/>
        <v>0</v>
      </c>
      <c r="AE280">
        <f t="shared" si="108"/>
        <v>0</v>
      </c>
    </row>
    <row r="281" spans="1:31" x14ac:dyDescent="0.2">
      <c r="A281" s="347">
        <v>18197</v>
      </c>
      <c r="B281" s="364">
        <f t="shared" si="128"/>
        <v>18.196999999999999</v>
      </c>
      <c r="C281" s="337">
        <f t="shared" si="109"/>
        <v>102.15359263797319</v>
      </c>
      <c r="D281" s="338">
        <f t="shared" si="110"/>
        <v>1.5610069895213989</v>
      </c>
      <c r="E281" s="338">
        <f t="shared" si="111"/>
        <v>1.0010452553469895</v>
      </c>
      <c r="F281" s="339">
        <f t="shared" si="112"/>
        <v>4.5702203288793437E-2</v>
      </c>
      <c r="G281" s="338">
        <f t="shared" si="113"/>
        <v>1</v>
      </c>
      <c r="H281" s="339">
        <f t="shared" si="114"/>
        <v>0</v>
      </c>
      <c r="I281" s="337">
        <f t="shared" si="115"/>
        <v>60032.6990254474</v>
      </c>
      <c r="J281" s="340">
        <f t="shared" si="116"/>
        <v>1.5707796692063445</v>
      </c>
      <c r="K281" s="348">
        <f t="shared" si="132"/>
        <v>29.643389015611437</v>
      </c>
      <c r="L281" s="349">
        <f t="shared" si="133"/>
        <v>1.5370555907332388</v>
      </c>
      <c r="M281" s="337">
        <f t="shared" si="117"/>
        <v>1.0017467065797863</v>
      </c>
      <c r="N281" s="340">
        <f t="shared" si="118"/>
        <v>5.9062134690578486E-2</v>
      </c>
      <c r="O281" s="341">
        <f t="shared" si="119"/>
        <v>0.99669418720057279</v>
      </c>
      <c r="P281" s="342">
        <f t="shared" si="120"/>
        <v>2.7374453580890485E-2</v>
      </c>
      <c r="Q281" s="343">
        <f t="shared" si="121"/>
        <v>-9.5633081169914025</v>
      </c>
      <c r="R281" s="344">
        <f t="shared" si="122"/>
        <v>-93.705268102117699</v>
      </c>
      <c r="S281" s="346">
        <f t="shared" si="123"/>
        <v>86.294731897882301</v>
      </c>
      <c r="U281" s="319">
        <f t="shared" si="129"/>
        <v>18197</v>
      </c>
      <c r="V281" s="319">
        <f t="shared" si="130"/>
        <v>331130809</v>
      </c>
      <c r="X281" s="345">
        <f t="shared" si="124"/>
        <v>31.562865615416911</v>
      </c>
      <c r="Y281" s="346">
        <f t="shared" si="125"/>
        <v>-5.3162584173550096</v>
      </c>
      <c r="AA281" s="345">
        <f t="shared" si="126"/>
        <v>7.6217930715413313</v>
      </c>
      <c r="AB281" s="346">
        <f t="shared" si="127"/>
        <v>-88.389009684762669</v>
      </c>
      <c r="AD281">
        <f t="shared" si="131"/>
        <v>0</v>
      </c>
      <c r="AE281">
        <f t="shared" si="108"/>
        <v>0</v>
      </c>
    </row>
    <row r="282" spans="1:31" x14ac:dyDescent="0.2">
      <c r="A282" s="347">
        <v>18303</v>
      </c>
      <c r="B282" s="364">
        <f t="shared" si="128"/>
        <v>18.303000000000001</v>
      </c>
      <c r="C282" s="337">
        <f t="shared" si="109"/>
        <v>102.74859435094201</v>
      </c>
      <c r="D282" s="338">
        <f t="shared" si="110"/>
        <v>1.561063679901826</v>
      </c>
      <c r="E282" s="338">
        <f t="shared" si="111"/>
        <v>1.0010574618733419</v>
      </c>
      <c r="F282" s="339">
        <f t="shared" si="112"/>
        <v>4.5968051052135299E-2</v>
      </c>
      <c r="G282" s="338">
        <f t="shared" si="113"/>
        <v>1</v>
      </c>
      <c r="H282" s="339">
        <f t="shared" si="114"/>
        <v>0</v>
      </c>
      <c r="I282" s="337">
        <f t="shared" si="115"/>
        <v>60382.39766230715</v>
      </c>
      <c r="J282" s="340">
        <f t="shared" si="116"/>
        <v>1.5707797656771081</v>
      </c>
      <c r="K282" s="348">
        <f t="shared" si="132"/>
        <v>29.81586984976234</v>
      </c>
      <c r="L282" s="349">
        <f t="shared" si="133"/>
        <v>1.5372508498558586</v>
      </c>
      <c r="M282" s="337">
        <f t="shared" si="117"/>
        <v>1.001767097455587</v>
      </c>
      <c r="N282" s="340">
        <f t="shared" si="118"/>
        <v>5.9405373140061675E-2</v>
      </c>
      <c r="O282" s="341">
        <f t="shared" si="119"/>
        <v>0.99665557687666051</v>
      </c>
      <c r="P282" s="342">
        <f t="shared" si="120"/>
        <v>2.7535020620039079E-2</v>
      </c>
      <c r="Q282" s="343">
        <f t="shared" si="121"/>
        <v>-9.6135444884955703</v>
      </c>
      <c r="R282" s="344">
        <f t="shared" si="122"/>
        <v>-93.710968198753378</v>
      </c>
      <c r="S282" s="346">
        <f t="shared" si="123"/>
        <v>86.289031801246622</v>
      </c>
      <c r="U282" s="319">
        <f t="shared" si="129"/>
        <v>18303</v>
      </c>
      <c r="V282" s="319">
        <f t="shared" si="130"/>
        <v>334999809</v>
      </c>
      <c r="X282" s="345">
        <f t="shared" si="124"/>
        <v>31.562631732939508</v>
      </c>
      <c r="Y282" s="346">
        <f t="shared" si="125"/>
        <v>-5.3247425356167701</v>
      </c>
      <c r="AA282" s="345">
        <f t="shared" si="126"/>
        <v>7.5717905825145673</v>
      </c>
      <c r="AB282" s="346">
        <f t="shared" si="127"/>
        <v>-88.386225663136614</v>
      </c>
      <c r="AD282">
        <f t="shared" si="131"/>
        <v>0</v>
      </c>
      <c r="AE282">
        <f t="shared" ref="AE282:AE345" si="134">IF(AD282&gt;0,S282,0)</f>
        <v>0</v>
      </c>
    </row>
    <row r="283" spans="1:31" x14ac:dyDescent="0.2">
      <c r="A283" s="347">
        <v>18409</v>
      </c>
      <c r="B283" s="364">
        <f t="shared" si="128"/>
        <v>18.408999999999999</v>
      </c>
      <c r="C283" s="337">
        <f t="shared" si="109"/>
        <v>103.34359639032179</v>
      </c>
      <c r="D283" s="338">
        <f t="shared" si="110"/>
        <v>1.5611197174912932</v>
      </c>
      <c r="E283" s="338">
        <f t="shared" si="111"/>
        <v>1.0010697391477352</v>
      </c>
      <c r="F283" s="339">
        <f t="shared" si="112"/>
        <v>4.6233892313468784E-2</v>
      </c>
      <c r="G283" s="338">
        <f t="shared" si="113"/>
        <v>1</v>
      </c>
      <c r="H283" s="339">
        <f t="shared" si="114"/>
        <v>0</v>
      </c>
      <c r="I283" s="337">
        <f t="shared" si="115"/>
        <v>60732.096299167446</v>
      </c>
      <c r="J283" s="340">
        <f t="shared" si="116"/>
        <v>1.5707798610369039</v>
      </c>
      <c r="K283" s="348">
        <f t="shared" si="132"/>
        <v>29.988351807600388</v>
      </c>
      <c r="L283" s="349">
        <f t="shared" si="133"/>
        <v>1.5374438628686098</v>
      </c>
      <c r="M283" s="337">
        <f t="shared" si="117"/>
        <v>1.0017876063473947</v>
      </c>
      <c r="N283" s="340">
        <f t="shared" si="118"/>
        <v>5.9748597576221814E-2</v>
      </c>
      <c r="O283" s="341">
        <f t="shared" si="119"/>
        <v>0.99661674265715405</v>
      </c>
      <c r="P283" s="342">
        <f t="shared" si="120"/>
        <v>2.7695607034099193E-2</v>
      </c>
      <c r="Q283" s="343">
        <f t="shared" si="121"/>
        <v>-9.663487070675739</v>
      </c>
      <c r="R283" s="344">
        <f t="shared" si="122"/>
        <v>-93.716760201918291</v>
      </c>
      <c r="S283" s="346">
        <f t="shared" si="123"/>
        <v>86.283239798081709</v>
      </c>
      <c r="U283" s="319">
        <f t="shared" si="129"/>
        <v>18409</v>
      </c>
      <c r="V283" s="319">
        <f t="shared" si="130"/>
        <v>338891281</v>
      </c>
      <c r="X283" s="345">
        <f t="shared" si="124"/>
        <v>31.562397813256045</v>
      </c>
      <c r="Y283" s="346">
        <f t="shared" si="125"/>
        <v>-5.3333544799364292</v>
      </c>
      <c r="AA283" s="345">
        <f t="shared" si="126"/>
        <v>7.5220819200178601</v>
      </c>
      <c r="AB283" s="346">
        <f t="shared" si="127"/>
        <v>-88.383405721981873</v>
      </c>
      <c r="AD283">
        <f t="shared" si="131"/>
        <v>0</v>
      </c>
      <c r="AE283">
        <f t="shared" si="134"/>
        <v>0</v>
      </c>
    </row>
    <row r="284" spans="1:31" x14ac:dyDescent="0.2">
      <c r="A284" s="347">
        <v>18515</v>
      </c>
      <c r="B284" s="364">
        <f t="shared" si="128"/>
        <v>18.515000000000001</v>
      </c>
      <c r="C284" s="337">
        <f t="shared" si="109"/>
        <v>103.93859875050683</v>
      </c>
      <c r="D284" s="338">
        <f t="shared" si="110"/>
        <v>1.5611751135002612</v>
      </c>
      <c r="E284" s="338">
        <f t="shared" si="111"/>
        <v>1.001082087167567</v>
      </c>
      <c r="F284" s="339">
        <f t="shared" si="112"/>
        <v>4.6499727035458981E-2</v>
      </c>
      <c r="G284" s="338">
        <f t="shared" si="113"/>
        <v>1</v>
      </c>
      <c r="H284" s="339">
        <f t="shared" si="114"/>
        <v>0</v>
      </c>
      <c r="I284" s="337">
        <f t="shared" si="115"/>
        <v>61081.794936028295</v>
      </c>
      <c r="J284" s="340">
        <f t="shared" si="116"/>
        <v>1.5707799553048136</v>
      </c>
      <c r="K284" s="348">
        <f t="shared" si="132"/>
        <v>30.160834869847367</v>
      </c>
      <c r="L284" s="349">
        <f t="shared" si="133"/>
        <v>1.5376346682919848</v>
      </c>
      <c r="M284" s="337">
        <f t="shared" si="117"/>
        <v>1.0018082332479616</v>
      </c>
      <c r="N284" s="340">
        <f t="shared" si="118"/>
        <v>6.0091807919056259E-2</v>
      </c>
      <c r="O284" s="341">
        <f t="shared" si="119"/>
        <v>0.99657768454837936</v>
      </c>
      <c r="P284" s="342">
        <f t="shared" si="120"/>
        <v>2.7856212937709891E-2</v>
      </c>
      <c r="Q284" s="343">
        <f t="shared" si="121"/>
        <v>-9.7131392292113024</v>
      </c>
      <c r="R284" s="344">
        <f t="shared" si="122"/>
        <v>-93.722642552079932</v>
      </c>
      <c r="S284" s="346">
        <f t="shared" si="123"/>
        <v>86.277357447920068</v>
      </c>
      <c r="U284" s="319">
        <f t="shared" si="129"/>
        <v>18515</v>
      </c>
      <c r="V284" s="319">
        <f t="shared" si="130"/>
        <v>342805225</v>
      </c>
      <c r="X284" s="345">
        <f t="shared" si="124"/>
        <v>31.56216383407903</v>
      </c>
      <c r="Y284" s="346">
        <f t="shared" si="125"/>
        <v>-5.3420920397618401</v>
      </c>
      <c r="AA284" s="345">
        <f t="shared" si="126"/>
        <v>7.4726637406593159</v>
      </c>
      <c r="AB284" s="346">
        <f t="shared" si="127"/>
        <v>-88.380550512318052</v>
      </c>
      <c r="AD284">
        <f t="shared" si="131"/>
        <v>0</v>
      </c>
      <c r="AE284">
        <f t="shared" si="134"/>
        <v>0</v>
      </c>
    </row>
    <row r="285" spans="1:31" x14ac:dyDescent="0.2">
      <c r="A285" s="347">
        <v>18621</v>
      </c>
      <c r="B285" s="364">
        <f t="shared" si="128"/>
        <v>18.620999999999999</v>
      </c>
      <c r="C285" s="337">
        <f t="shared" si="109"/>
        <v>104.53360142601909</v>
      </c>
      <c r="D285" s="338">
        <f t="shared" si="110"/>
        <v>1.5612298788839678</v>
      </c>
      <c r="E285" s="338">
        <f t="shared" si="111"/>
        <v>1.001094505930219</v>
      </c>
      <c r="F285" s="339">
        <f t="shared" si="112"/>
        <v>4.6765555180776498E-2</v>
      </c>
      <c r="G285" s="338">
        <f t="shared" si="113"/>
        <v>1</v>
      </c>
      <c r="H285" s="339">
        <f t="shared" si="114"/>
        <v>0</v>
      </c>
      <c r="I285" s="337">
        <f t="shared" si="115"/>
        <v>61431.493572889689</v>
      </c>
      <c r="J285" s="340">
        <f t="shared" si="116"/>
        <v>1.5707800484994836</v>
      </c>
      <c r="K285" s="348">
        <f t="shared" si="132"/>
        <v>30.333319017663406</v>
      </c>
      <c r="L285" s="349">
        <f t="shared" si="133"/>
        <v>1.5378233037709723</v>
      </c>
      <c r="M285" s="337">
        <f t="shared" si="117"/>
        <v>1.0018289781499983</v>
      </c>
      <c r="N285" s="340">
        <f t="shared" si="118"/>
        <v>6.0435004088582274E-2</v>
      </c>
      <c r="O285" s="341">
        <f t="shared" si="119"/>
        <v>0.9965384025566999</v>
      </c>
      <c r="P285" s="342">
        <f t="shared" si="120"/>
        <v>2.8016838445552736E-2</v>
      </c>
      <c r="Q285" s="343">
        <f t="shared" si="121"/>
        <v>-9.7625042719034809</v>
      </c>
      <c r="R285" s="344">
        <f t="shared" si="122"/>
        <v>-93.728613725223326</v>
      </c>
      <c r="S285" s="346">
        <f t="shared" si="123"/>
        <v>86.271386274776674</v>
      </c>
      <c r="U285" s="319">
        <f t="shared" si="129"/>
        <v>18621</v>
      </c>
      <c r="V285" s="319">
        <f t="shared" si="130"/>
        <v>346741641</v>
      </c>
      <c r="X285" s="345">
        <f t="shared" si="124"/>
        <v>31.561929773757086</v>
      </c>
      <c r="Y285" s="346">
        <f t="shared" si="125"/>
        <v>-5.3509530546797208</v>
      </c>
      <c r="AA285" s="345">
        <f t="shared" si="126"/>
        <v>7.4235327582890731</v>
      </c>
      <c r="AB285" s="346">
        <f t="shared" si="127"/>
        <v>-88.377660670543619</v>
      </c>
      <c r="AD285">
        <f t="shared" si="131"/>
        <v>0</v>
      </c>
      <c r="AE285">
        <f t="shared" si="134"/>
        <v>0</v>
      </c>
    </row>
    <row r="286" spans="1:31" x14ac:dyDescent="0.2">
      <c r="A286" s="347">
        <v>18729.5</v>
      </c>
      <c r="B286" s="364">
        <f t="shared" si="128"/>
        <v>18.729500000000002</v>
      </c>
      <c r="C286" s="337">
        <f t="shared" si="109"/>
        <v>105.14263750448359</v>
      </c>
      <c r="D286" s="338">
        <f t="shared" si="110"/>
        <v>1.5612852939682691</v>
      </c>
      <c r="E286" s="338">
        <f t="shared" si="111"/>
        <v>1.0011072908506584</v>
      </c>
      <c r="F286" s="339">
        <f t="shared" si="112"/>
        <v>4.7037646007697595E-2</v>
      </c>
      <c r="G286" s="338">
        <f t="shared" si="113"/>
        <v>1</v>
      </c>
      <c r="H286" s="339">
        <f t="shared" si="114"/>
        <v>0</v>
      </c>
      <c r="I286" s="337">
        <f t="shared" si="115"/>
        <v>61789.439819111562</v>
      </c>
      <c r="J286" s="340">
        <f t="shared" si="116"/>
        <v>1.5707801427996546</v>
      </c>
      <c r="K286" s="348">
        <f t="shared" si="132"/>
        <v>30.509872292891352</v>
      </c>
      <c r="L286" s="349">
        <f t="shared" si="133"/>
        <v>1.5380141792857183</v>
      </c>
      <c r="M286" s="337">
        <f t="shared" si="117"/>
        <v>1.00185033451981</v>
      </c>
      <c r="N286" s="340">
        <f t="shared" si="118"/>
        <v>6.0786279745260123E-2</v>
      </c>
      <c r="O286" s="341">
        <f t="shared" si="119"/>
        <v>0.99649796224407705</v>
      </c>
      <c r="P286" s="342">
        <f t="shared" si="120"/>
        <v>2.8181272713824375E-2</v>
      </c>
      <c r="Q286" s="343">
        <f t="shared" si="121"/>
        <v>-9.812739624671261</v>
      </c>
      <c r="R286" s="344">
        <f t="shared" si="122"/>
        <v>-93.734816163402542</v>
      </c>
      <c r="S286" s="346">
        <f t="shared" si="123"/>
        <v>86.265183836597458</v>
      </c>
      <c r="U286" s="319">
        <f t="shared" si="129"/>
        <v>18729.5</v>
      </c>
      <c r="V286" s="319">
        <f t="shared" si="130"/>
        <v>350794170.25</v>
      </c>
      <c r="X286" s="345">
        <f t="shared" si="124"/>
        <v>31.561690087151938</v>
      </c>
      <c r="Y286" s="346">
        <f t="shared" si="125"/>
        <v>-5.3601487088580226</v>
      </c>
      <c r="AA286" s="345">
        <f t="shared" si="126"/>
        <v>7.3735370921264405</v>
      </c>
      <c r="AB286" s="346">
        <f t="shared" si="127"/>
        <v>-88.374667454544507</v>
      </c>
      <c r="AD286">
        <f t="shared" si="131"/>
        <v>0</v>
      </c>
      <c r="AE286">
        <f t="shared" si="134"/>
        <v>0</v>
      </c>
    </row>
    <row r="287" spans="1:31" x14ac:dyDescent="0.2">
      <c r="A287" s="347">
        <v>18838</v>
      </c>
      <c r="B287" s="364">
        <f t="shared" si="128"/>
        <v>18.838000000000001</v>
      </c>
      <c r="C287" s="337">
        <f t="shared" si="109"/>
        <v>105.75167390210446</v>
      </c>
      <c r="D287" s="338">
        <f t="shared" si="110"/>
        <v>1.5613400707686873</v>
      </c>
      <c r="E287" s="338">
        <f t="shared" si="111"/>
        <v>1.0011201498845961</v>
      </c>
      <c r="F287" s="339">
        <f t="shared" si="112"/>
        <v>4.7309729864940857E-2</v>
      </c>
      <c r="G287" s="338">
        <f t="shared" si="113"/>
        <v>1</v>
      </c>
      <c r="H287" s="339">
        <f t="shared" si="114"/>
        <v>0</v>
      </c>
      <c r="I287" s="337">
        <f t="shared" si="115"/>
        <v>62147.386065333965</v>
      </c>
      <c r="J287" s="340">
        <f t="shared" si="116"/>
        <v>1.5707802360135563</v>
      </c>
      <c r="K287" s="348">
        <f t="shared" si="132"/>
        <v>30.686426666908677</v>
      </c>
      <c r="L287" s="349">
        <f t="shared" si="133"/>
        <v>1.5382028584024983</v>
      </c>
      <c r="M287" s="337">
        <f t="shared" si="117"/>
        <v>1.0018718145072507</v>
      </c>
      <c r="N287" s="340">
        <f t="shared" si="118"/>
        <v>6.1137540382681099E-2</v>
      </c>
      <c r="O287" s="341">
        <f t="shared" si="119"/>
        <v>0.99645728737711359</v>
      </c>
      <c r="P287" s="342">
        <f t="shared" si="120"/>
        <v>2.8345727765241857E-2</v>
      </c>
      <c r="Q287" s="343">
        <f t="shared" si="121"/>
        <v>-9.8626809916615787</v>
      </c>
      <c r="R287" s="344">
        <f t="shared" si="122"/>
        <v>-93.741108542283783</v>
      </c>
      <c r="S287" s="346">
        <f t="shared" si="123"/>
        <v>86.258891457716217</v>
      </c>
      <c r="U287" s="319">
        <f t="shared" si="129"/>
        <v>18838</v>
      </c>
      <c r="V287" s="319">
        <f t="shared" si="130"/>
        <v>354870244</v>
      </c>
      <c r="X287" s="345">
        <f t="shared" si="124"/>
        <v>31.561450271574564</v>
      </c>
      <c r="Y287" s="346">
        <f t="shared" si="125"/>
        <v>-5.3694692845913794</v>
      </c>
      <c r="AA287" s="345">
        <f t="shared" si="126"/>
        <v>7.3238355407135005</v>
      </c>
      <c r="AB287" s="346">
        <f t="shared" si="127"/>
        <v>-88.371639257692394</v>
      </c>
      <c r="AD287">
        <f t="shared" si="131"/>
        <v>0</v>
      </c>
      <c r="AE287">
        <f t="shared" si="134"/>
        <v>0</v>
      </c>
    </row>
    <row r="288" spans="1:31" x14ac:dyDescent="0.2">
      <c r="A288" s="347">
        <v>18946.5</v>
      </c>
      <c r="B288" s="364">
        <f t="shared" si="128"/>
        <v>18.9465</v>
      </c>
      <c r="C288" s="337">
        <f t="shared" si="109"/>
        <v>106.36071061339911</v>
      </c>
      <c r="D288" s="338">
        <f t="shared" si="110"/>
        <v>1.5613942202496074</v>
      </c>
      <c r="E288" s="338">
        <f t="shared" si="111"/>
        <v>1.0011330830291763</v>
      </c>
      <c r="F288" s="339">
        <f t="shared" si="112"/>
        <v>4.7581806712491091E-2</v>
      </c>
      <c r="G288" s="338">
        <f t="shared" si="113"/>
        <v>1</v>
      </c>
      <c r="H288" s="339">
        <f t="shared" si="114"/>
        <v>0</v>
      </c>
      <c r="I288" s="337">
        <f t="shared" si="115"/>
        <v>62505.332311556915</v>
      </c>
      <c r="J288" s="340">
        <f t="shared" si="116"/>
        <v>1.5707803281598511</v>
      </c>
      <c r="K288" s="348">
        <f t="shared" si="132"/>
        <v>30.862982120858216</v>
      </c>
      <c r="L288" s="349">
        <f t="shared" si="133"/>
        <v>1.5383893788020493</v>
      </c>
      <c r="M288" s="337">
        <f t="shared" si="117"/>
        <v>1.0018934181043695</v>
      </c>
      <c r="N288" s="340">
        <f t="shared" si="118"/>
        <v>6.1488785915134084E-2</v>
      </c>
      <c r="O288" s="341">
        <f t="shared" si="119"/>
        <v>0.99641637796275762</v>
      </c>
      <c r="P288" s="342">
        <f t="shared" si="120"/>
        <v>2.8510203722933801E-2</v>
      </c>
      <c r="Q288" s="343">
        <f t="shared" si="121"/>
        <v>-9.9123317403895115</v>
      </c>
      <c r="R288" s="344">
        <f t="shared" si="122"/>
        <v>-93.747489336638665</v>
      </c>
      <c r="S288" s="346">
        <f t="shared" si="123"/>
        <v>86.252510663361335</v>
      </c>
      <c r="U288" s="319">
        <f t="shared" si="129"/>
        <v>18946.5</v>
      </c>
      <c r="V288" s="319">
        <f t="shared" si="130"/>
        <v>358969862.25</v>
      </c>
      <c r="X288" s="345">
        <f t="shared" si="124"/>
        <v>31.561210305738406</v>
      </c>
      <c r="Y288" s="346">
        <f t="shared" si="125"/>
        <v>-5.3789126190909773</v>
      </c>
      <c r="AA288" s="345">
        <f t="shared" si="126"/>
        <v>7.2744247578217252</v>
      </c>
      <c r="AB288" s="346">
        <f t="shared" si="127"/>
        <v>-88.368576717547711</v>
      </c>
      <c r="AD288">
        <f t="shared" si="131"/>
        <v>0</v>
      </c>
      <c r="AE288">
        <f t="shared" si="134"/>
        <v>0</v>
      </c>
    </row>
    <row r="289" spans="1:31" x14ac:dyDescent="0.2">
      <c r="A289" s="347">
        <v>19055</v>
      </c>
      <c r="B289" s="364">
        <f t="shared" si="128"/>
        <v>19.055</v>
      </c>
      <c r="C289" s="337">
        <f t="shared" si="109"/>
        <v>106.96974763300977</v>
      </c>
      <c r="D289" s="338">
        <f t="shared" si="110"/>
        <v>1.5614477531257227</v>
      </c>
      <c r="E289" s="338">
        <f t="shared" si="111"/>
        <v>1.001146090281527</v>
      </c>
      <c r="F289" s="339">
        <f t="shared" si="112"/>
        <v>4.7853876510339323E-2</v>
      </c>
      <c r="G289" s="338">
        <f t="shared" si="113"/>
        <v>1</v>
      </c>
      <c r="H289" s="339">
        <f t="shared" si="114"/>
        <v>0</v>
      </c>
      <c r="I289" s="337">
        <f t="shared" si="115"/>
        <v>62863.278557780388</v>
      </c>
      <c r="J289" s="340">
        <f t="shared" si="116"/>
        <v>1.570780419256776</v>
      </c>
      <c r="K289" s="348">
        <f t="shared" si="132"/>
        <v>31.039538636311743</v>
      </c>
      <c r="L289" s="349">
        <f t="shared" si="133"/>
        <v>1.538573777308387</v>
      </c>
      <c r="M289" s="337">
        <f t="shared" si="117"/>
        <v>1.0019151453031703</v>
      </c>
      <c r="N289" s="340">
        <f t="shared" si="118"/>
        <v>6.184001625693028E-2</v>
      </c>
      <c r="O289" s="341">
        <f t="shared" si="119"/>
        <v>0.9963752340079981</v>
      </c>
      <c r="P289" s="342">
        <f t="shared" si="120"/>
        <v>2.8674700710076596E-2</v>
      </c>
      <c r="Q289" s="343">
        <f t="shared" si="121"/>
        <v>-9.9616951804543135</v>
      </c>
      <c r="R289" s="344">
        <f t="shared" si="122"/>
        <v>-93.753957055998427</v>
      </c>
      <c r="S289" s="346">
        <f t="shared" si="123"/>
        <v>86.246042944001573</v>
      </c>
      <c r="U289" s="319">
        <f t="shared" si="129"/>
        <v>19055</v>
      </c>
      <c r="V289" s="319">
        <f t="shared" si="130"/>
        <v>363093025</v>
      </c>
      <c r="X289" s="345">
        <f t="shared" si="124"/>
        <v>31.560970168965259</v>
      </c>
      <c r="Y289" s="346">
        <f t="shared" si="125"/>
        <v>-5.3884765986314287</v>
      </c>
      <c r="AA289" s="345">
        <f t="shared" si="126"/>
        <v>7.2253014545300704</v>
      </c>
      <c r="AB289" s="346">
        <f t="shared" si="127"/>
        <v>-88.365480457366985</v>
      </c>
      <c r="AD289">
        <f t="shared" si="131"/>
        <v>0</v>
      </c>
      <c r="AE289">
        <f t="shared" si="134"/>
        <v>0</v>
      </c>
    </row>
    <row r="290" spans="1:31" x14ac:dyDescent="0.2">
      <c r="A290" s="347">
        <v>19165.75</v>
      </c>
      <c r="B290" s="364">
        <f t="shared" si="128"/>
        <v>19.165749999999999</v>
      </c>
      <c r="C290" s="337">
        <f t="shared" si="109"/>
        <v>107.59141476510196</v>
      </c>
      <c r="D290" s="338">
        <f t="shared" si="110"/>
        <v>1.5615017710865622</v>
      </c>
      <c r="E290" s="338">
        <f t="shared" si="111"/>
        <v>1.0011594436954263</v>
      </c>
      <c r="F290" s="339">
        <f t="shared" si="112"/>
        <v>4.8131580996557184E-2</v>
      </c>
      <c r="G290" s="338">
        <f t="shared" si="113"/>
        <v>1</v>
      </c>
      <c r="H290" s="339">
        <f t="shared" si="114"/>
        <v>0</v>
      </c>
      <c r="I290" s="337">
        <f t="shared" si="115"/>
        <v>63228.647652428386</v>
      </c>
      <c r="J290" s="340">
        <f t="shared" si="116"/>
        <v>1.5707805111790774</v>
      </c>
      <c r="K290" s="348">
        <f t="shared" si="132"/>
        <v>31.219757538043162</v>
      </c>
      <c r="L290" s="349">
        <f t="shared" si="133"/>
        <v>1.5387598487648229</v>
      </c>
      <c r="M290" s="337">
        <f t="shared" si="117"/>
        <v>1.0019374505306626</v>
      </c>
      <c r="N290" s="340">
        <f t="shared" si="118"/>
        <v>6.2198514421839331E-2</v>
      </c>
      <c r="O290" s="341">
        <f t="shared" si="119"/>
        <v>0.99633299495844263</v>
      </c>
      <c r="P290" s="342">
        <f t="shared" si="120"/>
        <v>2.884263074114048E-2</v>
      </c>
      <c r="Q290" s="343">
        <f t="shared" si="121"/>
        <v>-10.011789356650286</v>
      </c>
      <c r="R290" s="344">
        <f t="shared" si="122"/>
        <v>-93.760647033632139</v>
      </c>
      <c r="S290" s="346">
        <f t="shared" si="123"/>
        <v>86.239352966367861</v>
      </c>
      <c r="U290" s="319">
        <f t="shared" si="129"/>
        <v>19165.75</v>
      </c>
      <c r="V290" s="319">
        <f t="shared" si="130"/>
        <v>367325973.0625</v>
      </c>
      <c r="X290" s="345">
        <f t="shared" si="124"/>
        <v>31.560724855246555</v>
      </c>
      <c r="Y290" s="346">
        <f t="shared" si="125"/>
        <v>-5.3983611880734719</v>
      </c>
      <c r="AA290" s="345">
        <f t="shared" si="126"/>
        <v>7.1754525920528014</v>
      </c>
      <c r="AB290" s="346">
        <f t="shared" si="127"/>
        <v>-88.36228584555866</v>
      </c>
      <c r="AD290">
        <f t="shared" si="131"/>
        <v>0</v>
      </c>
      <c r="AE290">
        <f t="shared" si="134"/>
        <v>0</v>
      </c>
    </row>
    <row r="291" spans="1:31" x14ac:dyDescent="0.2">
      <c r="A291" s="347">
        <v>19276.5</v>
      </c>
      <c r="B291" s="364">
        <f t="shared" si="128"/>
        <v>19.276499999999999</v>
      </c>
      <c r="C291" s="337">
        <f t="shared" si="109"/>
        <v>108.21308220753232</v>
      </c>
      <c r="D291" s="338">
        <f t="shared" si="110"/>
        <v>1.5615551683978734</v>
      </c>
      <c r="E291" s="338">
        <f t="shared" si="111"/>
        <v>1.0011728743164605</v>
      </c>
      <c r="F291" s="339">
        <f t="shared" si="112"/>
        <v>4.8409278053441862E-2</v>
      </c>
      <c r="G291" s="338">
        <f t="shared" si="113"/>
        <v>1</v>
      </c>
      <c r="H291" s="339">
        <f t="shared" si="114"/>
        <v>0</v>
      </c>
      <c r="I291" s="337">
        <f t="shared" si="115"/>
        <v>63594.016747076901</v>
      </c>
      <c r="J291" s="340">
        <f t="shared" si="116"/>
        <v>1.5707806020451294</v>
      </c>
      <c r="K291" s="348">
        <f t="shared" si="132"/>
        <v>31.399977508275658</v>
      </c>
      <c r="L291" s="349">
        <f t="shared" si="133"/>
        <v>1.5389437843156961</v>
      </c>
      <c r="M291" s="337">
        <f t="shared" si="117"/>
        <v>1.0019598845223494</v>
      </c>
      <c r="N291" s="340">
        <f t="shared" si="118"/>
        <v>6.2556996579192684E-2</v>
      </c>
      <c r="O291" s="341">
        <f t="shared" si="119"/>
        <v>0.99629051155498793</v>
      </c>
      <c r="P291" s="342">
        <f t="shared" si="120"/>
        <v>2.9010582942378602E-2</v>
      </c>
      <c r="Q291" s="343">
        <f t="shared" si="121"/>
        <v>-10.061590973909805</v>
      </c>
      <c r="R291" s="344">
        <f t="shared" si="122"/>
        <v>-93.767424547284492</v>
      </c>
      <c r="S291" s="346">
        <f t="shared" si="123"/>
        <v>86.232575452715508</v>
      </c>
      <c r="U291" s="319">
        <f t="shared" si="129"/>
        <v>19276.5</v>
      </c>
      <c r="V291" s="319">
        <f t="shared" si="130"/>
        <v>371583452.25</v>
      </c>
      <c r="X291" s="345">
        <f t="shared" si="124"/>
        <v>31.560479321741365</v>
      </c>
      <c r="Y291" s="346">
        <f t="shared" si="125"/>
        <v>-5.4083671782058325</v>
      </c>
      <c r="AA291" s="345">
        <f t="shared" si="126"/>
        <v>7.1258965082984709</v>
      </c>
      <c r="AB291" s="346">
        <f t="shared" si="127"/>
        <v>-88.359057369078627</v>
      </c>
      <c r="AD291">
        <f t="shared" si="131"/>
        <v>0</v>
      </c>
      <c r="AE291">
        <f t="shared" si="134"/>
        <v>0</v>
      </c>
    </row>
    <row r="292" spans="1:31" x14ac:dyDescent="0.2">
      <c r="A292" s="347">
        <v>19387.25</v>
      </c>
      <c r="B292" s="364">
        <f t="shared" si="128"/>
        <v>19.387250000000002</v>
      </c>
      <c r="C292" s="337">
        <f t="shared" si="109"/>
        <v>108.83474995498285</v>
      </c>
      <c r="D292" s="338">
        <f t="shared" si="110"/>
        <v>1.5616079556948621</v>
      </c>
      <c r="E292" s="338">
        <f t="shared" si="111"/>
        <v>1.0011863821415221</v>
      </c>
      <c r="F292" s="339">
        <f t="shared" si="112"/>
        <v>4.8686967638463648E-2</v>
      </c>
      <c r="G292" s="338">
        <f t="shared" si="113"/>
        <v>1</v>
      </c>
      <c r="H292" s="339">
        <f t="shared" si="114"/>
        <v>0</v>
      </c>
      <c r="I292" s="337">
        <f t="shared" si="115"/>
        <v>63959.385841725947</v>
      </c>
      <c r="J292" s="340">
        <f t="shared" si="116"/>
        <v>1.5707806918730336</v>
      </c>
      <c r="K292" s="348">
        <f t="shared" si="132"/>
        <v>31.580198528716274</v>
      </c>
      <c r="L292" s="349">
        <f t="shared" si="133"/>
        <v>1.5391256205158368</v>
      </c>
      <c r="M292" s="337">
        <f t="shared" si="117"/>
        <v>1.0019824472695815</v>
      </c>
      <c r="N292" s="340">
        <f t="shared" si="118"/>
        <v>6.2915462637931949E-2</v>
      </c>
      <c r="O292" s="341">
        <f t="shared" si="119"/>
        <v>0.99624778380520118</v>
      </c>
      <c r="P292" s="342">
        <f t="shared" si="120"/>
        <v>2.9178557444946216E-2</v>
      </c>
      <c r="Q292" s="343">
        <f t="shared" si="121"/>
        <v>-10.111103373759441</v>
      </c>
      <c r="R292" s="344">
        <f t="shared" si="122"/>
        <v>-93.774288117641603</v>
      </c>
      <c r="S292" s="346">
        <f t="shared" si="123"/>
        <v>86.225711882358397</v>
      </c>
      <c r="U292" s="319">
        <f t="shared" si="129"/>
        <v>19387.25</v>
      </c>
      <c r="V292" s="319">
        <f t="shared" si="130"/>
        <v>375865462.5625</v>
      </c>
      <c r="X292" s="345">
        <f t="shared" si="124"/>
        <v>31.560233548289123</v>
      </c>
      <c r="Y292" s="346">
        <f t="shared" si="125"/>
        <v>-5.4184924704108877</v>
      </c>
      <c r="AA292" s="345">
        <f t="shared" si="126"/>
        <v>7.0766298819010807</v>
      </c>
      <c r="AB292" s="346">
        <f t="shared" si="127"/>
        <v>-88.355795647230707</v>
      </c>
      <c r="AD292">
        <f t="shared" si="131"/>
        <v>0</v>
      </c>
      <c r="AE292">
        <f t="shared" si="134"/>
        <v>0</v>
      </c>
    </row>
    <row r="293" spans="1:31" x14ac:dyDescent="0.2">
      <c r="A293" s="347">
        <v>19498</v>
      </c>
      <c r="B293" s="364">
        <f t="shared" si="128"/>
        <v>19.498000000000001</v>
      </c>
      <c r="C293" s="337">
        <f t="shared" si="109"/>
        <v>109.45641800225643</v>
      </c>
      <c r="D293" s="338">
        <f t="shared" si="110"/>
        <v>1.5616601433711332</v>
      </c>
      <c r="E293" s="338">
        <f t="shared" si="111"/>
        <v>1.0011999671674863</v>
      </c>
      <c r="F293" s="339">
        <f t="shared" si="112"/>
        <v>4.8964649709099695E-2</v>
      </c>
      <c r="G293" s="338">
        <f t="shared" si="113"/>
        <v>1</v>
      </c>
      <c r="H293" s="339">
        <f t="shared" si="114"/>
        <v>0</v>
      </c>
      <c r="I293" s="337">
        <f t="shared" si="115"/>
        <v>64324.754936375495</v>
      </c>
      <c r="J293" s="340">
        <f t="shared" si="116"/>
        <v>1.5707807806804803</v>
      </c>
      <c r="K293" s="348">
        <f t="shared" si="132"/>
        <v>31.760420581487118</v>
      </c>
      <c r="L293" s="349">
        <f t="shared" si="133"/>
        <v>1.5393053930909275</v>
      </c>
      <c r="M293" s="337">
        <f t="shared" si="117"/>
        <v>1.0020051387636613</v>
      </c>
      <c r="N293" s="340">
        <f t="shared" si="118"/>
        <v>6.327391250702348E-2</v>
      </c>
      <c r="O293" s="341">
        <f t="shared" si="119"/>
        <v>0.99620481171669495</v>
      </c>
      <c r="P293" s="342">
        <f t="shared" si="120"/>
        <v>2.9346554380051664E-2</v>
      </c>
      <c r="Q293" s="343">
        <f t="shared" si="121"/>
        <v>-10.160329840407433</v>
      </c>
      <c r="R293" s="344">
        <f t="shared" si="122"/>
        <v>-93.781236299034205</v>
      </c>
      <c r="S293" s="346">
        <f t="shared" si="123"/>
        <v>86.218763700965795</v>
      </c>
      <c r="U293" s="319">
        <f t="shared" si="129"/>
        <v>19498</v>
      </c>
      <c r="V293" s="319">
        <f t="shared" si="130"/>
        <v>380172004</v>
      </c>
      <c r="X293" s="345">
        <f t="shared" si="124"/>
        <v>31.559987515304698</v>
      </c>
      <c r="Y293" s="346">
        <f t="shared" si="125"/>
        <v>-5.428735013555535</v>
      </c>
      <c r="AA293" s="345">
        <f t="shared" si="126"/>
        <v>7.0276494482375149</v>
      </c>
      <c r="AB293" s="346">
        <f t="shared" si="127"/>
        <v>-88.352501285478667</v>
      </c>
      <c r="AD293">
        <f t="shared" si="131"/>
        <v>0</v>
      </c>
      <c r="AE293">
        <f t="shared" si="134"/>
        <v>0</v>
      </c>
    </row>
    <row r="294" spans="1:31" x14ac:dyDescent="0.2">
      <c r="A294" s="347">
        <v>19611.75</v>
      </c>
      <c r="B294" s="364">
        <f t="shared" si="128"/>
        <v>19.611750000000001</v>
      </c>
      <c r="C294" s="337">
        <f t="shared" si="109"/>
        <v>110.09492612282804</v>
      </c>
      <c r="D294" s="338">
        <f t="shared" si="110"/>
        <v>1.5617131311737185</v>
      </c>
      <c r="E294" s="338">
        <f t="shared" si="111"/>
        <v>1.0012140005478809</v>
      </c>
      <c r="F294" s="339">
        <f t="shared" si="112"/>
        <v>4.9249845774568153E-2</v>
      </c>
      <c r="G294" s="338">
        <f t="shared" si="113"/>
        <v>1</v>
      </c>
      <c r="H294" s="339">
        <f t="shared" si="114"/>
        <v>0</v>
      </c>
      <c r="I294" s="337">
        <f t="shared" si="115"/>
        <v>64700.02116225761</v>
      </c>
      <c r="J294" s="340">
        <f t="shared" si="116"/>
        <v>1.5707808708494104</v>
      </c>
      <c r="K294" s="348">
        <f t="shared" si="132"/>
        <v>31.945525552034894</v>
      </c>
      <c r="L294" s="349">
        <f t="shared" si="133"/>
        <v>1.5394879237947576</v>
      </c>
      <c r="M294" s="337">
        <f t="shared" si="117"/>
        <v>1.0020285789418955</v>
      </c>
      <c r="N294" s="340">
        <f t="shared" si="118"/>
        <v>6.3642055130113895E-2</v>
      </c>
      <c r="O294" s="341">
        <f t="shared" si="119"/>
        <v>0.99616042125040039</v>
      </c>
      <c r="P294" s="342">
        <f t="shared" si="120"/>
        <v>2.9519125512328413E-2</v>
      </c>
      <c r="Q294" s="343">
        <f t="shared" si="121"/>
        <v>-10.210595489702746</v>
      </c>
      <c r="R294" s="344">
        <f t="shared" si="122"/>
        <v>-93.788459289056505</v>
      </c>
      <c r="S294" s="346">
        <f t="shared" si="123"/>
        <v>86.211540710943495</v>
      </c>
      <c r="U294" s="319">
        <f t="shared" si="129"/>
        <v>19611.75</v>
      </c>
      <c r="V294" s="319">
        <f t="shared" si="130"/>
        <v>384620738.0625</v>
      </c>
      <c r="X294" s="345">
        <f t="shared" si="124"/>
        <v>31.559734527612907</v>
      </c>
      <c r="Y294" s="346">
        <f t="shared" si="125"/>
        <v>-5.4393749594677789</v>
      </c>
      <c r="AA294" s="345">
        <f t="shared" si="126"/>
        <v>6.977636786633993</v>
      </c>
      <c r="AB294" s="346">
        <f t="shared" si="127"/>
        <v>-88.34908432958872</v>
      </c>
      <c r="AD294">
        <f t="shared" si="131"/>
        <v>0</v>
      </c>
      <c r="AE294">
        <f t="shared" si="134"/>
        <v>0</v>
      </c>
    </row>
    <row r="295" spans="1:31" x14ac:dyDescent="0.2">
      <c r="A295" s="347">
        <v>19725.5</v>
      </c>
      <c r="B295" s="364">
        <f t="shared" si="128"/>
        <v>19.7255</v>
      </c>
      <c r="C295" s="337">
        <f t="shared" si="109"/>
        <v>110.73343454894916</v>
      </c>
      <c r="D295" s="338">
        <f t="shared" si="110"/>
        <v>1.5617655079025028</v>
      </c>
      <c r="E295" s="338">
        <f t="shared" si="111"/>
        <v>1.0012281153615277</v>
      </c>
      <c r="F295" s="339">
        <f t="shared" si="112"/>
        <v>4.9535033822129114E-2</v>
      </c>
      <c r="G295" s="338">
        <f t="shared" si="113"/>
        <v>1</v>
      </c>
      <c r="H295" s="339">
        <f t="shared" si="114"/>
        <v>0</v>
      </c>
      <c r="I295" s="337">
        <f t="shared" si="115"/>
        <v>65075.287388140248</v>
      </c>
      <c r="J295" s="340">
        <f t="shared" si="116"/>
        <v>1.5707809599783957</v>
      </c>
      <c r="K295" s="348">
        <f t="shared" si="132"/>
        <v>32.130631574662949</v>
      </c>
      <c r="L295" s="349">
        <f t="shared" si="133"/>
        <v>1.5396683513692502</v>
      </c>
      <c r="M295" s="337">
        <f t="shared" si="117"/>
        <v>1.0020521549176877</v>
      </c>
      <c r="N295" s="340">
        <f t="shared" si="118"/>
        <v>6.4010180480000539E-2</v>
      </c>
      <c r="O295" s="341">
        <f t="shared" si="119"/>
        <v>0.99611577304521293</v>
      </c>
      <c r="P295" s="342">
        <f t="shared" si="120"/>
        <v>2.969172058965874E-2</v>
      </c>
      <c r="Q295" s="343">
        <f t="shared" si="121"/>
        <v>-10.260566348040518</v>
      </c>
      <c r="R295" s="344">
        <f t="shared" si="122"/>
        <v>-93.795768549640599</v>
      </c>
      <c r="S295" s="346">
        <f t="shared" si="123"/>
        <v>86.204231450359401</v>
      </c>
      <c r="U295" s="319">
        <f t="shared" si="129"/>
        <v>19725.5</v>
      </c>
      <c r="V295" s="319">
        <f t="shared" si="130"/>
        <v>389095350.25</v>
      </c>
      <c r="X295" s="345">
        <f t="shared" si="124"/>
        <v>31.559481226038866</v>
      </c>
      <c r="Y295" s="346">
        <f t="shared" si="125"/>
        <v>-5.4501343565488378</v>
      </c>
      <c r="AA295" s="345">
        <f t="shared" si="126"/>
        <v>6.9279192298702608</v>
      </c>
      <c r="AB295" s="346">
        <f t="shared" si="127"/>
        <v>-88.345634193091769</v>
      </c>
      <c r="AD295">
        <f t="shared" si="131"/>
        <v>0</v>
      </c>
      <c r="AE295">
        <f t="shared" si="134"/>
        <v>0</v>
      </c>
    </row>
    <row r="296" spans="1:31" x14ac:dyDescent="0.2">
      <c r="A296" s="347">
        <v>19839.25</v>
      </c>
      <c r="B296" s="364">
        <f t="shared" si="128"/>
        <v>19.83925</v>
      </c>
      <c r="C296" s="337">
        <f t="shared" si="109"/>
        <v>111.37194327536452</v>
      </c>
      <c r="D296" s="338">
        <f t="shared" si="110"/>
        <v>1.5618172840672748</v>
      </c>
      <c r="E296" s="338">
        <f t="shared" si="111"/>
        <v>1.0012423116049824</v>
      </c>
      <c r="F296" s="339">
        <f t="shared" si="112"/>
        <v>4.9820213805732705E-2</v>
      </c>
      <c r="G296" s="338">
        <f t="shared" si="113"/>
        <v>1</v>
      </c>
      <c r="H296" s="339">
        <f t="shared" si="114"/>
        <v>0</v>
      </c>
      <c r="I296" s="337">
        <f t="shared" si="115"/>
        <v>65450.553614023389</v>
      </c>
      <c r="J296" s="340">
        <f t="shared" si="116"/>
        <v>1.5707810480853239</v>
      </c>
      <c r="K296" s="348">
        <f t="shared" si="132"/>
        <v>32.315738631292206</v>
      </c>
      <c r="L296" s="349">
        <f t="shared" si="133"/>
        <v>1.5398467119432202</v>
      </c>
      <c r="M296" s="337">
        <f t="shared" si="117"/>
        <v>1.0020758666814531</v>
      </c>
      <c r="N296" s="340">
        <f t="shared" si="118"/>
        <v>6.4378288458132177E-2</v>
      </c>
      <c r="O296" s="341">
        <f t="shared" si="119"/>
        <v>0.99607086710952952</v>
      </c>
      <c r="P296" s="342">
        <f t="shared" si="120"/>
        <v>2.9864339754382054E-2</v>
      </c>
      <c r="Q296" s="343">
        <f t="shared" si="121"/>
        <v>-10.3102457935031</v>
      </c>
      <c r="R296" s="344">
        <f t="shared" si="122"/>
        <v>-93.803162619096625</v>
      </c>
      <c r="S296" s="346">
        <f t="shared" si="123"/>
        <v>86.196837380903375</v>
      </c>
      <c r="U296" s="319">
        <f t="shared" si="129"/>
        <v>19839.25</v>
      </c>
      <c r="V296" s="319">
        <f t="shared" si="130"/>
        <v>393595840.5625</v>
      </c>
      <c r="X296" s="345">
        <f t="shared" si="124"/>
        <v>31.559227591132341</v>
      </c>
      <c r="Y296" s="346">
        <f t="shared" si="125"/>
        <v>-5.4610111301484121</v>
      </c>
      <c r="AA296" s="345">
        <f t="shared" si="126"/>
        <v>6.878493419314208</v>
      </c>
      <c r="AB296" s="346">
        <f t="shared" si="127"/>
        <v>-88.342151488948232</v>
      </c>
      <c r="AD296">
        <f t="shared" si="131"/>
        <v>0</v>
      </c>
      <c r="AE296">
        <f t="shared" si="134"/>
        <v>0</v>
      </c>
    </row>
    <row r="297" spans="1:31" x14ac:dyDescent="0.2">
      <c r="A297" s="347">
        <v>19953</v>
      </c>
      <c r="B297" s="364">
        <f t="shared" si="128"/>
        <v>19.952999999999999</v>
      </c>
      <c r="C297" s="337">
        <f t="shared" si="109"/>
        <v>112.01045229693869</v>
      </c>
      <c r="D297" s="338">
        <f t="shared" si="110"/>
        <v>1.5618684699381944</v>
      </c>
      <c r="E297" s="338">
        <f t="shared" si="111"/>
        <v>1.0012565892747813</v>
      </c>
      <c r="F297" s="339">
        <f t="shared" si="112"/>
        <v>5.0105385679336902E-2</v>
      </c>
      <c r="G297" s="338">
        <f t="shared" si="113"/>
        <v>1</v>
      </c>
      <c r="H297" s="339">
        <f t="shared" si="114"/>
        <v>0</v>
      </c>
      <c r="I297" s="337">
        <f t="shared" si="115"/>
        <v>65825.819839907039</v>
      </c>
      <c r="J297" s="340">
        <f t="shared" si="116"/>
        <v>1.5707811351876753</v>
      </c>
      <c r="K297" s="348">
        <f t="shared" si="132"/>
        <v>32.500846704255331</v>
      </c>
      <c r="L297" s="349">
        <f t="shared" si="133"/>
        <v>1.5400230408229298</v>
      </c>
      <c r="M297" s="337">
        <f t="shared" si="117"/>
        <v>1.0020997142235526</v>
      </c>
      <c r="N297" s="340">
        <f t="shared" si="118"/>
        <v>6.4746378965985688E-2</v>
      </c>
      <c r="O297" s="341">
        <f t="shared" si="119"/>
        <v>0.99602570345179786</v>
      </c>
      <c r="P297" s="342">
        <f t="shared" si="120"/>
        <v>3.0036983148898268E-2</v>
      </c>
      <c r="Q297" s="343">
        <f t="shared" si="121"/>
        <v>-10.359637146023108</v>
      </c>
      <c r="R297" s="344">
        <f t="shared" si="122"/>
        <v>-93.810640069115124</v>
      </c>
      <c r="S297" s="346">
        <f t="shared" si="123"/>
        <v>86.189359930884876</v>
      </c>
      <c r="U297" s="319">
        <f t="shared" si="129"/>
        <v>19953</v>
      </c>
      <c r="V297" s="319">
        <f t="shared" si="130"/>
        <v>398122209</v>
      </c>
      <c r="X297" s="345">
        <f t="shared" si="124"/>
        <v>31.558973604001043</v>
      </c>
      <c r="Y297" s="346">
        <f t="shared" si="125"/>
        <v>-5.4720032527232947</v>
      </c>
      <c r="AA297" s="345">
        <f t="shared" si="126"/>
        <v>6.8293560539254896</v>
      </c>
      <c r="AB297" s="346">
        <f t="shared" si="127"/>
        <v>-88.338636816391841</v>
      </c>
      <c r="AD297">
        <f t="shared" si="131"/>
        <v>0</v>
      </c>
      <c r="AE297">
        <f t="shared" si="134"/>
        <v>0</v>
      </c>
    </row>
    <row r="298" spans="1:31" x14ac:dyDescent="0.2">
      <c r="A298" s="347">
        <v>20069</v>
      </c>
      <c r="B298" s="364">
        <f t="shared" si="128"/>
        <v>20.068999999999999</v>
      </c>
      <c r="C298" s="337">
        <f t="shared" si="109"/>
        <v>112.66159146606293</v>
      </c>
      <c r="D298" s="338">
        <f t="shared" si="110"/>
        <v>1.561920070757433</v>
      </c>
      <c r="E298" s="338">
        <f t="shared" si="111"/>
        <v>1.0012712332146361</v>
      </c>
      <c r="F298" s="339">
        <f t="shared" si="112"/>
        <v>5.0396189915342289E-2</v>
      </c>
      <c r="G298" s="338">
        <f t="shared" si="113"/>
        <v>1</v>
      </c>
      <c r="H298" s="339">
        <f t="shared" si="114"/>
        <v>0</v>
      </c>
      <c r="I298" s="337">
        <f t="shared" si="115"/>
        <v>66208.508914215272</v>
      </c>
      <c r="J298" s="340">
        <f t="shared" si="116"/>
        <v>1.570781222996058</v>
      </c>
      <c r="K298" s="348">
        <f t="shared" si="132"/>
        <v>32.689617284374286</v>
      </c>
      <c r="L298" s="349">
        <f t="shared" si="133"/>
        <v>1.5402008009217523</v>
      </c>
      <c r="M298" s="337">
        <f t="shared" si="117"/>
        <v>1.0021241732987114</v>
      </c>
      <c r="N298" s="340">
        <f t="shared" si="118"/>
        <v>6.5121732290833692E-2</v>
      </c>
      <c r="O298" s="341">
        <f t="shared" si="119"/>
        <v>0.99597938103663597</v>
      </c>
      <c r="P298" s="342">
        <f t="shared" si="120"/>
        <v>3.0213066568823742E-2</v>
      </c>
      <c r="Q298" s="343">
        <f t="shared" si="121"/>
        <v>-10.409712155675205</v>
      </c>
      <c r="R298" s="344">
        <f t="shared" si="122"/>
        <v>-93.818349848663431</v>
      </c>
      <c r="S298" s="346">
        <f t="shared" si="123"/>
        <v>86.181650151336569</v>
      </c>
      <c r="U298" s="319">
        <f t="shared" si="129"/>
        <v>20069</v>
      </c>
      <c r="V298" s="319">
        <f t="shared" si="130"/>
        <v>402764761</v>
      </c>
      <c r="X298" s="345">
        <f t="shared" si="124"/>
        <v>31.558714211180906</v>
      </c>
      <c r="Y298" s="346">
        <f t="shared" si="125"/>
        <v>-5.4833295416976195</v>
      </c>
      <c r="AA298" s="345">
        <f t="shared" si="126"/>
        <v>6.7795404370935355</v>
      </c>
      <c r="AB298" s="346">
        <f t="shared" si="127"/>
        <v>-88.335020306965831</v>
      </c>
      <c r="AD298">
        <f t="shared" si="131"/>
        <v>0</v>
      </c>
      <c r="AE298">
        <f t="shared" si="134"/>
        <v>0</v>
      </c>
    </row>
    <row r="299" spans="1:31" x14ac:dyDescent="0.2">
      <c r="A299" s="347">
        <v>20185</v>
      </c>
      <c r="B299" s="364">
        <f t="shared" si="128"/>
        <v>20.184999999999999</v>
      </c>
      <c r="C299" s="337">
        <f t="shared" si="109"/>
        <v>113.31273093171733</v>
      </c>
      <c r="D299" s="338">
        <f t="shared" si="110"/>
        <v>1.5619710785396497</v>
      </c>
      <c r="E299" s="338">
        <f t="shared" si="111"/>
        <v>1.0012859618266181</v>
      </c>
      <c r="F299" s="339">
        <f t="shared" si="112"/>
        <v>5.0686985620655094E-2</v>
      </c>
      <c r="G299" s="338">
        <f t="shared" si="113"/>
        <v>1</v>
      </c>
      <c r="H299" s="339">
        <f t="shared" si="114"/>
        <v>0</v>
      </c>
      <c r="I299" s="337">
        <f t="shared" si="115"/>
        <v>66591.197988524</v>
      </c>
      <c r="J299" s="340">
        <f t="shared" si="116"/>
        <v>1.5707813097951993</v>
      </c>
      <c r="K299" s="348">
        <f t="shared" si="132"/>
        <v>32.878388885579795</v>
      </c>
      <c r="L299" s="349">
        <f t="shared" si="133"/>
        <v>1.5403765198032755</v>
      </c>
      <c r="M299" s="337">
        <f t="shared" si="117"/>
        <v>1.0021487735563599</v>
      </c>
      <c r="N299" s="340">
        <f t="shared" si="118"/>
        <v>6.5497067240581103E-2</v>
      </c>
      <c r="O299" s="341">
        <f t="shared" si="119"/>
        <v>0.99593279062089701</v>
      </c>
      <c r="P299" s="342">
        <f t="shared" si="120"/>
        <v>3.0389175485864537E-2</v>
      </c>
      <c r="Q299" s="343">
        <f t="shared" si="121"/>
        <v>-10.459494357007886</v>
      </c>
      <c r="R299" s="344">
        <f t="shared" si="122"/>
        <v>-93.826143441838482</v>
      </c>
      <c r="S299" s="346">
        <f t="shared" si="123"/>
        <v>86.173856558161518</v>
      </c>
      <c r="U299" s="319">
        <f t="shared" si="129"/>
        <v>20185</v>
      </c>
      <c r="V299" s="319">
        <f t="shared" si="130"/>
        <v>407434225</v>
      </c>
      <c r="X299" s="345">
        <f t="shared" si="124"/>
        <v>31.558454414073175</v>
      </c>
      <c r="Y299" s="346">
        <f t="shared" si="125"/>
        <v>-5.4947716731673841</v>
      </c>
      <c r="AA299" s="345">
        <f t="shared" si="126"/>
        <v>6.7300180328685819</v>
      </c>
      <c r="AB299" s="346">
        <f t="shared" si="127"/>
        <v>-88.33137176867109</v>
      </c>
      <c r="AD299">
        <f t="shared" si="131"/>
        <v>0</v>
      </c>
      <c r="AE299">
        <f t="shared" si="134"/>
        <v>0</v>
      </c>
    </row>
    <row r="300" spans="1:31" x14ac:dyDescent="0.2">
      <c r="A300" s="347">
        <v>20301</v>
      </c>
      <c r="B300" s="364">
        <f t="shared" si="128"/>
        <v>20.300999999999998</v>
      </c>
      <c r="C300" s="337">
        <f t="shared" si="109"/>
        <v>113.9638706888192</v>
      </c>
      <c r="D300" s="338">
        <f t="shared" si="110"/>
        <v>1.5620215034496399</v>
      </c>
      <c r="E300" s="338">
        <f t="shared" si="111"/>
        <v>1.0013007751069909</v>
      </c>
      <c r="F300" s="339">
        <f t="shared" si="112"/>
        <v>5.0977772746472222E-2</v>
      </c>
      <c r="G300" s="338">
        <f t="shared" si="113"/>
        <v>1</v>
      </c>
      <c r="H300" s="339">
        <f t="shared" si="114"/>
        <v>0</v>
      </c>
      <c r="I300" s="337">
        <f t="shared" si="115"/>
        <v>66973.887062833222</v>
      </c>
      <c r="J300" s="340">
        <f t="shared" si="116"/>
        <v>1.5707813956023993</v>
      </c>
      <c r="K300" s="348">
        <f t="shared" si="132"/>
        <v>33.067161490384507</v>
      </c>
      <c r="L300" s="349">
        <f t="shared" si="133"/>
        <v>1.5405502324150349</v>
      </c>
      <c r="M300" s="337">
        <f t="shared" si="117"/>
        <v>1.0021735149861017</v>
      </c>
      <c r="N300" s="340">
        <f t="shared" si="118"/>
        <v>6.5872383710833329E-2</v>
      </c>
      <c r="O300" s="341">
        <f t="shared" si="119"/>
        <v>0.99588593221370225</v>
      </c>
      <c r="P300" s="342">
        <f t="shared" si="120"/>
        <v>3.0565310051235826E-2</v>
      </c>
      <c r="Q300" s="343">
        <f t="shared" si="121"/>
        <v>-10.508987092485505</v>
      </c>
      <c r="R300" s="344">
        <f t="shared" si="122"/>
        <v>-93.834019435163938</v>
      </c>
      <c r="S300" s="346">
        <f t="shared" si="123"/>
        <v>86.165980564836062</v>
      </c>
      <c r="U300" s="319">
        <f t="shared" si="129"/>
        <v>20301</v>
      </c>
      <c r="V300" s="319">
        <f t="shared" si="130"/>
        <v>412130601</v>
      </c>
      <c r="X300" s="345">
        <f t="shared" si="124"/>
        <v>31.558194194315838</v>
      </c>
      <c r="Y300" s="346">
        <f t="shared" si="125"/>
        <v>-5.5063276397961962</v>
      </c>
      <c r="AA300" s="345">
        <f t="shared" si="126"/>
        <v>6.6807855171483048</v>
      </c>
      <c r="AB300" s="346">
        <f t="shared" si="127"/>
        <v>-88.327691795367741</v>
      </c>
      <c r="AD300">
        <f t="shared" si="131"/>
        <v>0</v>
      </c>
      <c r="AE300">
        <f t="shared" si="134"/>
        <v>0</v>
      </c>
    </row>
    <row r="301" spans="1:31" x14ac:dyDescent="0.2">
      <c r="A301" s="347">
        <v>20417</v>
      </c>
      <c r="B301" s="364">
        <f t="shared" si="128"/>
        <v>20.417000000000002</v>
      </c>
      <c r="C301" s="337">
        <f t="shared" si="109"/>
        <v>114.6150107324013</v>
      </c>
      <c r="D301" s="338">
        <f t="shared" si="110"/>
        <v>1.5620713554212222</v>
      </c>
      <c r="E301" s="338">
        <f t="shared" si="111"/>
        <v>1.0013156730519968</v>
      </c>
      <c r="F301" s="339">
        <f t="shared" si="112"/>
        <v>5.1268551243999282E-2</v>
      </c>
      <c r="G301" s="338">
        <f t="shared" si="113"/>
        <v>1</v>
      </c>
      <c r="H301" s="339">
        <f t="shared" si="114"/>
        <v>0</v>
      </c>
      <c r="I301" s="337">
        <f t="shared" si="115"/>
        <v>67356.57613714294</v>
      </c>
      <c r="J301" s="340">
        <f t="shared" si="116"/>
        <v>1.570781480434565</v>
      </c>
      <c r="K301" s="348">
        <f t="shared" si="132"/>
        <v>33.255935081698077</v>
      </c>
      <c r="L301" s="349">
        <f t="shared" si="133"/>
        <v>1.5407219729115529</v>
      </c>
      <c r="M301" s="337">
        <f t="shared" si="117"/>
        <v>1.0021983975774813</v>
      </c>
      <c r="N301" s="340">
        <f t="shared" si="118"/>
        <v>6.6247681597226951E-2</v>
      </c>
      <c r="O301" s="341">
        <f t="shared" si="119"/>
        <v>0.99583880582422768</v>
      </c>
      <c r="P301" s="342">
        <f t="shared" si="120"/>
        <v>3.0741470416219826E-2</v>
      </c>
      <c r="Q301" s="343">
        <f t="shared" si="121"/>
        <v>-10.558193647239825</v>
      </c>
      <c r="R301" s="344">
        <f t="shared" si="122"/>
        <v>-93.84197644734833</v>
      </c>
      <c r="S301" s="346">
        <f t="shared" si="123"/>
        <v>86.15802355265167</v>
      </c>
      <c r="U301" s="319">
        <f t="shared" si="129"/>
        <v>20417</v>
      </c>
      <c r="V301" s="319">
        <f t="shared" si="130"/>
        <v>416853889</v>
      </c>
      <c r="X301" s="345">
        <f t="shared" si="124"/>
        <v>31.557933534072653</v>
      </c>
      <c r="Y301" s="346">
        <f t="shared" si="125"/>
        <v>-5.5179954796631732</v>
      </c>
      <c r="AA301" s="345">
        <f t="shared" si="126"/>
        <v>6.631839622637167</v>
      </c>
      <c r="AB301" s="346">
        <f t="shared" si="127"/>
        <v>-88.323980967685188</v>
      </c>
      <c r="AD301">
        <f t="shared" si="131"/>
        <v>0</v>
      </c>
      <c r="AE301">
        <f t="shared" si="134"/>
        <v>0</v>
      </c>
    </row>
    <row r="302" spans="1:31" x14ac:dyDescent="0.2">
      <c r="A302" s="347">
        <v>20536</v>
      </c>
      <c r="B302" s="364">
        <f t="shared" si="128"/>
        <v>20.536000000000001</v>
      </c>
      <c r="C302" s="337">
        <f t="shared" si="109"/>
        <v>115.28299089729855</v>
      </c>
      <c r="D302" s="338">
        <f t="shared" si="110"/>
        <v>1.5621219114866187</v>
      </c>
      <c r="E302" s="338">
        <f t="shared" si="111"/>
        <v>1.001331044262074</v>
      </c>
      <c r="F302" s="339">
        <f t="shared" si="112"/>
        <v>5.1566840858057877E-2</v>
      </c>
      <c r="G302" s="338">
        <f t="shared" si="113"/>
        <v>1</v>
      </c>
      <c r="H302" s="339">
        <f t="shared" si="114"/>
        <v>0</v>
      </c>
      <c r="I302" s="337">
        <f t="shared" si="115"/>
        <v>67749.162342685304</v>
      </c>
      <c r="J302" s="340">
        <f t="shared" si="116"/>
        <v>1.5707815664647986</v>
      </c>
      <c r="K302" s="348">
        <f t="shared" si="132"/>
        <v>33.449591756252275</v>
      </c>
      <c r="L302" s="349">
        <f t="shared" si="133"/>
        <v>1.5408961406774502</v>
      </c>
      <c r="M302" s="337">
        <f t="shared" si="117"/>
        <v>1.0022240703580789</v>
      </c>
      <c r="N302" s="340">
        <f t="shared" si="118"/>
        <v>6.6632666043093217E-2</v>
      </c>
      <c r="O302" s="341">
        <f t="shared" si="119"/>
        <v>0.99579018219072946</v>
      </c>
      <c r="P302" s="342">
        <f t="shared" si="120"/>
        <v>3.0922213620427678E-2</v>
      </c>
      <c r="Q302" s="343">
        <f t="shared" si="121"/>
        <v>-10.608378791043753</v>
      </c>
      <c r="R302" s="344">
        <f t="shared" si="122"/>
        <v>-93.850222018534893</v>
      </c>
      <c r="S302" s="346">
        <f t="shared" si="123"/>
        <v>86.149777981465107</v>
      </c>
      <c r="U302" s="319">
        <f t="shared" si="129"/>
        <v>20536</v>
      </c>
      <c r="V302" s="319">
        <f t="shared" si="130"/>
        <v>421727296</v>
      </c>
      <c r="X302" s="345">
        <f t="shared" si="124"/>
        <v>31.557665656737221</v>
      </c>
      <c r="Y302" s="346">
        <f t="shared" si="125"/>
        <v>-5.5300793148594494</v>
      </c>
      <c r="AA302" s="345">
        <f t="shared" si="126"/>
        <v>6.5819223561686657</v>
      </c>
      <c r="AB302" s="346">
        <f t="shared" si="127"/>
        <v>-88.320142703675444</v>
      </c>
      <c r="AD302">
        <f t="shared" si="131"/>
        <v>0</v>
      </c>
      <c r="AE302">
        <f t="shared" si="134"/>
        <v>0</v>
      </c>
    </row>
    <row r="303" spans="1:31" x14ac:dyDescent="0.2">
      <c r="A303" s="347">
        <v>20655</v>
      </c>
      <c r="B303" s="364">
        <f t="shared" si="128"/>
        <v>20.655000000000001</v>
      </c>
      <c r="C303" s="337">
        <f t="shared" si="109"/>
        <v>115.95097135345443</v>
      </c>
      <c r="D303" s="338">
        <f t="shared" si="110"/>
        <v>1.5621718850565711</v>
      </c>
      <c r="E303" s="338">
        <f t="shared" si="111"/>
        <v>1.0013465045645367</v>
      </c>
      <c r="F303" s="339">
        <f t="shared" si="112"/>
        <v>5.1865121287762987E-2</v>
      </c>
      <c r="G303" s="338">
        <f t="shared" si="113"/>
        <v>1</v>
      </c>
      <c r="H303" s="339">
        <f t="shared" si="114"/>
        <v>0</v>
      </c>
      <c r="I303" s="337">
        <f t="shared" si="115"/>
        <v>68141.748548228163</v>
      </c>
      <c r="J303" s="340">
        <f t="shared" si="116"/>
        <v>1.5707816515037376</v>
      </c>
      <c r="K303" s="348">
        <f t="shared" si="132"/>
        <v>33.643249433798815</v>
      </c>
      <c r="L303" s="349">
        <f t="shared" si="133"/>
        <v>1.541068303355337</v>
      </c>
      <c r="M303" s="337">
        <f t="shared" si="117"/>
        <v>1.0022498916737133</v>
      </c>
      <c r="N303" s="340">
        <f t="shared" si="118"/>
        <v>6.7017630709035117E-2</v>
      </c>
      <c r="O303" s="341">
        <f t="shared" si="119"/>
        <v>0.99574127655429978</v>
      </c>
      <c r="P303" s="342">
        <f t="shared" si="120"/>
        <v>3.1102984298719528E-2</v>
      </c>
      <c r="Q303" s="343">
        <f t="shared" si="121"/>
        <v>-10.658269584602794</v>
      </c>
      <c r="R303" s="344">
        <f t="shared" si="122"/>
        <v>-93.858550008542124</v>
      </c>
      <c r="S303" s="346">
        <f t="shared" si="123"/>
        <v>86.141449991457876</v>
      </c>
      <c r="U303" s="319">
        <f t="shared" si="129"/>
        <v>20655</v>
      </c>
      <c r="V303" s="319">
        <f t="shared" si="130"/>
        <v>426629025</v>
      </c>
      <c r="X303" s="345">
        <f t="shared" si="124"/>
        <v>31.557397279432784</v>
      </c>
      <c r="Y303" s="346">
        <f t="shared" si="125"/>
        <v>-5.5422768430332408</v>
      </c>
      <c r="AA303" s="345">
        <f t="shared" si="126"/>
        <v>6.5322999399140622</v>
      </c>
      <c r="AB303" s="346">
        <f t="shared" si="127"/>
        <v>-88.316273165508889</v>
      </c>
      <c r="AD303">
        <f t="shared" si="131"/>
        <v>0</v>
      </c>
      <c r="AE303">
        <f t="shared" si="134"/>
        <v>0</v>
      </c>
    </row>
    <row r="304" spans="1:31" x14ac:dyDescent="0.2">
      <c r="A304" s="347">
        <v>20774</v>
      </c>
      <c r="B304" s="364">
        <f t="shared" si="128"/>
        <v>20.774000000000001</v>
      </c>
      <c r="C304" s="337">
        <f t="shared" si="109"/>
        <v>116.61895209586415</v>
      </c>
      <c r="D304" s="338">
        <f t="shared" si="110"/>
        <v>1.5622212861402398</v>
      </c>
      <c r="E304" s="338">
        <f t="shared" si="111"/>
        <v>1.001362053955259</v>
      </c>
      <c r="F304" s="339">
        <f t="shared" si="112"/>
        <v>5.2163392480464518E-2</v>
      </c>
      <c r="G304" s="338">
        <f t="shared" si="113"/>
        <v>1</v>
      </c>
      <c r="H304" s="339">
        <f t="shared" si="114"/>
        <v>0</v>
      </c>
      <c r="I304" s="337">
        <f t="shared" si="115"/>
        <v>68534.334753771516</v>
      </c>
      <c r="J304" s="340">
        <f t="shared" si="116"/>
        <v>1.5707817355684168</v>
      </c>
      <c r="K304" s="348">
        <f t="shared" si="132"/>
        <v>33.83690809711652</v>
      </c>
      <c r="L304" s="349">
        <f t="shared" si="133"/>
        <v>1.5412384953620593</v>
      </c>
      <c r="M304" s="337">
        <f t="shared" si="117"/>
        <v>1.0022758615129048</v>
      </c>
      <c r="N304" s="340">
        <f t="shared" si="118"/>
        <v>6.7402575482483948E-2</v>
      </c>
      <c r="O304" s="341">
        <f t="shared" si="119"/>
        <v>0.99569208892502503</v>
      </c>
      <c r="P304" s="342">
        <f t="shared" si="120"/>
        <v>3.1283782614643915E-2</v>
      </c>
      <c r="Q304" s="343">
        <f t="shared" si="121"/>
        <v>-10.707869394973075</v>
      </c>
      <c r="R304" s="344">
        <f t="shared" si="122"/>
        <v>-93.866959025826233</v>
      </c>
      <c r="S304" s="346">
        <f t="shared" si="123"/>
        <v>86.133040974173767</v>
      </c>
      <c r="U304" s="319">
        <f t="shared" si="129"/>
        <v>20774</v>
      </c>
      <c r="V304" s="319">
        <f t="shared" si="130"/>
        <v>431559076</v>
      </c>
      <c r="X304" s="345">
        <f t="shared" si="124"/>
        <v>31.557128384513618</v>
      </c>
      <c r="Y304" s="346">
        <f t="shared" si="125"/>
        <v>-5.554586086770815</v>
      </c>
      <c r="AA304" s="345">
        <f t="shared" si="126"/>
        <v>6.4829690244629488</v>
      </c>
      <c r="AB304" s="346">
        <f t="shared" si="127"/>
        <v>-88.312372939055422</v>
      </c>
      <c r="AD304">
        <f t="shared" si="131"/>
        <v>0</v>
      </c>
      <c r="AE304">
        <f t="shared" si="134"/>
        <v>0</v>
      </c>
    </row>
    <row r="305" spans="1:31" x14ac:dyDescent="0.2">
      <c r="A305" s="347">
        <v>20893</v>
      </c>
      <c r="B305" s="364">
        <f t="shared" si="128"/>
        <v>20.893000000000001</v>
      </c>
      <c r="C305" s="337">
        <f t="shared" si="109"/>
        <v>117.28693311963676</v>
      </c>
      <c r="D305" s="338">
        <f t="shared" si="110"/>
        <v>1.5622701245187778</v>
      </c>
      <c r="E305" s="338">
        <f t="shared" si="111"/>
        <v>1.0013776924300903</v>
      </c>
      <c r="F305" s="339">
        <f t="shared" si="112"/>
        <v>5.246165438352219E-2</v>
      </c>
      <c r="G305" s="338">
        <f t="shared" si="113"/>
        <v>1</v>
      </c>
      <c r="H305" s="339">
        <f t="shared" si="114"/>
        <v>0</v>
      </c>
      <c r="I305" s="337">
        <f t="shared" si="115"/>
        <v>68926.920959315335</v>
      </c>
      <c r="J305" s="340">
        <f t="shared" si="116"/>
        <v>1.5707818186754838</v>
      </c>
      <c r="K305" s="348">
        <f t="shared" si="132"/>
        <v>34.030567729376116</v>
      </c>
      <c r="L305" s="349">
        <f t="shared" si="133"/>
        <v>1.5414067503314948</v>
      </c>
      <c r="M305" s="337">
        <f t="shared" si="117"/>
        <v>1.0023019798641086</v>
      </c>
      <c r="N305" s="340">
        <f t="shared" si="118"/>
        <v>6.7787500250906324E-2</v>
      </c>
      <c r="O305" s="341">
        <f t="shared" si="119"/>
        <v>0.99564261931305209</v>
      </c>
      <c r="P305" s="342">
        <f t="shared" si="120"/>
        <v>3.1464608731825459E-2</v>
      </c>
      <c r="Q305" s="343">
        <f t="shared" si="121"/>
        <v>-10.75718153131988</v>
      </c>
      <c r="R305" s="344">
        <f t="shared" si="122"/>
        <v>-93.875447710624016</v>
      </c>
      <c r="S305" s="346">
        <f t="shared" si="123"/>
        <v>86.124552289375984</v>
      </c>
      <c r="U305" s="319">
        <f t="shared" si="129"/>
        <v>20893</v>
      </c>
      <c r="V305" s="319">
        <f t="shared" si="130"/>
        <v>436517449</v>
      </c>
      <c r="X305" s="345">
        <f t="shared" si="124"/>
        <v>31.556858954841399</v>
      </c>
      <c r="Y305" s="346">
        <f t="shared" si="125"/>
        <v>-5.5670051134990919</v>
      </c>
      <c r="AA305" s="345">
        <f t="shared" si="126"/>
        <v>6.4339263177883632</v>
      </c>
      <c r="AB305" s="346">
        <f t="shared" si="127"/>
        <v>-88.308442597124923</v>
      </c>
      <c r="AD305">
        <f t="shared" si="131"/>
        <v>0</v>
      </c>
      <c r="AE305">
        <f t="shared" si="134"/>
        <v>0</v>
      </c>
    </row>
    <row r="306" spans="1:31" x14ac:dyDescent="0.2">
      <c r="A306" s="347">
        <v>21014.75</v>
      </c>
      <c r="B306" s="364">
        <f t="shared" si="128"/>
        <v>21.014749999999999</v>
      </c>
      <c r="C306" s="337">
        <f t="shared" si="109"/>
        <v>117.97035096587966</v>
      </c>
      <c r="D306" s="338">
        <f t="shared" si="110"/>
        <v>1.5623195191228203</v>
      </c>
      <c r="E306" s="338">
        <f t="shared" si="111"/>
        <v>1.0013937844897907</v>
      </c>
      <c r="F306" s="339">
        <f t="shared" si="112"/>
        <v>5.2766799224555627E-2</v>
      </c>
      <c r="G306" s="338">
        <f t="shared" si="113"/>
        <v>1</v>
      </c>
      <c r="H306" s="339">
        <f t="shared" si="114"/>
        <v>0</v>
      </c>
      <c r="I306" s="337">
        <f t="shared" si="115"/>
        <v>69328.579535155819</v>
      </c>
      <c r="J306" s="340">
        <f t="shared" si="116"/>
        <v>1.5707819027289958</v>
      </c>
      <c r="K306" s="348">
        <f t="shared" si="132"/>
        <v>34.22870367490799</v>
      </c>
      <c r="L306" s="349">
        <f t="shared" si="133"/>
        <v>1.5415769231252252</v>
      </c>
      <c r="M306" s="337">
        <f t="shared" si="117"/>
        <v>1.0023288554782153</v>
      </c>
      <c r="N306" s="340">
        <f t="shared" si="118"/>
        <v>6.8181299518463301E-2</v>
      </c>
      <c r="O306" s="341">
        <f t="shared" si="119"/>
        <v>0.99559171467380314</v>
      </c>
      <c r="P306" s="342">
        <f t="shared" si="120"/>
        <v>3.1649642546920438E-2</v>
      </c>
      <c r="Q306" s="343">
        <f t="shared" si="121"/>
        <v>-10.807338902917618</v>
      </c>
      <c r="R306" s="344">
        <f t="shared" si="122"/>
        <v>-93.884213627166275</v>
      </c>
      <c r="S306" s="346">
        <f t="shared" si="123"/>
        <v>86.115786372833725</v>
      </c>
      <c r="U306" s="319">
        <f t="shared" si="129"/>
        <v>21014.75</v>
      </c>
      <c r="V306" s="319">
        <f t="shared" si="130"/>
        <v>441619717.5625</v>
      </c>
      <c r="X306" s="345">
        <f t="shared" si="124"/>
        <v>31.556582728061343</v>
      </c>
      <c r="Y306" s="346">
        <f t="shared" si="125"/>
        <v>-5.5798227825628866</v>
      </c>
      <c r="AA306" s="345">
        <f t="shared" si="126"/>
        <v>6.3840451729706817</v>
      </c>
      <c r="AB306" s="346">
        <f t="shared" si="127"/>
        <v>-88.30439084460339</v>
      </c>
      <c r="AD306">
        <f t="shared" si="131"/>
        <v>0</v>
      </c>
      <c r="AE306">
        <f t="shared" si="134"/>
        <v>0</v>
      </c>
    </row>
    <row r="307" spans="1:31" x14ac:dyDescent="0.2">
      <c r="A307" s="347">
        <v>21136.5</v>
      </c>
      <c r="B307" s="364">
        <f t="shared" si="128"/>
        <v>21.136500000000002</v>
      </c>
      <c r="C307" s="337">
        <f t="shared" si="109"/>
        <v>118.65376909663418</v>
      </c>
      <c r="D307" s="338">
        <f t="shared" si="110"/>
        <v>1.5623683447241039</v>
      </c>
      <c r="E307" s="338">
        <f t="shared" si="111"/>
        <v>1.001409969789643</v>
      </c>
      <c r="F307" s="339">
        <f t="shared" si="112"/>
        <v>5.3071934230186635E-2</v>
      </c>
      <c r="G307" s="338">
        <f t="shared" si="113"/>
        <v>1</v>
      </c>
      <c r="H307" s="339">
        <f t="shared" si="114"/>
        <v>0</v>
      </c>
      <c r="I307" s="337">
        <f t="shared" si="115"/>
        <v>69730.238110996797</v>
      </c>
      <c r="J307" s="340">
        <f t="shared" si="116"/>
        <v>1.5707819858141812</v>
      </c>
      <c r="K307" s="348">
        <f t="shared" si="132"/>
        <v>34.426840600251836</v>
      </c>
      <c r="L307" s="349">
        <f t="shared" si="133"/>
        <v>1.5417451371315392</v>
      </c>
      <c r="M307" s="337">
        <f t="shared" si="117"/>
        <v>1.0023558865229896</v>
      </c>
      <c r="N307" s="340">
        <f t="shared" si="118"/>
        <v>6.8575077607510582E-2</v>
      </c>
      <c r="O307" s="341">
        <f t="shared" si="119"/>
        <v>0.99554051489013606</v>
      </c>
      <c r="P307" s="342">
        <f t="shared" si="120"/>
        <v>3.1834705809804464E-2</v>
      </c>
      <c r="Q307" s="343">
        <f t="shared" si="121"/>
        <v>-10.857201978903761</v>
      </c>
      <c r="R307" s="344">
        <f t="shared" si="122"/>
        <v>-93.893060154344766</v>
      </c>
      <c r="S307" s="346">
        <f t="shared" si="123"/>
        <v>86.106939845655234</v>
      </c>
      <c r="U307" s="319">
        <f t="shared" si="129"/>
        <v>21136.5</v>
      </c>
      <c r="V307" s="319">
        <f t="shared" si="130"/>
        <v>446751632.25</v>
      </c>
      <c r="X307" s="345">
        <f t="shared" si="124"/>
        <v>31.556305906786676</v>
      </c>
      <c r="Y307" s="346">
        <f t="shared" si="125"/>
        <v>-5.5927514129584823</v>
      </c>
      <c r="AA307" s="345">
        <f t="shared" si="126"/>
        <v>6.3344589182592106</v>
      </c>
      <c r="AB307" s="346">
        <f t="shared" si="127"/>
        <v>-88.300308741386274</v>
      </c>
      <c r="AD307">
        <f t="shared" si="131"/>
        <v>0</v>
      </c>
      <c r="AE307">
        <f t="shared" si="134"/>
        <v>0</v>
      </c>
    </row>
    <row r="308" spans="1:31" x14ac:dyDescent="0.2">
      <c r="A308" s="347">
        <v>21258.25</v>
      </c>
      <c r="B308" s="364">
        <f t="shared" si="128"/>
        <v>21.25825</v>
      </c>
      <c r="C308" s="337">
        <f t="shared" si="109"/>
        <v>119.33718750701226</v>
      </c>
      <c r="D308" s="338">
        <f t="shared" si="110"/>
        <v>1.5624166110980637</v>
      </c>
      <c r="E308" s="338">
        <f t="shared" si="111"/>
        <v>1.0014262483251271</v>
      </c>
      <c r="F308" s="339">
        <f t="shared" si="112"/>
        <v>5.3377059344072844E-2</v>
      </c>
      <c r="G308" s="338">
        <f t="shared" si="113"/>
        <v>1</v>
      </c>
      <c r="H308" s="339">
        <f t="shared" si="114"/>
        <v>0</v>
      </c>
      <c r="I308" s="337">
        <f t="shared" si="115"/>
        <v>70131.896686838256</v>
      </c>
      <c r="J308" s="340">
        <f t="shared" si="116"/>
        <v>1.5707820679476776</v>
      </c>
      <c r="K308" s="348">
        <f t="shared" si="132"/>
        <v>34.624978488587111</v>
      </c>
      <c r="L308" s="349">
        <f t="shared" si="133"/>
        <v>1.5419114259677149</v>
      </c>
      <c r="M308" s="337">
        <f t="shared" si="117"/>
        <v>1.0023830729858569</v>
      </c>
      <c r="N308" s="340">
        <f t="shared" si="118"/>
        <v>6.8968834397647061E-2</v>
      </c>
      <c r="O308" s="341">
        <f t="shared" si="119"/>
        <v>0.99548901997311556</v>
      </c>
      <c r="P308" s="342">
        <f t="shared" si="120"/>
        <v>3.2019798695960423E-2</v>
      </c>
      <c r="Q308" s="343">
        <f t="shared" si="121"/>
        <v>-10.906774123559245</v>
      </c>
      <c r="R308" s="344">
        <f t="shared" si="122"/>
        <v>-93.901985933459898</v>
      </c>
      <c r="S308" s="346">
        <f t="shared" si="123"/>
        <v>86.098014066540102</v>
      </c>
      <c r="U308" s="319">
        <f t="shared" si="129"/>
        <v>21258.25</v>
      </c>
      <c r="V308" s="319">
        <f t="shared" si="130"/>
        <v>451913193.0625</v>
      </c>
      <c r="X308" s="345">
        <f t="shared" si="124"/>
        <v>31.556028474202776</v>
      </c>
      <c r="Y308" s="346">
        <f t="shared" si="125"/>
        <v>-5.6057890726125059</v>
      </c>
      <c r="AA308" s="345">
        <f t="shared" si="126"/>
        <v>6.2851642061876225</v>
      </c>
      <c r="AB308" s="346">
        <f t="shared" si="127"/>
        <v>-88.296196860847388</v>
      </c>
      <c r="AD308">
        <f t="shared" si="131"/>
        <v>0</v>
      </c>
      <c r="AE308">
        <f t="shared" si="134"/>
        <v>0</v>
      </c>
    </row>
    <row r="309" spans="1:31" x14ac:dyDescent="0.2">
      <c r="A309" s="347">
        <v>21380</v>
      </c>
      <c r="B309" s="364">
        <f t="shared" si="128"/>
        <v>21.38</v>
      </c>
      <c r="C309" s="337">
        <f t="shared" si="109"/>
        <v>120.02060619223728</v>
      </c>
      <c r="D309" s="338">
        <f t="shared" si="110"/>
        <v>1.5624643277974921</v>
      </c>
      <c r="E309" s="338">
        <f t="shared" si="111"/>
        <v>1.0014426200916955</v>
      </c>
      <c r="F309" s="339">
        <f t="shared" si="112"/>
        <v>5.3682174509882899E-2</v>
      </c>
      <c r="G309" s="338">
        <f t="shared" si="113"/>
        <v>1</v>
      </c>
      <c r="H309" s="339">
        <f t="shared" si="114"/>
        <v>0</v>
      </c>
      <c r="I309" s="337">
        <f t="shared" si="115"/>
        <v>70533.55526268018</v>
      </c>
      <c r="J309" s="340">
        <f t="shared" si="116"/>
        <v>1.5707821491457434</v>
      </c>
      <c r="K309" s="348">
        <f t="shared" si="132"/>
        <v>34.823117323476012</v>
      </c>
      <c r="L309" s="349">
        <f t="shared" si="133"/>
        <v>1.5420758224863507</v>
      </c>
      <c r="M309" s="337">
        <f t="shared" si="117"/>
        <v>1.0024104148541724</v>
      </c>
      <c r="N309" s="340">
        <f t="shared" si="118"/>
        <v>6.9362569768511101E-2</v>
      </c>
      <c r="O309" s="341">
        <f t="shared" si="119"/>
        <v>0.99543722993387274</v>
      </c>
      <c r="P309" s="342">
        <f t="shared" si="120"/>
        <v>3.2204921380956653E-2</v>
      </c>
      <c r="Q309" s="343">
        <f t="shared" si="121"/>
        <v>-10.956058643340519</v>
      </c>
      <c r="R309" s="344">
        <f t="shared" si="122"/>
        <v>-93.910989636853301</v>
      </c>
      <c r="S309" s="346">
        <f t="shared" si="123"/>
        <v>86.089010363146699</v>
      </c>
      <c r="U309" s="319">
        <f t="shared" si="129"/>
        <v>21380</v>
      </c>
      <c r="V309" s="319">
        <f t="shared" si="130"/>
        <v>457104400</v>
      </c>
      <c r="X309" s="345">
        <f t="shared" si="124"/>
        <v>31.555750413979414</v>
      </c>
      <c r="Y309" s="346">
        <f t="shared" si="125"/>
        <v>-5.6189338732450587</v>
      </c>
      <c r="AA309" s="345">
        <f t="shared" si="126"/>
        <v>6.2361577466297122</v>
      </c>
      <c r="AB309" s="346">
        <f t="shared" si="127"/>
        <v>-88.292055763608246</v>
      </c>
      <c r="AD309">
        <f t="shared" si="131"/>
        <v>0</v>
      </c>
      <c r="AE309">
        <f t="shared" si="134"/>
        <v>0</v>
      </c>
    </row>
    <row r="310" spans="1:31" x14ac:dyDescent="0.2">
      <c r="A310" s="347">
        <v>21504.5</v>
      </c>
      <c r="B310" s="364">
        <f t="shared" si="128"/>
        <v>21.5045</v>
      </c>
      <c r="C310" s="337">
        <f t="shared" si="109"/>
        <v>120.71946171850639</v>
      </c>
      <c r="D310" s="338">
        <f t="shared" si="110"/>
        <v>1.5625125635752408</v>
      </c>
      <c r="E310" s="338">
        <f t="shared" si="111"/>
        <v>1.0014594580606155</v>
      </c>
      <c r="F310" s="339">
        <f t="shared" si="112"/>
        <v>5.3994171047672311E-2</v>
      </c>
      <c r="G310" s="338">
        <f t="shared" si="113"/>
        <v>1</v>
      </c>
      <c r="H310" s="339">
        <f t="shared" si="114"/>
        <v>0</v>
      </c>
      <c r="I310" s="337">
        <f t="shared" si="115"/>
        <v>70944.286208818798</v>
      </c>
      <c r="J310" s="340">
        <f t="shared" si="116"/>
        <v>1.5707822312270436</v>
      </c>
      <c r="K310" s="348">
        <f t="shared" si="132"/>
        <v>35.025732535654619</v>
      </c>
      <c r="L310" s="349">
        <f t="shared" si="133"/>
        <v>1.5422420088110498</v>
      </c>
      <c r="M310" s="337">
        <f t="shared" si="117"/>
        <v>1.00243853499774</v>
      </c>
      <c r="N310" s="340">
        <f t="shared" si="118"/>
        <v>6.9765176270302709E-2</v>
      </c>
      <c r="O310" s="341">
        <f t="shared" si="119"/>
        <v>0.9953839649142372</v>
      </c>
      <c r="P310" s="342">
        <f t="shared" si="120"/>
        <v>3.2394256480907643E-2</v>
      </c>
      <c r="Q310" s="343">
        <f t="shared" si="121"/>
        <v>-11.006162308460167</v>
      </c>
      <c r="R310" s="344">
        <f t="shared" si="122"/>
        <v>-93.920275941904521</v>
      </c>
      <c r="S310" s="346">
        <f t="shared" si="123"/>
        <v>86.079724058095479</v>
      </c>
      <c r="U310" s="319">
        <f t="shared" si="129"/>
        <v>21504.5</v>
      </c>
      <c r="V310" s="319">
        <f t="shared" si="130"/>
        <v>462443520.25</v>
      </c>
      <c r="X310" s="345">
        <f t="shared" si="124"/>
        <v>31.555465407545924</v>
      </c>
      <c r="Y310" s="346">
        <f t="shared" si="125"/>
        <v>-5.632484454511749</v>
      </c>
      <c r="AA310" s="345">
        <f t="shared" si="126"/>
        <v>6.1863390879435478</v>
      </c>
      <c r="AB310" s="346">
        <f t="shared" si="127"/>
        <v>-88.287791487392766</v>
      </c>
      <c r="AD310">
        <f t="shared" si="131"/>
        <v>0</v>
      </c>
      <c r="AE310">
        <f t="shared" si="134"/>
        <v>0</v>
      </c>
    </row>
    <row r="311" spans="1:31" x14ac:dyDescent="0.2">
      <c r="A311" s="347">
        <v>21629</v>
      </c>
      <c r="B311" s="364">
        <f t="shared" si="128"/>
        <v>21.629000000000001</v>
      </c>
      <c r="C311" s="337">
        <f t="shared" si="109"/>
        <v>121.41831752241899</v>
      </c>
      <c r="D311" s="338">
        <f t="shared" si="110"/>
        <v>1.5625602440850983</v>
      </c>
      <c r="E311" s="338">
        <f t="shared" si="111"/>
        <v>1.001476393510158</v>
      </c>
      <c r="F311" s="339">
        <f t="shared" si="112"/>
        <v>5.4306157063805857E-2</v>
      </c>
      <c r="G311" s="338">
        <f t="shared" si="113"/>
        <v>1</v>
      </c>
      <c r="H311" s="339">
        <f t="shared" si="114"/>
        <v>0</v>
      </c>
      <c r="I311" s="337">
        <f t="shared" si="115"/>
        <v>71355.017154957881</v>
      </c>
      <c r="J311" s="340">
        <f t="shared" si="116"/>
        <v>1.5707823123633975</v>
      </c>
      <c r="K311" s="348">
        <f t="shared" si="132"/>
        <v>35.228348704042951</v>
      </c>
      <c r="L311" s="349">
        <f t="shared" si="133"/>
        <v>1.5424062834959227</v>
      </c>
      <c r="M311" s="337">
        <f t="shared" si="117"/>
        <v>1.0024668176194389</v>
      </c>
      <c r="N311" s="340">
        <f t="shared" si="118"/>
        <v>7.0167760119852041E-2</v>
      </c>
      <c r="O311" s="341">
        <f t="shared" si="119"/>
        <v>0.99533039131355916</v>
      </c>
      <c r="P311" s="342">
        <f t="shared" si="120"/>
        <v>3.2583623112651262E-2</v>
      </c>
      <c r="Q311" s="343">
        <f t="shared" si="121"/>
        <v>-11.055972022326523</v>
      </c>
      <c r="R311" s="344">
        <f t="shared" si="122"/>
        <v>-93.929641018808937</v>
      </c>
      <c r="S311" s="346">
        <f t="shared" si="123"/>
        <v>86.070358981191063</v>
      </c>
      <c r="U311" s="319">
        <f t="shared" si="129"/>
        <v>21629</v>
      </c>
      <c r="V311" s="319">
        <f t="shared" si="130"/>
        <v>467813641</v>
      </c>
      <c r="X311" s="345">
        <f t="shared" si="124"/>
        <v>31.555179711741804</v>
      </c>
      <c r="Y311" s="346">
        <f t="shared" si="125"/>
        <v>-5.6461432126532483</v>
      </c>
      <c r="AA311" s="345">
        <f t="shared" si="126"/>
        <v>6.1368150698813215</v>
      </c>
      <c r="AB311" s="346">
        <f t="shared" si="127"/>
        <v>-88.28349780615568</v>
      </c>
      <c r="AD311">
        <f t="shared" si="131"/>
        <v>0</v>
      </c>
      <c r="AE311">
        <f t="shared" si="134"/>
        <v>0</v>
      </c>
    </row>
    <row r="312" spans="1:31" x14ac:dyDescent="0.2">
      <c r="A312" s="347">
        <v>21753.5</v>
      </c>
      <c r="B312" s="364">
        <f t="shared" si="128"/>
        <v>21.753499999999999</v>
      </c>
      <c r="C312" s="337">
        <f t="shared" si="109"/>
        <v>122.11717359920833</v>
      </c>
      <c r="D312" s="338">
        <f t="shared" si="110"/>
        <v>1.5626073788599604</v>
      </c>
      <c r="E312" s="338">
        <f t="shared" si="111"/>
        <v>1.0014934264353776</v>
      </c>
      <c r="F312" s="339">
        <f t="shared" si="112"/>
        <v>5.4618132498084372E-2</v>
      </c>
      <c r="G312" s="338">
        <f t="shared" si="113"/>
        <v>1</v>
      </c>
      <c r="H312" s="339">
        <f t="shared" si="114"/>
        <v>0</v>
      </c>
      <c r="I312" s="337">
        <f t="shared" si="115"/>
        <v>71765.74810109743</v>
      </c>
      <c r="J312" s="340">
        <f t="shared" si="116"/>
        <v>1.5707823925710296</v>
      </c>
      <c r="K312" s="348">
        <f t="shared" si="132"/>
        <v>35.430965812236416</v>
      </c>
      <c r="L312" s="349">
        <f t="shared" si="133"/>
        <v>1.5425686793279934</v>
      </c>
      <c r="M312" s="337">
        <f t="shared" si="117"/>
        <v>1.002495262705517</v>
      </c>
      <c r="N312" s="340">
        <f t="shared" si="118"/>
        <v>7.0570321188585264E-2</v>
      </c>
      <c r="O312" s="341">
        <f t="shared" si="119"/>
        <v>0.99527650914395838</v>
      </c>
      <c r="P312" s="342">
        <f t="shared" si="120"/>
        <v>3.2773021464203946E-2</v>
      </c>
      <c r="Q312" s="343">
        <f t="shared" si="121"/>
        <v>-11.105491141424293</v>
      </c>
      <c r="R312" s="344">
        <f t="shared" si="122"/>
        <v>-93.939083542987717</v>
      </c>
      <c r="S312" s="346">
        <f t="shared" si="123"/>
        <v>86.060916457012283</v>
      </c>
      <c r="U312" s="319">
        <f t="shared" si="129"/>
        <v>21753.5</v>
      </c>
      <c r="V312" s="319">
        <f t="shared" si="130"/>
        <v>473214762.25</v>
      </c>
      <c r="X312" s="345">
        <f t="shared" si="124"/>
        <v>31.554893310572204</v>
      </c>
      <c r="Y312" s="346">
        <f t="shared" si="125"/>
        <v>-5.6599082626743078</v>
      </c>
      <c r="AA312" s="345">
        <f t="shared" si="126"/>
        <v>6.0875823519531451</v>
      </c>
      <c r="AB312" s="346">
        <f t="shared" si="127"/>
        <v>-88.279175280313424</v>
      </c>
      <c r="AD312">
        <f t="shared" si="131"/>
        <v>0</v>
      </c>
      <c r="AE312">
        <f t="shared" si="134"/>
        <v>0</v>
      </c>
    </row>
    <row r="313" spans="1:31" x14ac:dyDescent="0.2">
      <c r="A313" s="347">
        <v>21878</v>
      </c>
      <c r="B313" s="364">
        <f t="shared" si="128"/>
        <v>21.878</v>
      </c>
      <c r="C313" s="337">
        <f t="shared" si="109"/>
        <v>122.8160299442162</v>
      </c>
      <c r="D313" s="338">
        <f t="shared" si="110"/>
        <v>1.5626539772157542</v>
      </c>
      <c r="E313" s="338">
        <f t="shared" si="111"/>
        <v>1.001510556831301</v>
      </c>
      <c r="F313" s="339">
        <f t="shared" si="112"/>
        <v>5.4930097290320994E-2</v>
      </c>
      <c r="G313" s="338">
        <f t="shared" si="113"/>
        <v>1</v>
      </c>
      <c r="H313" s="339">
        <f t="shared" si="114"/>
        <v>0</v>
      </c>
      <c r="I313" s="337">
        <f t="shared" si="115"/>
        <v>72176.479047237459</v>
      </c>
      <c r="J313" s="340">
        <f t="shared" si="116"/>
        <v>1.5707824718657946</v>
      </c>
      <c r="K313" s="348">
        <f t="shared" si="132"/>
        <v>35.633583844203457</v>
      </c>
      <c r="L313" s="349">
        <f t="shared" si="133"/>
        <v>1.5427292283489593</v>
      </c>
      <c r="M313" s="337">
        <f t="shared" si="117"/>
        <v>1.0025238702421457</v>
      </c>
      <c r="N313" s="340">
        <f t="shared" si="118"/>
        <v>7.0972859347972705E-2</v>
      </c>
      <c r="O313" s="341">
        <f t="shared" si="119"/>
        <v>0.99522231841762809</v>
      </c>
      <c r="P313" s="342">
        <f t="shared" si="120"/>
        <v>3.2962451723677864E-2</v>
      </c>
      <c r="Q313" s="343">
        <f t="shared" si="121"/>
        <v>-11.15472296459442</v>
      </c>
      <c r="R313" s="344">
        <f t="shared" si="122"/>
        <v>-93.948602220120847</v>
      </c>
      <c r="S313" s="346">
        <f t="shared" si="123"/>
        <v>86.051397779879153</v>
      </c>
      <c r="U313" s="319">
        <f t="shared" si="129"/>
        <v>21878</v>
      </c>
      <c r="V313" s="319">
        <f t="shared" si="130"/>
        <v>478646884</v>
      </c>
      <c r="X313" s="345">
        <f t="shared" si="124"/>
        <v>31.554606188503804</v>
      </c>
      <c r="Y313" s="346">
        <f t="shared" si="125"/>
        <v>-5.6737777622650887</v>
      </c>
      <c r="AA313" s="345">
        <f t="shared" si="126"/>
        <v>6.038637650851423</v>
      </c>
      <c r="AB313" s="346">
        <f t="shared" si="127"/>
        <v>-88.274824457855786</v>
      </c>
      <c r="AD313">
        <f t="shared" si="131"/>
        <v>0</v>
      </c>
      <c r="AE313">
        <f t="shared" si="134"/>
        <v>0</v>
      </c>
    </row>
    <row r="314" spans="1:31" x14ac:dyDescent="0.2">
      <c r="A314" s="347">
        <v>22005.25</v>
      </c>
      <c r="B314" s="364">
        <f t="shared" si="128"/>
        <v>22.00525</v>
      </c>
      <c r="C314" s="337">
        <f t="shared" si="109"/>
        <v>123.53032314758987</v>
      </c>
      <c r="D314" s="338">
        <f t="shared" si="110"/>
        <v>1.5627010600067348</v>
      </c>
      <c r="E314" s="338">
        <f t="shared" si="111"/>
        <v>1.0015281663281896</v>
      </c>
      <c r="F314" s="339">
        <f t="shared" si="112"/>
        <v>5.524894181126476E-2</v>
      </c>
      <c r="G314" s="338">
        <f t="shared" si="113"/>
        <v>1</v>
      </c>
      <c r="H314" s="339">
        <f t="shared" si="114"/>
        <v>0</v>
      </c>
      <c r="I314" s="337">
        <f t="shared" si="115"/>
        <v>72596.282363674196</v>
      </c>
      <c r="J314" s="340">
        <f t="shared" si="116"/>
        <v>1.5707825519848448</v>
      </c>
      <c r="K314" s="348">
        <f t="shared" si="132"/>
        <v>35.840678313165228</v>
      </c>
      <c r="L314" s="349">
        <f t="shared" si="133"/>
        <v>1.5428914477791871</v>
      </c>
      <c r="M314" s="337">
        <f t="shared" si="117"/>
        <v>1.0025532775302546</v>
      </c>
      <c r="N314" s="340">
        <f t="shared" si="118"/>
        <v>7.1384265104757011E-2</v>
      </c>
      <c r="O314" s="341">
        <f t="shared" si="119"/>
        <v>0.99516661186488586</v>
      </c>
      <c r="P314" s="342">
        <f t="shared" si="120"/>
        <v>3.3156099354488239E-2</v>
      </c>
      <c r="Q314" s="343">
        <f t="shared" si="121"/>
        <v>-11.204748727906681</v>
      </c>
      <c r="R314" s="344">
        <f t="shared" si="122"/>
        <v>-93.958408527237637</v>
      </c>
      <c r="S314" s="346">
        <f t="shared" si="123"/>
        <v>86.041591472762363</v>
      </c>
      <c r="U314" s="319">
        <f t="shared" si="129"/>
        <v>22005.25</v>
      </c>
      <c r="V314" s="319">
        <f t="shared" si="130"/>
        <v>484231027.5625</v>
      </c>
      <c r="X314" s="345">
        <f t="shared" si="124"/>
        <v>31.554311963718582</v>
      </c>
      <c r="Y314" s="346">
        <f t="shared" si="125"/>
        <v>-5.6880596775888952</v>
      </c>
      <c r="AA314" s="345">
        <f t="shared" si="126"/>
        <v>5.9889061123243792</v>
      </c>
      <c r="AB314" s="346">
        <f t="shared" si="127"/>
        <v>-88.270348849648741</v>
      </c>
      <c r="AD314">
        <f t="shared" si="131"/>
        <v>0</v>
      </c>
      <c r="AE314">
        <f t="shared" si="134"/>
        <v>0</v>
      </c>
    </row>
    <row r="315" spans="1:31" x14ac:dyDescent="0.2">
      <c r="A315" s="347">
        <v>22132.5</v>
      </c>
      <c r="B315" s="364">
        <f t="shared" si="128"/>
        <v>22.1325</v>
      </c>
      <c r="C315" s="337">
        <f t="shared" si="109"/>
        <v>124.24461662165558</v>
      </c>
      <c r="D315" s="338">
        <f t="shared" si="110"/>
        <v>1.562747601431419</v>
      </c>
      <c r="E315" s="338">
        <f t="shared" si="111"/>
        <v>1.0015458776386763</v>
      </c>
      <c r="F315" s="339">
        <f t="shared" si="112"/>
        <v>5.5567775087744804E-2</v>
      </c>
      <c r="G315" s="338">
        <f t="shared" si="113"/>
        <v>1</v>
      </c>
      <c r="H315" s="339">
        <f t="shared" si="114"/>
        <v>0</v>
      </c>
      <c r="I315" s="337">
        <f t="shared" si="115"/>
        <v>73016.085680111399</v>
      </c>
      <c r="J315" s="340">
        <f t="shared" si="116"/>
        <v>1.5707826311826119</v>
      </c>
      <c r="K315" s="348">
        <f t="shared" si="132"/>
        <v>36.047773714442762</v>
      </c>
      <c r="L315" s="349">
        <f t="shared" si="133"/>
        <v>1.5430518033038689</v>
      </c>
      <c r="M315" s="337">
        <f t="shared" si="117"/>
        <v>1.0025828544952433</v>
      </c>
      <c r="N315" s="340">
        <f t="shared" si="118"/>
        <v>7.1795646657593928E-2</v>
      </c>
      <c r="O315" s="341">
        <f t="shared" si="119"/>
        <v>0.99511058299984145</v>
      </c>
      <c r="P315" s="342">
        <f t="shared" si="120"/>
        <v>3.3349780716051727E-2</v>
      </c>
      <c r="Q315" s="343">
        <f t="shared" si="121"/>
        <v>-11.254481153192064</v>
      </c>
      <c r="R315" s="344">
        <f t="shared" si="122"/>
        <v>-93.968291747592176</v>
      </c>
      <c r="S315" s="346">
        <f t="shared" si="123"/>
        <v>86.031708252407824</v>
      </c>
      <c r="U315" s="319">
        <f t="shared" si="129"/>
        <v>22132.5</v>
      </c>
      <c r="V315" s="319">
        <f t="shared" si="130"/>
        <v>489847556.25</v>
      </c>
      <c r="X315" s="345">
        <f t="shared" si="124"/>
        <v>31.554016954432051</v>
      </c>
      <c r="Y315" s="346">
        <f t="shared" si="125"/>
        <v>-5.702446947264356</v>
      </c>
      <c r="AA315" s="345">
        <f t="shared" si="126"/>
        <v>5.9394686963255285</v>
      </c>
      <c r="AB315" s="346">
        <f t="shared" si="127"/>
        <v>-88.265844800327827</v>
      </c>
      <c r="AD315">
        <f t="shared" si="131"/>
        <v>0</v>
      </c>
      <c r="AE315">
        <f t="shared" si="134"/>
        <v>0</v>
      </c>
    </row>
    <row r="316" spans="1:31" x14ac:dyDescent="0.2">
      <c r="A316" s="347">
        <v>22259.75</v>
      </c>
      <c r="B316" s="364">
        <f t="shared" si="128"/>
        <v>22.25975</v>
      </c>
      <c r="C316" s="337">
        <f t="shared" si="109"/>
        <v>124.95891036177129</v>
      </c>
      <c r="D316" s="338">
        <f t="shared" si="110"/>
        <v>1.5627936107733242</v>
      </c>
      <c r="E316" s="338">
        <f t="shared" si="111"/>
        <v>1.0015636907573604</v>
      </c>
      <c r="F316" s="339">
        <f t="shared" si="112"/>
        <v>5.5886597055537605E-2</v>
      </c>
      <c r="G316" s="338">
        <f t="shared" si="113"/>
        <v>1</v>
      </c>
      <c r="H316" s="339">
        <f t="shared" si="114"/>
        <v>0</v>
      </c>
      <c r="I316" s="337">
        <f t="shared" si="115"/>
        <v>73435.888996549053</v>
      </c>
      <c r="J316" s="340">
        <f t="shared" si="116"/>
        <v>1.5707827094748956</v>
      </c>
      <c r="K316" s="348">
        <f t="shared" si="132"/>
        <v>36.254870032059308</v>
      </c>
      <c r="L316" s="349">
        <f t="shared" si="133"/>
        <v>1.5432103268558834</v>
      </c>
      <c r="M316" s="337">
        <f t="shared" si="117"/>
        <v>1.0026126011220953</v>
      </c>
      <c r="N316" s="340">
        <f t="shared" si="118"/>
        <v>7.2207003869391564E-2</v>
      </c>
      <c r="O316" s="341">
        <f t="shared" si="119"/>
        <v>0.99505423183575137</v>
      </c>
      <c r="P316" s="342">
        <f t="shared" si="120"/>
        <v>3.3543496009536898E-2</v>
      </c>
      <c r="Q316" s="343">
        <f t="shared" si="121"/>
        <v>-11.303923584487631</v>
      </c>
      <c r="R316" s="344">
        <f t="shared" si="122"/>
        <v>-93.978250591727999</v>
      </c>
      <c r="S316" s="346">
        <f t="shared" si="123"/>
        <v>86.021749408272001</v>
      </c>
      <c r="U316" s="319">
        <f t="shared" si="129"/>
        <v>22259.75</v>
      </c>
      <c r="V316" s="319">
        <f t="shared" si="130"/>
        <v>495496470.0625</v>
      </c>
      <c r="X316" s="345">
        <f t="shared" si="124"/>
        <v>31.553721145454276</v>
      </c>
      <c r="Y316" s="346">
        <f t="shared" si="125"/>
        <v>-5.7169377347227623</v>
      </c>
      <c r="AA316" s="345">
        <f t="shared" si="126"/>
        <v>5.8903220740077336</v>
      </c>
      <c r="AB316" s="346">
        <f t="shared" si="127"/>
        <v>-88.261312857005251</v>
      </c>
      <c r="AD316">
        <f t="shared" si="131"/>
        <v>0</v>
      </c>
      <c r="AE316">
        <f t="shared" si="134"/>
        <v>0</v>
      </c>
    </row>
    <row r="317" spans="1:31" x14ac:dyDescent="0.2">
      <c r="A317" s="347">
        <v>22387</v>
      </c>
      <c r="B317" s="364">
        <f t="shared" si="128"/>
        <v>22.387</v>
      </c>
      <c r="C317" s="337">
        <f t="shared" si="109"/>
        <v>125.67320436340053</v>
      </c>
      <c r="D317" s="338">
        <f t="shared" si="110"/>
        <v>1.5628390971049169</v>
      </c>
      <c r="E317" s="338">
        <f t="shared" si="111"/>
        <v>1.0015816056788092</v>
      </c>
      <c r="F317" s="339">
        <f t="shared" si="112"/>
        <v>5.6205407650433394E-2</v>
      </c>
      <c r="G317" s="338">
        <f t="shared" si="113"/>
        <v>1</v>
      </c>
      <c r="H317" s="339">
        <f t="shared" si="114"/>
        <v>0</v>
      </c>
      <c r="I317" s="337">
        <f t="shared" si="115"/>
        <v>73855.692312987143</v>
      </c>
      <c r="J317" s="340">
        <f t="shared" si="116"/>
        <v>1.5707827868771365</v>
      </c>
      <c r="K317" s="348">
        <f t="shared" si="132"/>
        <v>36.46196725040101</v>
      </c>
      <c r="L317" s="349">
        <f t="shared" si="133"/>
        <v>1.5433670496429903</v>
      </c>
      <c r="M317" s="337">
        <f t="shared" si="117"/>
        <v>1.0026425173957101</v>
      </c>
      <c r="N317" s="340">
        <f t="shared" si="118"/>
        <v>7.2618336603107195E-2</v>
      </c>
      <c r="O317" s="341">
        <f t="shared" si="119"/>
        <v>0.99499755838595227</v>
      </c>
      <c r="P317" s="342">
        <f t="shared" si="120"/>
        <v>3.3737245436219358E-2</v>
      </c>
      <c r="Q317" s="343">
        <f t="shared" si="121"/>
        <v>-11.353079308473051</v>
      </c>
      <c r="R317" s="344">
        <f t="shared" si="122"/>
        <v>-93.988283799630111</v>
      </c>
      <c r="S317" s="346">
        <f t="shared" si="123"/>
        <v>86.011716200369889</v>
      </c>
      <c r="U317" s="319">
        <f t="shared" si="129"/>
        <v>22387</v>
      </c>
      <c r="V317" s="319">
        <f t="shared" si="130"/>
        <v>501177769</v>
      </c>
      <c r="X317" s="345">
        <f t="shared" si="124"/>
        <v>31.553424522034259</v>
      </c>
      <c r="Y317" s="346">
        <f t="shared" si="125"/>
        <v>-5.7315302449238938</v>
      </c>
      <c r="AA317" s="345">
        <f t="shared" si="126"/>
        <v>5.8414629734423364</v>
      </c>
      <c r="AB317" s="346">
        <f t="shared" si="127"/>
        <v>-88.256753554706222</v>
      </c>
      <c r="AD317">
        <f t="shared" si="131"/>
        <v>0</v>
      </c>
      <c r="AE317">
        <f t="shared" si="134"/>
        <v>0</v>
      </c>
    </row>
    <row r="318" spans="1:31" x14ac:dyDescent="0.2">
      <c r="A318" s="347">
        <v>22517.5</v>
      </c>
      <c r="B318" s="364">
        <f t="shared" si="128"/>
        <v>22.517499999999998</v>
      </c>
      <c r="C318" s="337">
        <f t="shared" si="109"/>
        <v>126.40574189727106</v>
      </c>
      <c r="D318" s="338">
        <f t="shared" si="110"/>
        <v>1.5628852112393463</v>
      </c>
      <c r="E318" s="338">
        <f t="shared" si="111"/>
        <v>1.0016000838826316</v>
      </c>
      <c r="F318" s="339">
        <f t="shared" si="112"/>
        <v>5.6532348876060907E-2</v>
      </c>
      <c r="G318" s="338">
        <f t="shared" si="113"/>
        <v>1</v>
      </c>
      <c r="H318" s="339">
        <f t="shared" si="114"/>
        <v>0</v>
      </c>
      <c r="I318" s="337">
        <f t="shared" si="115"/>
        <v>74286.217521594066</v>
      </c>
      <c r="J318" s="340">
        <f t="shared" si="116"/>
        <v>1.570782865347627</v>
      </c>
      <c r="K318" s="348">
        <f t="shared" si="132"/>
        <v>36.674354708203722</v>
      </c>
      <c r="L318" s="349">
        <f t="shared" si="133"/>
        <v>1.543525936779659</v>
      </c>
      <c r="M318" s="337">
        <f t="shared" si="117"/>
        <v>1.0026733739246061</v>
      </c>
      <c r="N318" s="340">
        <f t="shared" si="118"/>
        <v>7.3040149320650366E-2</v>
      </c>
      <c r="O318" s="341">
        <f t="shared" si="119"/>
        <v>0.99493910275699016</v>
      </c>
      <c r="P318" s="342">
        <f t="shared" si="120"/>
        <v>3.3935978939482185E-2</v>
      </c>
      <c r="Q318" s="343">
        <f t="shared" si="121"/>
        <v>-11.403196082119054</v>
      </c>
      <c r="R318" s="344">
        <f t="shared" si="122"/>
        <v>-93.99864920566624</v>
      </c>
      <c r="S318" s="346">
        <f t="shared" si="123"/>
        <v>86.00135079433376</v>
      </c>
      <c r="U318" s="319">
        <f t="shared" si="129"/>
        <v>22517.5</v>
      </c>
      <c r="V318" s="319">
        <f t="shared" si="130"/>
        <v>507037806.25</v>
      </c>
      <c r="X318" s="345">
        <f t="shared" si="124"/>
        <v>31.553119461856731</v>
      </c>
      <c r="Y318" s="346">
        <f t="shared" si="125"/>
        <v>-5.7465992670791648</v>
      </c>
      <c r="AA318" s="345">
        <f t="shared" si="126"/>
        <v>5.7916512599738557</v>
      </c>
      <c r="AB318" s="346">
        <f t="shared" si="127"/>
        <v>-88.252049938587078</v>
      </c>
      <c r="AD318">
        <f t="shared" si="131"/>
        <v>0</v>
      </c>
      <c r="AE318">
        <f t="shared" si="134"/>
        <v>0</v>
      </c>
    </row>
    <row r="319" spans="1:31" x14ac:dyDescent="0.2">
      <c r="A319" s="347">
        <v>22648</v>
      </c>
      <c r="B319" s="364">
        <f t="shared" si="128"/>
        <v>22.648</v>
      </c>
      <c r="C319" s="337">
        <f t="shared" si="109"/>
        <v>127.13827969684753</v>
      </c>
      <c r="D319" s="338">
        <f t="shared" si="110"/>
        <v>1.562930793978502</v>
      </c>
      <c r="E319" s="338">
        <f t="shared" si="111"/>
        <v>1.0016186691440956</v>
      </c>
      <c r="F319" s="339">
        <f t="shared" si="112"/>
        <v>5.6859278003695883E-2</v>
      </c>
      <c r="G319" s="338">
        <f t="shared" si="113"/>
        <v>1</v>
      </c>
      <c r="H319" s="339">
        <f t="shared" si="114"/>
        <v>0</v>
      </c>
      <c r="I319" s="337">
        <f t="shared" si="115"/>
        <v>74716.74273020144</v>
      </c>
      <c r="J319" s="340">
        <f t="shared" si="116"/>
        <v>1.570782942913808</v>
      </c>
      <c r="K319" s="348">
        <f t="shared" si="132"/>
        <v>36.886743081193231</v>
      </c>
      <c r="L319" s="349">
        <f t="shared" si="133"/>
        <v>1.5436829942233161</v>
      </c>
      <c r="M319" s="337">
        <f t="shared" si="117"/>
        <v>1.0027044088441348</v>
      </c>
      <c r="N319" s="340">
        <f t="shared" si="118"/>
        <v>7.3461936002004416E-2</v>
      </c>
      <c r="O319" s="341">
        <f t="shared" si="119"/>
        <v>0.99488030819823003</v>
      </c>
      <c r="P319" s="342">
        <f t="shared" si="120"/>
        <v>3.413474877088124E-2</v>
      </c>
      <c r="Q319" s="343">
        <f t="shared" si="121"/>
        <v>-11.453018138483536</v>
      </c>
      <c r="R319" s="344">
        <f t="shared" si="122"/>
        <v>-94.00909022971932</v>
      </c>
      <c r="S319" s="346">
        <f t="shared" si="123"/>
        <v>85.99090977028068</v>
      </c>
      <c r="U319" s="319">
        <f t="shared" si="129"/>
        <v>22648</v>
      </c>
      <c r="V319" s="319">
        <f t="shared" si="130"/>
        <v>512931904</v>
      </c>
      <c r="X319" s="345">
        <f t="shared" si="124"/>
        <v>31.552813515032227</v>
      </c>
      <c r="Y319" s="346">
        <f t="shared" si="125"/>
        <v>-5.7617715793450586</v>
      </c>
      <c r="AA319" s="345">
        <f t="shared" si="126"/>
        <v>5.7421351504338825</v>
      </c>
      <c r="AB319" s="346">
        <f t="shared" si="127"/>
        <v>-88.247318650374254</v>
      </c>
      <c r="AD319">
        <f t="shared" si="131"/>
        <v>0</v>
      </c>
      <c r="AE319">
        <f t="shared" si="134"/>
        <v>0</v>
      </c>
    </row>
    <row r="320" spans="1:31" x14ac:dyDescent="0.2">
      <c r="A320" s="347">
        <v>22778.5</v>
      </c>
      <c r="B320" s="364">
        <f t="shared" si="128"/>
        <v>22.778500000000001</v>
      </c>
      <c r="C320" s="337">
        <f t="shared" si="109"/>
        <v>127.87081775756349</v>
      </c>
      <c r="D320" s="338">
        <f t="shared" si="110"/>
        <v>1.5629758544548618</v>
      </c>
      <c r="E320" s="338">
        <f t="shared" si="111"/>
        <v>1.0016373614572425</v>
      </c>
      <c r="F320" s="339">
        <f t="shared" si="112"/>
        <v>5.7186194964127572E-2</v>
      </c>
      <c r="G320" s="338">
        <f t="shared" si="113"/>
        <v>1</v>
      </c>
      <c r="H320" s="339">
        <f t="shared" si="114"/>
        <v>0</v>
      </c>
      <c r="I320" s="337">
        <f t="shared" si="115"/>
        <v>75147.267938809237</v>
      </c>
      <c r="J320" s="340">
        <f t="shared" si="116"/>
        <v>1.5707830195912222</v>
      </c>
      <c r="K320" s="348">
        <f t="shared" si="132"/>
        <v>37.09913235365152</v>
      </c>
      <c r="L320" s="349">
        <f t="shared" si="133"/>
        <v>1.543838253390641</v>
      </c>
      <c r="M320" s="337">
        <f t="shared" si="117"/>
        <v>1.0027356221377328</v>
      </c>
      <c r="N320" s="340">
        <f t="shared" si="118"/>
        <v>7.3883696499518772E-2</v>
      </c>
      <c r="O320" s="341">
        <f t="shared" si="119"/>
        <v>0.99482117472431997</v>
      </c>
      <c r="P320" s="342">
        <f t="shared" si="120"/>
        <v>3.4333555147866374E-2</v>
      </c>
      <c r="Q320" s="343">
        <f t="shared" si="121"/>
        <v>-11.502548843072123</v>
      </c>
      <c r="R320" s="344">
        <f t="shared" si="122"/>
        <v>-94.019605603853861</v>
      </c>
      <c r="S320" s="346">
        <f t="shared" si="123"/>
        <v>85.980394396146139</v>
      </c>
      <c r="U320" s="319">
        <f t="shared" si="129"/>
        <v>22778.5</v>
      </c>
      <c r="V320" s="319">
        <f t="shared" si="130"/>
        <v>518860062.25</v>
      </c>
      <c r="X320" s="345">
        <f t="shared" si="124"/>
        <v>31.552506666993555</v>
      </c>
      <c r="Y320" s="346">
        <f t="shared" si="125"/>
        <v>-5.7770453741092194</v>
      </c>
      <c r="AA320" s="345">
        <f t="shared" si="126"/>
        <v>5.6929112938839666</v>
      </c>
      <c r="AB320" s="346">
        <f t="shared" si="127"/>
        <v>-88.24256022974464</v>
      </c>
      <c r="AD320">
        <f t="shared" si="131"/>
        <v>0</v>
      </c>
      <c r="AE320">
        <f t="shared" si="134"/>
        <v>0</v>
      </c>
    </row>
    <row r="321" spans="1:31" x14ac:dyDescent="0.2">
      <c r="A321" s="347">
        <v>22909</v>
      </c>
      <c r="B321" s="364">
        <f t="shared" si="128"/>
        <v>22.908999999999999</v>
      </c>
      <c r="C321" s="337">
        <f t="shared" si="109"/>
        <v>128.60335607495651</v>
      </c>
      <c r="D321" s="338">
        <f t="shared" si="110"/>
        <v>1.5630204015928331</v>
      </c>
      <c r="E321" s="338">
        <f t="shared" si="111"/>
        <v>1.0016561608160788</v>
      </c>
      <c r="F321" s="339">
        <f t="shared" si="112"/>
        <v>5.7513099688160832E-2</v>
      </c>
      <c r="G321" s="338">
        <f t="shared" si="113"/>
        <v>1</v>
      </c>
      <c r="H321" s="339">
        <f t="shared" si="114"/>
        <v>0</v>
      </c>
      <c r="I321" s="337">
        <f t="shared" si="115"/>
        <v>75577.793147417484</v>
      </c>
      <c r="J321" s="340">
        <f t="shared" si="116"/>
        <v>1.5707830953950583</v>
      </c>
      <c r="K321" s="348">
        <f t="shared" si="132"/>
        <v>37.311522510218374</v>
      </c>
      <c r="L321" s="349">
        <f t="shared" si="133"/>
        <v>1.5439917449833258</v>
      </c>
      <c r="M321" s="337">
        <f t="shared" si="117"/>
        <v>1.0027670137887428</v>
      </c>
      <c r="N321" s="340">
        <f t="shared" si="118"/>
        <v>7.4305430665598429E-2</v>
      </c>
      <c r="O321" s="341">
        <f t="shared" si="119"/>
        <v>0.99476170234999717</v>
      </c>
      <c r="P321" s="342">
        <f t="shared" si="120"/>
        <v>3.453239828800872E-2</v>
      </c>
      <c r="Q321" s="343">
        <f t="shared" si="121"/>
        <v>-11.551791503544981</v>
      </c>
      <c r="R321" s="344">
        <f t="shared" si="122"/>
        <v>-94.030194089167523</v>
      </c>
      <c r="S321" s="346">
        <f t="shared" si="123"/>
        <v>85.969805910832477</v>
      </c>
      <c r="U321" s="319">
        <f t="shared" si="129"/>
        <v>22909</v>
      </c>
      <c r="V321" s="319">
        <f t="shared" si="130"/>
        <v>524822281</v>
      </c>
      <c r="X321" s="345">
        <f t="shared" si="124"/>
        <v>31.55219890359669</v>
      </c>
      <c r="Y321" s="346">
        <f t="shared" si="125"/>
        <v>-5.7924188847079066</v>
      </c>
      <c r="AA321" s="345">
        <f t="shared" si="126"/>
        <v>5.6439763968079726</v>
      </c>
      <c r="AB321" s="346">
        <f t="shared" si="127"/>
        <v>-88.237775204459609</v>
      </c>
      <c r="AD321">
        <f t="shared" si="131"/>
        <v>0</v>
      </c>
      <c r="AE321">
        <f t="shared" si="134"/>
        <v>0</v>
      </c>
    </row>
    <row r="322" spans="1:31" x14ac:dyDescent="0.2">
      <c r="A322" s="347">
        <v>23042.25</v>
      </c>
      <c r="B322" s="364">
        <f t="shared" si="128"/>
        <v>23.042249999999999</v>
      </c>
      <c r="C322" s="337">
        <f t="shared" si="109"/>
        <v>129.35133128387508</v>
      </c>
      <c r="D322" s="338">
        <f t="shared" si="110"/>
        <v>1.5630653668470231</v>
      </c>
      <c r="E322" s="338">
        <f t="shared" si="111"/>
        <v>1.0016754667768086</v>
      </c>
      <c r="F322" s="339">
        <f t="shared" si="112"/>
        <v>5.7846880511279758E-2</v>
      </c>
      <c r="G322" s="338">
        <f t="shared" si="113"/>
        <v>1</v>
      </c>
      <c r="H322" s="339">
        <f t="shared" si="114"/>
        <v>0</v>
      </c>
      <c r="I322" s="337">
        <f t="shared" si="115"/>
        <v>76017.390726322512</v>
      </c>
      <c r="J322" s="340">
        <f t="shared" si="116"/>
        <v>1.5707831719103305</v>
      </c>
      <c r="K322" s="348">
        <f t="shared" si="132"/>
        <v>37.528389218079049</v>
      </c>
      <c r="L322" s="349">
        <f t="shared" si="133"/>
        <v>1.5441466784103164</v>
      </c>
      <c r="M322" s="337">
        <f t="shared" si="117"/>
        <v>1.0027992509669825</v>
      </c>
      <c r="N322" s="340">
        <f t="shared" si="118"/>
        <v>7.4736024627219275E-2</v>
      </c>
      <c r="O322" s="341">
        <f t="shared" si="119"/>
        <v>0.99470062705378448</v>
      </c>
      <c r="P322" s="342">
        <f t="shared" si="120"/>
        <v>3.4735469768839934E-2</v>
      </c>
      <c r="Q322" s="343">
        <f t="shared" si="121"/>
        <v>-11.601778009569991</v>
      </c>
      <c r="R322" s="344">
        <f t="shared" si="122"/>
        <v>-94.041079884028548</v>
      </c>
      <c r="S322" s="346">
        <f t="shared" si="123"/>
        <v>85.958920115971452</v>
      </c>
      <c r="U322" s="319">
        <f t="shared" si="129"/>
        <v>23042.25</v>
      </c>
      <c r="V322" s="319">
        <f t="shared" si="130"/>
        <v>530945285.0625</v>
      </c>
      <c r="X322" s="345">
        <f t="shared" si="124"/>
        <v>31.551883695999344</v>
      </c>
      <c r="Y322" s="346">
        <f t="shared" si="125"/>
        <v>-5.8082174539407587</v>
      </c>
      <c r="AA322" s="345">
        <f t="shared" si="126"/>
        <v>5.5943050983803104</v>
      </c>
      <c r="AB322" s="346">
        <f t="shared" si="127"/>
        <v>-88.232862430087806</v>
      </c>
      <c r="AD322">
        <f t="shared" si="131"/>
        <v>0</v>
      </c>
      <c r="AE322">
        <f t="shared" si="134"/>
        <v>0</v>
      </c>
    </row>
    <row r="323" spans="1:31" x14ac:dyDescent="0.2">
      <c r="A323" s="347">
        <v>23175.5</v>
      </c>
      <c r="B323" s="364">
        <f t="shared" si="128"/>
        <v>23.1755</v>
      </c>
      <c r="C323" s="337">
        <f t="shared" si="109"/>
        <v>130.09930675131852</v>
      </c>
      <c r="D323" s="338">
        <f t="shared" si="110"/>
        <v>1.5631098150669251</v>
      </c>
      <c r="E323" s="338">
        <f t="shared" si="111"/>
        <v>1.0016948843295306</v>
      </c>
      <c r="F323" s="339">
        <f t="shared" si="112"/>
        <v>5.8180648431101614E-2</v>
      </c>
      <c r="G323" s="338">
        <f t="shared" si="113"/>
        <v>1</v>
      </c>
      <c r="H323" s="339">
        <f t="shared" si="114"/>
        <v>0</v>
      </c>
      <c r="I323" s="337">
        <f t="shared" si="115"/>
        <v>76456.988305227977</v>
      </c>
      <c r="J323" s="340">
        <f t="shared" si="116"/>
        <v>1.5707832475457371</v>
      </c>
      <c r="K323" s="348">
        <f t="shared" si="132"/>
        <v>37.745256816433255</v>
      </c>
      <c r="L323" s="349">
        <f t="shared" si="133"/>
        <v>1.5442998314826704</v>
      </c>
      <c r="M323" s="337">
        <f t="shared" si="117"/>
        <v>1.0028316740634204</v>
      </c>
      <c r="N323" s="340">
        <f t="shared" si="118"/>
        <v>7.5166590825132371E-2</v>
      </c>
      <c r="O323" s="341">
        <f t="shared" si="119"/>
        <v>0.99463919845484439</v>
      </c>
      <c r="P323" s="342">
        <f t="shared" si="120"/>
        <v>3.4938580037403362E-2</v>
      </c>
      <c r="Q323" s="343">
        <f t="shared" si="121"/>
        <v>-11.65147099478104</v>
      </c>
      <c r="R323" s="344">
        <f t="shared" si="122"/>
        <v>-94.052039382335778</v>
      </c>
      <c r="S323" s="346">
        <f t="shared" si="123"/>
        <v>85.947960617664222</v>
      </c>
      <c r="U323" s="319">
        <f t="shared" si="129"/>
        <v>23175.5</v>
      </c>
      <c r="V323" s="319">
        <f t="shared" si="130"/>
        <v>537103800.25</v>
      </c>
      <c r="X323" s="345">
        <f t="shared" si="124"/>
        <v>31.551567505543389</v>
      </c>
      <c r="Y323" s="346">
        <f t="shared" si="125"/>
        <v>-5.8241163888245797</v>
      </c>
      <c r="AA323" s="345">
        <f t="shared" si="126"/>
        <v>5.544928303625217</v>
      </c>
      <c r="AB323" s="346">
        <f t="shared" si="127"/>
        <v>-88.227922993511214</v>
      </c>
      <c r="AD323">
        <f t="shared" si="131"/>
        <v>0</v>
      </c>
      <c r="AE323">
        <f t="shared" si="134"/>
        <v>0</v>
      </c>
    </row>
    <row r="324" spans="1:31" x14ac:dyDescent="0.2">
      <c r="A324" s="347">
        <v>23308.75</v>
      </c>
      <c r="B324" s="364">
        <f t="shared" si="128"/>
        <v>23.30875</v>
      </c>
      <c r="C324" s="337">
        <f t="shared" si="109"/>
        <v>130.84728247285338</v>
      </c>
      <c r="D324" s="338">
        <f t="shared" si="110"/>
        <v>1.5631537551190899</v>
      </c>
      <c r="E324" s="338">
        <f t="shared" si="111"/>
        <v>1.0017144134677554</v>
      </c>
      <c r="F324" s="339">
        <f t="shared" si="112"/>
        <v>5.8514403374014749E-2</v>
      </c>
      <c r="G324" s="338">
        <f t="shared" si="113"/>
        <v>1</v>
      </c>
      <c r="H324" s="339">
        <f t="shared" si="114"/>
        <v>0</v>
      </c>
      <c r="I324" s="337">
        <f t="shared" si="115"/>
        <v>76896.585884133892</v>
      </c>
      <c r="J324" s="340">
        <f t="shared" si="116"/>
        <v>1.5707833223163683</v>
      </c>
      <c r="K324" s="348">
        <f t="shared" si="132"/>
        <v>37.962125290019529</v>
      </c>
      <c r="L324" s="349">
        <f t="shared" si="133"/>
        <v>1.5444512347053514</v>
      </c>
      <c r="M324" s="337">
        <f t="shared" si="117"/>
        <v>1.0028642830600241</v>
      </c>
      <c r="N324" s="340">
        <f t="shared" si="118"/>
        <v>7.5597129102395327E-2</v>
      </c>
      <c r="O324" s="341">
        <f t="shared" si="119"/>
        <v>0.99457741656915311</v>
      </c>
      <c r="P324" s="342">
        <f t="shared" si="120"/>
        <v>3.5141729325712939E-2</v>
      </c>
      <c r="Q324" s="343">
        <f t="shared" si="121"/>
        <v>-11.70087380211587</v>
      </c>
      <c r="R324" s="344">
        <f t="shared" si="122"/>
        <v>-94.063071353682986</v>
      </c>
      <c r="S324" s="346">
        <f t="shared" si="123"/>
        <v>85.936928646317014</v>
      </c>
      <c r="U324" s="319">
        <f t="shared" si="129"/>
        <v>23308.75</v>
      </c>
      <c r="V324" s="319">
        <f t="shared" si="130"/>
        <v>543297826.5625</v>
      </c>
      <c r="X324" s="345">
        <f t="shared" si="124"/>
        <v>31.55125031844678</v>
      </c>
      <c r="Y324" s="346">
        <f t="shared" si="125"/>
        <v>-5.8401139334261574</v>
      </c>
      <c r="AA324" s="345">
        <f t="shared" si="126"/>
        <v>5.4958426833869929</v>
      </c>
      <c r="AB324" s="346">
        <f t="shared" si="127"/>
        <v>-88.222957420256833</v>
      </c>
      <c r="AD324">
        <f t="shared" si="131"/>
        <v>0</v>
      </c>
      <c r="AE324">
        <f t="shared" si="134"/>
        <v>0</v>
      </c>
    </row>
    <row r="325" spans="1:31" x14ac:dyDescent="0.2">
      <c r="A325" s="347">
        <v>23442</v>
      </c>
      <c r="B325" s="364">
        <f t="shared" si="128"/>
        <v>23.442</v>
      </c>
      <c r="C325" s="337">
        <f t="shared" si="109"/>
        <v>131.59525844414688</v>
      </c>
      <c r="D325" s="338">
        <f t="shared" si="110"/>
        <v>1.5631971956684896</v>
      </c>
      <c r="E325" s="338">
        <f t="shared" si="111"/>
        <v>1.0017340541849566</v>
      </c>
      <c r="F325" s="339">
        <f t="shared" si="112"/>
        <v>5.8848145266424817E-2</v>
      </c>
      <c r="G325" s="338">
        <f t="shared" si="113"/>
        <v>1</v>
      </c>
      <c r="H325" s="339">
        <f t="shared" si="114"/>
        <v>0</v>
      </c>
      <c r="I325" s="337">
        <f t="shared" si="115"/>
        <v>77336.183463040215</v>
      </c>
      <c r="J325" s="340">
        <f t="shared" si="116"/>
        <v>1.5707833962369708</v>
      </c>
      <c r="K325" s="348">
        <f t="shared" si="132"/>
        <v>38.178994623923103</v>
      </c>
      <c r="L325" s="349">
        <f t="shared" si="133"/>
        <v>1.5446009178905353</v>
      </c>
      <c r="M325" s="337">
        <f t="shared" si="117"/>
        <v>1.0028970779386597</v>
      </c>
      <c r="N325" s="340">
        <f t="shared" si="118"/>
        <v>7.6027639302127553E-2</v>
      </c>
      <c r="O325" s="341">
        <f t="shared" si="119"/>
        <v>0.99451528141278445</v>
      </c>
      <c r="P325" s="342">
        <f t="shared" si="120"/>
        <v>3.5344917865917716E-2</v>
      </c>
      <c r="Q325" s="343">
        <f t="shared" si="121"/>
        <v>-11.749989717183624</v>
      </c>
      <c r="R325" s="344">
        <f t="shared" si="122"/>
        <v>-94.07417459579878</v>
      </c>
      <c r="S325" s="346">
        <f t="shared" si="123"/>
        <v>85.92582540420122</v>
      </c>
      <c r="U325" s="319">
        <f t="shared" si="129"/>
        <v>23442</v>
      </c>
      <c r="V325" s="319">
        <f t="shared" si="130"/>
        <v>549527364</v>
      </c>
      <c r="X325" s="345">
        <f t="shared" si="124"/>
        <v>31.550932121328362</v>
      </c>
      <c r="Y325" s="346">
        <f t="shared" si="125"/>
        <v>-5.8562083714899646</v>
      </c>
      <c r="AA325" s="345">
        <f t="shared" si="126"/>
        <v>5.4470449654376596</v>
      </c>
      <c r="AB325" s="346">
        <f t="shared" si="127"/>
        <v>-88.21796622430881</v>
      </c>
      <c r="AD325">
        <f t="shared" si="131"/>
        <v>0</v>
      </c>
      <c r="AE325">
        <f t="shared" si="134"/>
        <v>0</v>
      </c>
    </row>
    <row r="326" spans="1:31" x14ac:dyDescent="0.2">
      <c r="A326" s="347">
        <v>23578.5</v>
      </c>
      <c r="B326" s="364">
        <f t="shared" si="128"/>
        <v>23.578499999999998</v>
      </c>
      <c r="C326" s="337">
        <f t="shared" si="109"/>
        <v>132.36147798635787</v>
      </c>
      <c r="D326" s="338">
        <f t="shared" si="110"/>
        <v>1.5632411866692819</v>
      </c>
      <c r="E326" s="338">
        <f t="shared" si="111"/>
        <v>1.0017542896315026</v>
      </c>
      <c r="F326" s="339">
        <f t="shared" si="112"/>
        <v>5.9190013596238135E-2</v>
      </c>
      <c r="G326" s="338">
        <f t="shared" si="113"/>
        <v>1</v>
      </c>
      <c r="H326" s="339">
        <f t="shared" si="114"/>
        <v>0</v>
      </c>
      <c r="I326" s="337">
        <f t="shared" si="115"/>
        <v>77786.502934115444</v>
      </c>
      <c r="J326" s="340">
        <f t="shared" si="116"/>
        <v>1.570783471094199</v>
      </c>
      <c r="K326" s="348">
        <f t="shared" si="132"/>
        <v>38.401154330587445</v>
      </c>
      <c r="L326" s="349">
        <f t="shared" si="133"/>
        <v>1.5447524988629162</v>
      </c>
      <c r="M326" s="337">
        <f t="shared" si="117"/>
        <v>1.0029308654112061</v>
      </c>
      <c r="N326" s="340">
        <f t="shared" si="118"/>
        <v>7.6468620473600896E-2</v>
      </c>
      <c r="O326" s="341">
        <f t="shared" si="119"/>
        <v>0.99445126448140897</v>
      </c>
      <c r="P326" s="342">
        <f t="shared" si="120"/>
        <v>3.5553103166602998E-2</v>
      </c>
      <c r="Q326" s="343">
        <f t="shared" si="121"/>
        <v>-11.800009483315048</v>
      </c>
      <c r="R326" s="344">
        <f t="shared" si="122"/>
        <v>-94.08562132013374</v>
      </c>
      <c r="S326" s="346">
        <f t="shared" si="123"/>
        <v>85.91437867986626</v>
      </c>
      <c r="U326" s="319">
        <f t="shared" si="129"/>
        <v>23578.5</v>
      </c>
      <c r="V326" s="319">
        <f t="shared" si="130"/>
        <v>555945662.25</v>
      </c>
      <c r="X326" s="345">
        <f t="shared" si="124"/>
        <v>31.550605102450213</v>
      </c>
      <c r="Y326" s="346">
        <f t="shared" si="125"/>
        <v>-5.8727940705104054</v>
      </c>
      <c r="AA326" s="345">
        <f t="shared" si="126"/>
        <v>5.3973522181843858</v>
      </c>
      <c r="AB326" s="346">
        <f t="shared" si="127"/>
        <v>-88.212827249623331</v>
      </c>
      <c r="AD326">
        <f t="shared" si="131"/>
        <v>0</v>
      </c>
      <c r="AE326">
        <f t="shared" si="134"/>
        <v>0</v>
      </c>
    </row>
    <row r="327" spans="1:31" x14ac:dyDescent="0.2">
      <c r="A327" s="347">
        <v>23715</v>
      </c>
      <c r="B327" s="364">
        <f t="shared" si="128"/>
        <v>23.715</v>
      </c>
      <c r="C327" s="337">
        <f t="shared" si="109"/>
        <v>133.12769778176732</v>
      </c>
      <c r="D327" s="338">
        <f t="shared" si="110"/>
        <v>1.5632846712875461</v>
      </c>
      <c r="E327" s="338">
        <f t="shared" si="111"/>
        <v>1.0017746421522966</v>
      </c>
      <c r="F327" s="339">
        <f t="shared" si="112"/>
        <v>5.9531868074891164E-2</v>
      </c>
      <c r="G327" s="338">
        <f t="shared" si="113"/>
        <v>1</v>
      </c>
      <c r="H327" s="339">
        <f t="shared" si="114"/>
        <v>0</v>
      </c>
      <c r="I327" s="337">
        <f t="shared" si="115"/>
        <v>78236.82240519108</v>
      </c>
      <c r="J327" s="340">
        <f t="shared" si="116"/>
        <v>1.5707835450896932</v>
      </c>
      <c r="K327" s="348">
        <f t="shared" si="132"/>
        <v>38.623314909436779</v>
      </c>
      <c r="L327" s="349">
        <f t="shared" si="133"/>
        <v>1.544902336056919</v>
      </c>
      <c r="M327" s="337">
        <f t="shared" si="117"/>
        <v>1.0029648479049327</v>
      </c>
      <c r="N327" s="340">
        <f t="shared" si="118"/>
        <v>7.6909571848136557E-2</v>
      </c>
      <c r="O327" s="341">
        <f t="shared" si="119"/>
        <v>0.99438687687094329</v>
      </c>
      <c r="P327" s="342">
        <f t="shared" si="120"/>
        <v>3.5761330150863496E-2</v>
      </c>
      <c r="Q327" s="343">
        <f t="shared" si="121"/>
        <v>-11.849734992718259</v>
      </c>
      <c r="R327" s="344">
        <f t="shared" si="122"/>
        <v>-94.097140367322041</v>
      </c>
      <c r="S327" s="346">
        <f t="shared" si="123"/>
        <v>85.902859632677959</v>
      </c>
      <c r="U327" s="319">
        <f t="shared" si="129"/>
        <v>23715</v>
      </c>
      <c r="V327" s="319">
        <f t="shared" si="130"/>
        <v>562401225</v>
      </c>
      <c r="X327" s="345">
        <f t="shared" si="124"/>
        <v>31.550276996485653</v>
      </c>
      <c r="Y327" s="346">
        <f t="shared" si="125"/>
        <v>-5.8894779240599302</v>
      </c>
      <c r="AA327" s="345">
        <f t="shared" si="126"/>
        <v>5.3479548147457372</v>
      </c>
      <c r="AB327" s="346">
        <f t="shared" si="127"/>
        <v>-88.207662443262109</v>
      </c>
      <c r="AD327">
        <f t="shared" si="131"/>
        <v>0</v>
      </c>
      <c r="AE327">
        <f t="shared" si="134"/>
        <v>0</v>
      </c>
    </row>
    <row r="328" spans="1:31" x14ac:dyDescent="0.2">
      <c r="A328" s="347">
        <v>23851.5</v>
      </c>
      <c r="B328" s="364">
        <f t="shared" si="128"/>
        <v>23.851500000000001</v>
      </c>
      <c r="C328" s="337">
        <f t="shared" si="109"/>
        <v>133.89391782602843</v>
      </c>
      <c r="D328" s="338">
        <f t="shared" si="110"/>
        <v>1.5633276582165756</v>
      </c>
      <c r="E328" s="338">
        <f t="shared" si="111"/>
        <v>1.0017951117402029</v>
      </c>
      <c r="F328" s="339">
        <f t="shared" si="112"/>
        <v>5.9873708623329247E-2</v>
      </c>
      <c r="G328" s="338">
        <f t="shared" si="113"/>
        <v>1</v>
      </c>
      <c r="H328" s="339">
        <f t="shared" si="114"/>
        <v>0</v>
      </c>
      <c r="I328" s="337">
        <f t="shared" si="115"/>
        <v>78687.141876267153</v>
      </c>
      <c r="J328" s="340">
        <f t="shared" si="116"/>
        <v>1.5707836182382484</v>
      </c>
      <c r="K328" s="348">
        <f t="shared" si="132"/>
        <v>38.845476345506782</v>
      </c>
      <c r="L328" s="349">
        <f t="shared" si="133"/>
        <v>1.5450504593843224</v>
      </c>
      <c r="M328" s="337">
        <f t="shared" si="117"/>
        <v>1.0029990254000165</v>
      </c>
      <c r="N328" s="340">
        <f t="shared" si="118"/>
        <v>7.735049325729644E-2</v>
      </c>
      <c r="O328" s="341">
        <f t="shared" si="119"/>
        <v>0.99432211859898312</v>
      </c>
      <c r="P328" s="342">
        <f t="shared" si="120"/>
        <v>3.5969599068699107E-2</v>
      </c>
      <c r="Q328" s="343">
        <f t="shared" si="121"/>
        <v>-11.899169598623997</v>
      </c>
      <c r="R328" s="344">
        <f t="shared" si="122"/>
        <v>-94.108730531684387</v>
      </c>
      <c r="S328" s="346">
        <f t="shared" si="123"/>
        <v>85.891269468315613</v>
      </c>
      <c r="U328" s="319">
        <f t="shared" si="129"/>
        <v>23851.5</v>
      </c>
      <c r="V328" s="319">
        <f t="shared" si="130"/>
        <v>568894052.25</v>
      </c>
      <c r="X328" s="345">
        <f t="shared" si="124"/>
        <v>31.549947790272277</v>
      </c>
      <c r="Y328" s="346">
        <f t="shared" si="125"/>
        <v>-5.9062582095167651</v>
      </c>
      <c r="AA328" s="345">
        <f t="shared" si="126"/>
        <v>5.2988494150533665</v>
      </c>
      <c r="AB328" s="346">
        <f t="shared" si="127"/>
        <v>-88.202472322167594</v>
      </c>
      <c r="AD328">
        <f t="shared" si="131"/>
        <v>0</v>
      </c>
      <c r="AE328">
        <f t="shared" si="134"/>
        <v>0</v>
      </c>
    </row>
    <row r="329" spans="1:31" x14ac:dyDescent="0.2">
      <c r="A329" s="347">
        <v>23988</v>
      </c>
      <c r="B329" s="364">
        <f t="shared" si="128"/>
        <v>23.988</v>
      </c>
      <c r="C329" s="337">
        <f t="shared" si="109"/>
        <v>134.66013811489324</v>
      </c>
      <c r="D329" s="338">
        <f t="shared" si="110"/>
        <v>1.5633701559518109</v>
      </c>
      <c r="E329" s="338">
        <f t="shared" si="111"/>
        <v>1.0018156983880455</v>
      </c>
      <c r="F329" s="339">
        <f t="shared" si="112"/>
        <v>6.0215535162517216E-2</v>
      </c>
      <c r="G329" s="338">
        <f t="shared" si="113"/>
        <v>1</v>
      </c>
      <c r="H329" s="339">
        <f t="shared" si="114"/>
        <v>0</v>
      </c>
      <c r="I329" s="337">
        <f t="shared" si="115"/>
        <v>79137.461347343618</v>
      </c>
      <c r="J329" s="340">
        <f t="shared" si="116"/>
        <v>1.5707836905543222</v>
      </c>
      <c r="K329" s="348">
        <f t="shared" si="132"/>
        <v>39.067638624173505</v>
      </c>
      <c r="L329" s="349">
        <f t="shared" si="133"/>
        <v>1.5451968980768243</v>
      </c>
      <c r="M329" s="337">
        <f t="shared" si="117"/>
        <v>1.0030333978765245</v>
      </c>
      <c r="N329" s="340">
        <f t="shared" si="118"/>
        <v>7.7791384532711935E-2</v>
      </c>
      <c r="O329" s="341">
        <f t="shared" si="119"/>
        <v>0.99425698968323206</v>
      </c>
      <c r="P329" s="342">
        <f t="shared" si="120"/>
        <v>3.6177910170262249E-2</v>
      </c>
      <c r="Q329" s="343">
        <f t="shared" si="121"/>
        <v>-11.948316596701048</v>
      </c>
      <c r="R329" s="344">
        <f t="shared" si="122"/>
        <v>-94.120390635163275</v>
      </c>
      <c r="S329" s="346">
        <f t="shared" si="123"/>
        <v>85.879609364836725</v>
      </c>
      <c r="U329" s="319">
        <f t="shared" si="129"/>
        <v>23988</v>
      </c>
      <c r="V329" s="319">
        <f t="shared" si="130"/>
        <v>575424144</v>
      </c>
      <c r="X329" s="345">
        <f t="shared" si="124"/>
        <v>31.549617471032505</v>
      </c>
      <c r="Y329" s="346">
        <f t="shared" si="125"/>
        <v>-5.9231332432095423</v>
      </c>
      <c r="AA329" s="345">
        <f t="shared" si="126"/>
        <v>5.2500327362160881</v>
      </c>
      <c r="AB329" s="346">
        <f t="shared" si="127"/>
        <v>-88.197257391953727</v>
      </c>
      <c r="AD329">
        <f t="shared" si="131"/>
        <v>0</v>
      </c>
      <c r="AE329">
        <f t="shared" si="134"/>
        <v>0</v>
      </c>
    </row>
    <row r="330" spans="1:31" x14ac:dyDescent="0.2">
      <c r="A330" s="347">
        <v>24127.75</v>
      </c>
      <c r="B330" s="364">
        <f t="shared" si="128"/>
        <v>24.127749999999999</v>
      </c>
      <c r="C330" s="337">
        <f t="shared" si="109"/>
        <v>135.44460199304325</v>
      </c>
      <c r="D330" s="338">
        <f t="shared" si="110"/>
        <v>1.5634131674034069</v>
      </c>
      <c r="E330" s="338">
        <f t="shared" si="111"/>
        <v>1.0018368964604631</v>
      </c>
      <c r="F330" s="339">
        <f t="shared" si="112"/>
        <v>6.0565485832767801E-2</v>
      </c>
      <c r="G330" s="338">
        <f t="shared" si="113"/>
        <v>1</v>
      </c>
      <c r="H330" s="339">
        <f t="shared" si="114"/>
        <v>0</v>
      </c>
      <c r="I330" s="337">
        <f t="shared" si="115"/>
        <v>79598.502710589019</v>
      </c>
      <c r="J330" s="340">
        <f t="shared" si="116"/>
        <v>1.5707837637445128</v>
      </c>
      <c r="K330" s="348">
        <f t="shared" si="132"/>
        <v>39.295091338908684</v>
      </c>
      <c r="L330" s="349">
        <f t="shared" si="133"/>
        <v>1.5453451079571414</v>
      </c>
      <c r="M330" s="337">
        <f t="shared" si="117"/>
        <v>1.0030687907247118</v>
      </c>
      <c r="N330" s="340">
        <f t="shared" si="118"/>
        <v>7.8242741825215525E-2</v>
      </c>
      <c r="O330" s="341">
        <f t="shared" si="119"/>
        <v>0.99418992611148282</v>
      </c>
      <c r="P330" s="342">
        <f t="shared" si="120"/>
        <v>3.6391225023579235E-2</v>
      </c>
      <c r="Q330" s="343">
        <f t="shared" si="121"/>
        <v>-11.99833918266137</v>
      </c>
      <c r="R330" s="344">
        <f t="shared" si="122"/>
        <v>-94.132399614961201</v>
      </c>
      <c r="S330" s="346">
        <f t="shared" si="123"/>
        <v>85.867600385038799</v>
      </c>
      <c r="U330" s="319">
        <f t="shared" si="129"/>
        <v>24127.75</v>
      </c>
      <c r="V330" s="319">
        <f t="shared" si="130"/>
        <v>582148320.0625</v>
      </c>
      <c r="X330" s="345">
        <f t="shared" si="124"/>
        <v>31.549278121003987</v>
      </c>
      <c r="Y330" s="346">
        <f t="shared" si="125"/>
        <v>-5.940506504007022</v>
      </c>
      <c r="AA330" s="345">
        <f t="shared" si="126"/>
        <v>5.2003495002842834</v>
      </c>
      <c r="AB330" s="346">
        <f t="shared" si="127"/>
        <v>-88.191893110954169</v>
      </c>
      <c r="AD330">
        <f t="shared" si="131"/>
        <v>0</v>
      </c>
      <c r="AE330">
        <f t="shared" si="134"/>
        <v>0</v>
      </c>
    </row>
    <row r="331" spans="1:31" x14ac:dyDescent="0.2">
      <c r="A331" s="347">
        <v>24267.5</v>
      </c>
      <c r="B331" s="364">
        <f t="shared" si="128"/>
        <v>24.267499999999998</v>
      </c>
      <c r="C331" s="337">
        <f t="shared" si="109"/>
        <v>136.22906611887794</v>
      </c>
      <c r="D331" s="338">
        <f t="shared" si="110"/>
        <v>1.5634556834991078</v>
      </c>
      <c r="E331" s="338">
        <f t="shared" si="111"/>
        <v>1.0018582172181081</v>
      </c>
      <c r="F331" s="339">
        <f t="shared" si="112"/>
        <v>6.0915421651122743E-2</v>
      </c>
      <c r="G331" s="338">
        <f t="shared" si="113"/>
        <v>1</v>
      </c>
      <c r="H331" s="339">
        <f t="shared" si="114"/>
        <v>0</v>
      </c>
      <c r="I331" s="337">
        <f t="shared" si="115"/>
        <v>80059.544073834826</v>
      </c>
      <c r="J331" s="340">
        <f t="shared" si="116"/>
        <v>1.5707838360917381</v>
      </c>
      <c r="K331" s="348">
        <f t="shared" si="132"/>
        <v>39.522544906871424</v>
      </c>
      <c r="L331" s="349">
        <f t="shared" si="133"/>
        <v>1.5454916119350082</v>
      </c>
      <c r="M331" s="337">
        <f t="shared" si="117"/>
        <v>1.0031043879070445</v>
      </c>
      <c r="N331" s="340">
        <f t="shared" si="118"/>
        <v>7.8694067175011512E-2</v>
      </c>
      <c r="O331" s="341">
        <f t="shared" si="119"/>
        <v>0.99412247407402232</v>
      </c>
      <c r="P331" s="342">
        <f t="shared" si="120"/>
        <v>3.66045846244357E-2</v>
      </c>
      <c r="Q331" s="343">
        <f t="shared" si="121"/>
        <v>-12.048067114090237</v>
      </c>
      <c r="R331" s="344">
        <f t="shared" si="122"/>
        <v>-94.144479490283089</v>
      </c>
      <c r="S331" s="346">
        <f t="shared" si="123"/>
        <v>85.855520509716911</v>
      </c>
      <c r="U331" s="319">
        <f t="shared" si="129"/>
        <v>24267.5</v>
      </c>
      <c r="V331" s="319">
        <f t="shared" si="130"/>
        <v>588911556.25</v>
      </c>
      <c r="X331" s="345">
        <f t="shared" si="124"/>
        <v>31.548937578391765</v>
      </c>
      <c r="Y331" s="346">
        <f t="shared" si="125"/>
        <v>-5.9579756273345854</v>
      </c>
      <c r="AA331" s="345">
        <f t="shared" si="126"/>
        <v>5.1509621114676367</v>
      </c>
      <c r="AB331" s="346">
        <f t="shared" si="127"/>
        <v>-88.186503862948527</v>
      </c>
      <c r="AD331">
        <f t="shared" si="131"/>
        <v>0</v>
      </c>
      <c r="AE331">
        <f t="shared" si="134"/>
        <v>0</v>
      </c>
    </row>
    <row r="332" spans="1:31" x14ac:dyDescent="0.2">
      <c r="A332" s="347">
        <v>24407.25</v>
      </c>
      <c r="B332" s="364">
        <f t="shared" si="128"/>
        <v>24.407250000000001</v>
      </c>
      <c r="C332" s="337">
        <f t="shared" si="109"/>
        <v>137.013530488143</v>
      </c>
      <c r="D332" s="338">
        <f t="shared" si="110"/>
        <v>1.5634977127471679</v>
      </c>
      <c r="E332" s="338">
        <f t="shared" si="111"/>
        <v>1.0018796606531479</v>
      </c>
      <c r="F332" s="339">
        <f t="shared" si="112"/>
        <v>6.1265342532830142E-2</v>
      </c>
      <c r="G332" s="338">
        <f t="shared" si="113"/>
        <v>1</v>
      </c>
      <c r="H332" s="339">
        <f t="shared" si="114"/>
        <v>0</v>
      </c>
      <c r="I332" s="337">
        <f t="shared" si="115"/>
        <v>80520.585437081056</v>
      </c>
      <c r="J332" s="340">
        <f t="shared" si="116"/>
        <v>1.5707839076104781</v>
      </c>
      <c r="K332" s="348">
        <f t="shared" si="132"/>
        <v>39.749999313414982</v>
      </c>
      <c r="L332" s="349">
        <f t="shared" si="133"/>
        <v>1.5456364392882347</v>
      </c>
      <c r="M332" s="337">
        <f t="shared" si="117"/>
        <v>1.00314018940177</v>
      </c>
      <c r="N332" s="340">
        <f t="shared" si="118"/>
        <v>7.9145360401645215E-2</v>
      </c>
      <c r="O332" s="341">
        <f t="shared" si="119"/>
        <v>0.99405463359019897</v>
      </c>
      <c r="P332" s="342">
        <f t="shared" si="120"/>
        <v>3.6817989241783956E-2</v>
      </c>
      <c r="Q332" s="343">
        <f t="shared" si="121"/>
        <v>-12.097503748645249</v>
      </c>
      <c r="R332" s="344">
        <f t="shared" si="122"/>
        <v>-94.156629081877256</v>
      </c>
      <c r="S332" s="346">
        <f t="shared" si="123"/>
        <v>85.843370918122744</v>
      </c>
      <c r="U332" s="319">
        <f t="shared" si="129"/>
        <v>24407.25</v>
      </c>
      <c r="V332" s="319">
        <f t="shared" si="130"/>
        <v>595713852.5625</v>
      </c>
      <c r="X332" s="345">
        <f t="shared" si="124"/>
        <v>31.548595830654232</v>
      </c>
      <c r="Y332" s="346">
        <f t="shared" si="125"/>
        <v>-5.9755389261876326</v>
      </c>
      <c r="AA332" s="345">
        <f t="shared" si="126"/>
        <v>5.1018672246501664</v>
      </c>
      <c r="AB332" s="346">
        <f t="shared" si="127"/>
        <v>-88.181090155689617</v>
      </c>
      <c r="AD332">
        <f t="shared" si="131"/>
        <v>0</v>
      </c>
      <c r="AE332">
        <f t="shared" si="134"/>
        <v>0</v>
      </c>
    </row>
    <row r="333" spans="1:31" x14ac:dyDescent="0.2">
      <c r="A333" s="347">
        <v>24547</v>
      </c>
      <c r="B333" s="364">
        <f t="shared" si="128"/>
        <v>24.547000000000001</v>
      </c>
      <c r="C333" s="337">
        <f t="shared" ref="C333:C396" si="135">SQRT(1+(A333/pole1)^2)</f>
        <v>137.79799509668106</v>
      </c>
      <c r="D333" s="338">
        <f t="shared" ref="D333:D396" si="136">ATAN(A333/pole1)</f>
        <v>1.5635392634621028</v>
      </c>
      <c r="E333" s="338">
        <f t="shared" ref="E333:E396" si="137">SQRT(1+(A333/Zero1)^2)</f>
        <v>1.0019012267577054</v>
      </c>
      <c r="F333" s="339">
        <f t="shared" ref="F333:F396" si="138">ATAN(A333/Zero1)</f>
        <v>6.1615248393159953E-2</v>
      </c>
      <c r="G333" s="338">
        <f t="shared" ref="G333:G396" si="139">IF(VIN_nom&gt;Vout, 1, SQRT(1+(A333/z_RHP)^2))</f>
        <v>1</v>
      </c>
      <c r="H333" s="339">
        <f t="shared" ref="H333:H396" si="140">IF(VIN_nom&gt;Vout, 0, -ATAN(A333/z_RHP))</f>
        <v>0</v>
      </c>
      <c r="I333" s="337">
        <f t="shared" ref="I333:I396" si="141">SQRT(1+(A333/Pole2)^2)</f>
        <v>80981.626800327693</v>
      </c>
      <c r="J333" s="340">
        <f t="shared" ref="J333:J396" si="142">ATAN(A333/Pole2)</f>
        <v>1.5707839783148829</v>
      </c>
      <c r="K333" s="348">
        <f t="shared" si="132"/>
        <v>39.97745454422585</v>
      </c>
      <c r="L333" s="349">
        <f t="shared" si="133"/>
        <v>1.5457796186286015</v>
      </c>
      <c r="M333" s="337">
        <f t="shared" ref="M333:M396" si="143">SQRT(1+(A333/pole4)^2)</f>
        <v>1.0031761951870135</v>
      </c>
      <c r="N333" s="340">
        <f t="shared" ref="N333:N396" si="144">ATAN(A333/pole4)</f>
        <v>7.9596621324740019E-2</v>
      </c>
      <c r="O333" s="341">
        <f t="shared" ref="O333:O396" si="145">SQRT((1-(V333/pterm2))^2+(A333/pterm1)^2)</f>
        <v>0.99398640467947952</v>
      </c>
      <c r="P333" s="342">
        <f t="shared" ref="P333:P396" si="146">IF((ATAN((A333/pterm1)/(1-A333^2/pterm2))&gt;0),ATAN((A333/pterm1)/(1-A333^2/pterm2)),PI()+ATAN((A333/pterm1)/(1-A333^2/pterm2)))</f>
        <v>3.7031439144748067E-2</v>
      </c>
      <c r="Q333" s="343">
        <f t="shared" ref="Q333:Q396" si="147">20*LOG10(((E333*K333*G333)/(C333*I333*O333*M333))*Adc)</f>
        <v>-12.146652386322154</v>
      </c>
      <c r="R333" s="344">
        <f t="shared" ref="R333:R396" si="148">((F333+L333+H333)-(D333+J333+P333+N333))*radconv</f>
        <v>-94.168847237546274</v>
      </c>
      <c r="S333" s="346">
        <f t="shared" ref="S333:S396" si="149">IF(R333&gt;0,R333,R333+180)</f>
        <v>85.831152762453726</v>
      </c>
      <c r="U333" s="319">
        <f t="shared" si="129"/>
        <v>24547</v>
      </c>
      <c r="V333" s="319">
        <f t="shared" si="130"/>
        <v>602555209</v>
      </c>
      <c r="X333" s="345">
        <f t="shared" ref="X333:X396" si="150">20*LOG10((K333/(I333*M333))*AEA)</f>
        <v>31.548252865618259</v>
      </c>
      <c r="Y333" s="346">
        <f t="shared" ref="Y333:Y396" si="151">(L333-(J333+N333))*radconv</f>
        <v>-5.9931947517078248</v>
      </c>
      <c r="AA333" s="345">
        <f t="shared" ref="AA333:AA396" si="152">20*LOG10((E333*G333/(C333*O333))*Acs*Am)</f>
        <v>5.0530615520092326</v>
      </c>
      <c r="AB333" s="346">
        <f t="shared" ref="AB333:AB396" si="153">(F333+H333-(D333+P333))*radconv</f>
        <v>-88.175652485838455</v>
      </c>
      <c r="AD333">
        <f t="shared" si="131"/>
        <v>0</v>
      </c>
      <c r="AE333">
        <f t="shared" si="134"/>
        <v>0</v>
      </c>
    </row>
    <row r="334" spans="1:31" x14ac:dyDescent="0.2">
      <c r="A334" s="347">
        <v>24690</v>
      </c>
      <c r="B334" s="364">
        <f t="shared" ref="B334:B397" si="154">A334/1000</f>
        <v>24.69</v>
      </c>
      <c r="C334" s="337">
        <f t="shared" si="135"/>
        <v>138.60070331165446</v>
      </c>
      <c r="D334" s="338">
        <f t="shared" si="136"/>
        <v>1.5635812935932147</v>
      </c>
      <c r="E334" s="338">
        <f t="shared" si="137"/>
        <v>1.0019234213731738</v>
      </c>
      <c r="F334" s="339">
        <f t="shared" si="138"/>
        <v>6.1973275961272188E-2</v>
      </c>
      <c r="G334" s="338">
        <f t="shared" si="139"/>
        <v>1</v>
      </c>
      <c r="H334" s="339">
        <f t="shared" si="140"/>
        <v>0</v>
      </c>
      <c r="I334" s="337">
        <f t="shared" si="141"/>
        <v>81453.390055743264</v>
      </c>
      <c r="J334" s="340">
        <f t="shared" si="142"/>
        <v>1.5707840498350385</v>
      </c>
      <c r="K334" s="348">
        <f t="shared" si="132"/>
        <v>40.210200270219168</v>
      </c>
      <c r="L334" s="349">
        <f t="shared" si="133"/>
        <v>1.5459244509419536</v>
      </c>
      <c r="M334" s="337">
        <f t="shared" si="143"/>
        <v>1.0032132497653281</v>
      </c>
      <c r="N334" s="340">
        <f t="shared" si="144"/>
        <v>8.0058343060682047E-2</v>
      </c>
      <c r="O334" s="341">
        <f t="shared" si="145"/>
        <v>0.99391618698862927</v>
      </c>
      <c r="P334" s="342">
        <f t="shared" si="146"/>
        <v>3.724990015746231E-2</v>
      </c>
      <c r="Q334" s="343">
        <f t="shared" si="147"/>
        <v>-12.196649277780512</v>
      </c>
      <c r="R334" s="344">
        <f t="shared" si="148"/>
        <v>-94.18141933639005</v>
      </c>
      <c r="S334" s="346">
        <f t="shared" si="149"/>
        <v>85.81858066360995</v>
      </c>
      <c r="U334" s="319">
        <f t="shared" ref="U334:U397" si="155">IF(Q334&lt;0,A334,1000000000)</f>
        <v>24690</v>
      </c>
      <c r="V334" s="319">
        <f t="shared" ref="V334:V397" si="156">A334^2</f>
        <v>609596100</v>
      </c>
      <c r="X334" s="345">
        <f t="shared" si="150"/>
        <v>31.547900652234574</v>
      </c>
      <c r="Y334" s="346">
        <f t="shared" si="151"/>
        <v>-6.0113552760183735</v>
      </c>
      <c r="AA334" s="345">
        <f t="shared" si="152"/>
        <v>5.0034168739345564</v>
      </c>
      <c r="AB334" s="346">
        <f t="shared" si="153"/>
        <v>-88.170064060371686</v>
      </c>
      <c r="AD334">
        <f t="shared" ref="AD334:AD397" si="157">SUM((Q335&lt;0)*(Q334&gt;0))*A334</f>
        <v>0</v>
      </c>
      <c r="AE334">
        <f t="shared" si="134"/>
        <v>0</v>
      </c>
    </row>
    <row r="335" spans="1:31" x14ac:dyDescent="0.2">
      <c r="A335" s="347">
        <v>24833</v>
      </c>
      <c r="B335" s="364">
        <f t="shared" si="154"/>
        <v>24.832999999999998</v>
      </c>
      <c r="C335" s="337">
        <f t="shared" si="135"/>
        <v>139.40341176865081</v>
      </c>
      <c r="D335" s="338">
        <f t="shared" si="136"/>
        <v>1.5636228396911716</v>
      </c>
      <c r="E335" s="338">
        <f t="shared" si="137"/>
        <v>1.0019457444132334</v>
      </c>
      <c r="F335" s="339">
        <f t="shared" si="138"/>
        <v>6.2331287621787898E-2</v>
      </c>
      <c r="G335" s="338">
        <f t="shared" si="139"/>
        <v>1</v>
      </c>
      <c r="H335" s="339">
        <f t="shared" si="140"/>
        <v>0</v>
      </c>
      <c r="I335" s="337">
        <f t="shared" si="141"/>
        <v>81925.153311159258</v>
      </c>
      <c r="J335" s="340">
        <f t="shared" si="142"/>
        <v>1.5707841205315012</v>
      </c>
      <c r="K335" s="348">
        <f t="shared" si="132"/>
        <v>40.442946829969536</v>
      </c>
      <c r="L335" s="349">
        <f t="shared" si="133"/>
        <v>1.5460676162569702</v>
      </c>
      <c r="M335" s="337">
        <f t="shared" si="143"/>
        <v>1.0032505181998022</v>
      </c>
      <c r="N335" s="340">
        <f t="shared" si="144"/>
        <v>8.0520030591256328E-2</v>
      </c>
      <c r="O335" s="341">
        <f t="shared" si="145"/>
        <v>0.99384556263606116</v>
      </c>
      <c r="P335" s="342">
        <f t="shared" si="146"/>
        <v>3.7468409157274583E-2</v>
      </c>
      <c r="Q335" s="343">
        <f t="shared" si="147"/>
        <v>-12.246351433017095</v>
      </c>
      <c r="R335" s="344">
        <f t="shared" si="148"/>
        <v>-94.194060868025062</v>
      </c>
      <c r="S335" s="346">
        <f t="shared" si="149"/>
        <v>85.805939131974938</v>
      </c>
      <c r="U335" s="319">
        <f t="shared" si="155"/>
        <v>24833</v>
      </c>
      <c r="V335" s="319">
        <f t="shared" si="156"/>
        <v>616677889</v>
      </c>
      <c r="X335" s="345">
        <f t="shared" si="150"/>
        <v>31.547547139616118</v>
      </c>
      <c r="Y335" s="346">
        <f t="shared" si="151"/>
        <v>-6.0296093052807835</v>
      </c>
      <c r="AA335" s="345">
        <f t="shared" si="152"/>
        <v>4.9540682313164339</v>
      </c>
      <c r="AB335" s="346">
        <f t="shared" si="153"/>
        <v>-88.164451562744276</v>
      </c>
      <c r="AD335">
        <f t="shared" si="157"/>
        <v>0</v>
      </c>
      <c r="AE335">
        <f t="shared" si="134"/>
        <v>0</v>
      </c>
    </row>
    <row r="336" spans="1:31" x14ac:dyDescent="0.2">
      <c r="A336" s="347">
        <v>24976</v>
      </c>
      <c r="B336" s="364">
        <f t="shared" si="154"/>
        <v>24.975999999999999</v>
      </c>
      <c r="C336" s="337">
        <f t="shared" si="135"/>
        <v>140.20612046351309</v>
      </c>
      <c r="D336" s="338">
        <f t="shared" si="136"/>
        <v>1.5636639100693945</v>
      </c>
      <c r="E336" s="338">
        <f t="shared" si="137"/>
        <v>1.001968195869301</v>
      </c>
      <c r="F336" s="339">
        <f t="shared" si="138"/>
        <v>6.2689283283999017E-2</v>
      </c>
      <c r="G336" s="338">
        <f t="shared" si="139"/>
        <v>1</v>
      </c>
      <c r="H336" s="339">
        <f t="shared" si="140"/>
        <v>0</v>
      </c>
      <c r="I336" s="337">
        <f t="shared" si="141"/>
        <v>82396.916566575659</v>
      </c>
      <c r="J336" s="340">
        <f t="shared" si="142"/>
        <v>1.5707841904184192</v>
      </c>
      <c r="K336" s="348">
        <f t="shared" si="132"/>
        <v>40.675694209164675</v>
      </c>
      <c r="L336" s="349">
        <f t="shared" si="133"/>
        <v>1.5462091431835545</v>
      </c>
      <c r="M336" s="337">
        <f t="shared" si="143"/>
        <v>1.0032880004666034</v>
      </c>
      <c r="N336" s="340">
        <f t="shared" si="144"/>
        <v>8.098168372346333E-2</v>
      </c>
      <c r="O336" s="341">
        <f t="shared" si="145"/>
        <v>0.99377453164301754</v>
      </c>
      <c r="P336" s="342">
        <f t="shared" si="146"/>
        <v>3.7686966433090538E-2</v>
      </c>
      <c r="Q336" s="343">
        <f t="shared" si="147"/>
        <v>-12.295762208620314</v>
      </c>
      <c r="R336" s="344">
        <f t="shared" si="148"/>
        <v>-94.206770681051353</v>
      </c>
      <c r="S336" s="346">
        <f t="shared" si="149"/>
        <v>85.793229318948647</v>
      </c>
      <c r="U336" s="319">
        <f t="shared" si="155"/>
        <v>24976</v>
      </c>
      <c r="V336" s="319">
        <f t="shared" si="156"/>
        <v>623800576</v>
      </c>
      <c r="X336" s="345">
        <f t="shared" si="150"/>
        <v>31.547192315839531</v>
      </c>
      <c r="Y336" s="346">
        <f t="shared" si="151"/>
        <v>-6.0479551900209119</v>
      </c>
      <c r="AA336" s="345">
        <f t="shared" si="152"/>
        <v>4.9050122794898012</v>
      </c>
      <c r="AB336" s="346">
        <f t="shared" si="153"/>
        <v>-88.158815491030467</v>
      </c>
      <c r="AD336">
        <f t="shared" si="157"/>
        <v>0</v>
      </c>
      <c r="AE336">
        <f t="shared" si="134"/>
        <v>0</v>
      </c>
    </row>
    <row r="337" spans="1:31" x14ac:dyDescent="0.2">
      <c r="A337" s="347">
        <v>25119</v>
      </c>
      <c r="B337" s="364">
        <f t="shared" si="154"/>
        <v>25.119</v>
      </c>
      <c r="C337" s="337">
        <f t="shared" si="135"/>
        <v>141.00882939217914</v>
      </c>
      <c r="D337" s="338">
        <f t="shared" si="136"/>
        <v>1.5637045128520115</v>
      </c>
      <c r="E337" s="338">
        <f t="shared" si="137"/>
        <v>1.0019907757327442</v>
      </c>
      <c r="F337" s="339">
        <f t="shared" si="138"/>
        <v>6.3047262857221981E-2</v>
      </c>
      <c r="G337" s="338">
        <f t="shared" si="139"/>
        <v>1</v>
      </c>
      <c r="H337" s="339">
        <f t="shared" si="140"/>
        <v>0</v>
      </c>
      <c r="I337" s="337">
        <f t="shared" si="141"/>
        <v>82868.679821992439</v>
      </c>
      <c r="J337" s="340">
        <f t="shared" si="142"/>
        <v>1.5707842595096186</v>
      </c>
      <c r="K337" s="348">
        <f t="shared" si="132"/>
        <v>40.908442393817957</v>
      </c>
      <c r="L337" s="349">
        <f t="shared" si="133"/>
        <v>1.5463490596807739</v>
      </c>
      <c r="M337" s="337">
        <f t="shared" si="143"/>
        <v>1.003325696541767</v>
      </c>
      <c r="N337" s="340">
        <f t="shared" si="144"/>
        <v>8.1443302264390921E-2</v>
      </c>
      <c r="O337" s="341">
        <f t="shared" si="145"/>
        <v>0.99370309403087076</v>
      </c>
      <c r="P337" s="342">
        <f t="shared" si="146"/>
        <v>3.7905572274008877E-2</v>
      </c>
      <c r="Q337" s="343">
        <f t="shared" si="147"/>
        <v>-12.344884903541971</v>
      </c>
      <c r="R337" s="344">
        <f t="shared" si="148"/>
        <v>-94.21954765050971</v>
      </c>
      <c r="S337" s="346">
        <f t="shared" si="149"/>
        <v>85.78045234949029</v>
      </c>
      <c r="U337" s="319">
        <f t="shared" si="155"/>
        <v>25119</v>
      </c>
      <c r="V337" s="319">
        <f t="shared" si="156"/>
        <v>630964161</v>
      </c>
      <c r="X337" s="345">
        <f t="shared" si="150"/>
        <v>31.546836169333648</v>
      </c>
      <c r="Y337" s="346">
        <f t="shared" si="151"/>
        <v>-6.0663913180413251</v>
      </c>
      <c r="AA337" s="345">
        <f t="shared" si="152"/>
        <v>4.8562457310740292</v>
      </c>
      <c r="AB337" s="346">
        <f t="shared" si="153"/>
        <v>-88.153156332468399</v>
      </c>
      <c r="AD337">
        <f t="shared" si="157"/>
        <v>0</v>
      </c>
      <c r="AE337">
        <f t="shared" si="134"/>
        <v>0</v>
      </c>
    </row>
    <row r="338" spans="1:31" x14ac:dyDescent="0.2">
      <c r="A338" s="347">
        <v>25265.25</v>
      </c>
      <c r="B338" s="364">
        <f t="shared" si="154"/>
        <v>25.265250000000002</v>
      </c>
      <c r="C338" s="337">
        <f t="shared" si="135"/>
        <v>141.8297819432851</v>
      </c>
      <c r="D338" s="338">
        <f t="shared" si="136"/>
        <v>1.5637455630420984</v>
      </c>
      <c r="E338" s="338">
        <f t="shared" si="137"/>
        <v>1.0020140015839174</v>
      </c>
      <c r="F338" s="339">
        <f t="shared" si="138"/>
        <v>6.3413361593721504E-2</v>
      </c>
      <c r="G338" s="338">
        <f t="shared" si="139"/>
        <v>1</v>
      </c>
      <c r="H338" s="339">
        <f t="shared" si="140"/>
        <v>0</v>
      </c>
      <c r="I338" s="337">
        <f t="shared" si="141"/>
        <v>83351.164969578182</v>
      </c>
      <c r="J338" s="340">
        <f t="shared" si="142"/>
        <v>1.5707843293621027</v>
      </c>
      <c r="K338" s="348">
        <f t="shared" si="132"/>
        <v>41.146481128820582</v>
      </c>
      <c r="L338" s="349">
        <f t="shared" si="133"/>
        <v>1.5464905188278475</v>
      </c>
      <c r="M338" s="337">
        <f t="shared" si="143"/>
        <v>1.0033644704732991</v>
      </c>
      <c r="N338" s="340">
        <f t="shared" si="144"/>
        <v>8.1915376155374822E-2</v>
      </c>
      <c r="O338" s="341">
        <f t="shared" si="145"/>
        <v>0.99362961227290758</v>
      </c>
      <c r="P338" s="342">
        <f t="shared" si="146"/>
        <v>3.8129196964264943E-2</v>
      </c>
      <c r="Q338" s="343">
        <f t="shared" si="147"/>
        <v>-12.39482942642403</v>
      </c>
      <c r="R338" s="344">
        <f t="shared" si="148"/>
        <v>-94.232683323348382</v>
      </c>
      <c r="S338" s="346">
        <f t="shared" si="149"/>
        <v>85.767316676651618</v>
      </c>
      <c r="U338" s="319">
        <f t="shared" si="155"/>
        <v>25265.25</v>
      </c>
      <c r="V338" s="319">
        <f t="shared" si="156"/>
        <v>638332857.5625</v>
      </c>
      <c r="X338" s="345">
        <f t="shared" si="150"/>
        <v>31.546470548722372</v>
      </c>
      <c r="Y338" s="346">
        <f t="shared" si="151"/>
        <v>-6.0853381497863488</v>
      </c>
      <c r="AA338" s="345">
        <f t="shared" si="152"/>
        <v>4.8066668288032419</v>
      </c>
      <c r="AB338" s="346">
        <f t="shared" si="153"/>
        <v>-88.147345173562044</v>
      </c>
      <c r="AD338">
        <f t="shared" si="157"/>
        <v>0</v>
      </c>
      <c r="AE338">
        <f t="shared" si="134"/>
        <v>0</v>
      </c>
    </row>
    <row r="339" spans="1:31" x14ac:dyDescent="0.2">
      <c r="A339" s="347">
        <v>25411.5</v>
      </c>
      <c r="B339" s="364">
        <f t="shared" si="154"/>
        <v>25.4115</v>
      </c>
      <c r="C339" s="337">
        <f t="shared" si="135"/>
        <v>142.6507347306401</v>
      </c>
      <c r="D339" s="338">
        <f t="shared" si="136"/>
        <v>1.5637861407458262</v>
      </c>
      <c r="E339" s="338">
        <f t="shared" si="137"/>
        <v>1.0020373617270728</v>
      </c>
      <c r="F339" s="339">
        <f t="shared" si="138"/>
        <v>6.3779443309823283E-2</v>
      </c>
      <c r="G339" s="338">
        <f t="shared" si="139"/>
        <v>1</v>
      </c>
      <c r="H339" s="339">
        <f t="shared" si="140"/>
        <v>0</v>
      </c>
      <c r="I339" s="337">
        <f t="shared" si="141"/>
        <v>83833.650117164361</v>
      </c>
      <c r="J339" s="340">
        <f t="shared" si="142"/>
        <v>1.570784398410547</v>
      </c>
      <c r="K339" s="348">
        <f t="shared" si="132"/>
        <v>41.38452067772085</v>
      </c>
      <c r="L339" s="349">
        <f t="shared" si="133"/>
        <v>1.5466303506604733</v>
      </c>
      <c r="M339" s="337">
        <f t="shared" si="143"/>
        <v>1.0034034679910642</v>
      </c>
      <c r="N339" s="340">
        <f t="shared" si="144"/>
        <v>8.2387413457015973E-2</v>
      </c>
      <c r="O339" s="341">
        <f t="shared" si="145"/>
        <v>0.99355570524876013</v>
      </c>
      <c r="P339" s="342">
        <f t="shared" si="146"/>
        <v>3.8352873064486599E-2</v>
      </c>
      <c r="Q339" s="343">
        <f t="shared" si="147"/>
        <v>-12.444479425955882</v>
      </c>
      <c r="R339" s="344">
        <f t="shared" si="148"/>
        <v>-94.245886941250703</v>
      </c>
      <c r="S339" s="346">
        <f t="shared" si="149"/>
        <v>85.754113058749297</v>
      </c>
      <c r="U339" s="319">
        <f t="shared" si="155"/>
        <v>25411.5</v>
      </c>
      <c r="V339" s="319">
        <f t="shared" si="156"/>
        <v>645744332.25</v>
      </c>
      <c r="X339" s="345">
        <f t="shared" si="150"/>
        <v>31.54610352117033</v>
      </c>
      <c r="Y339" s="346">
        <f t="shared" si="151"/>
        <v>-6.1043760772982871</v>
      </c>
      <c r="AA339" s="345">
        <f t="shared" si="152"/>
        <v>4.7573838568234281</v>
      </c>
      <c r="AB339" s="346">
        <f t="shared" si="153"/>
        <v>-88.141510863952419</v>
      </c>
      <c r="AD339">
        <f t="shared" si="157"/>
        <v>0</v>
      </c>
      <c r="AE339">
        <f t="shared" si="134"/>
        <v>0</v>
      </c>
    </row>
    <row r="340" spans="1:31" x14ac:dyDescent="0.2">
      <c r="A340" s="347">
        <v>25557.75</v>
      </c>
      <c r="B340" s="364">
        <f t="shared" si="154"/>
        <v>25.557749999999999</v>
      </c>
      <c r="C340" s="337">
        <f t="shared" si="135"/>
        <v>143.47168775018869</v>
      </c>
      <c r="D340" s="338">
        <f t="shared" si="136"/>
        <v>1.5638262540738401</v>
      </c>
      <c r="E340" s="338">
        <f t="shared" si="137"/>
        <v>1.0020608561528179</v>
      </c>
      <c r="F340" s="339">
        <f t="shared" si="138"/>
        <v>6.4145507908599686E-2</v>
      </c>
      <c r="G340" s="338">
        <f t="shared" si="139"/>
        <v>1</v>
      </c>
      <c r="H340" s="339">
        <f t="shared" si="140"/>
        <v>0</v>
      </c>
      <c r="I340" s="337">
        <f t="shared" si="141"/>
        <v>84316.135264750919</v>
      </c>
      <c r="J340" s="340">
        <f t="shared" si="142"/>
        <v>1.5707844666687549</v>
      </c>
      <c r="K340" s="348">
        <f t="shared" si="132"/>
        <v>41.622561026554706</v>
      </c>
      <c r="L340" s="349">
        <f t="shared" si="133"/>
        <v>1.5467685830930775</v>
      </c>
      <c r="M340" s="337">
        <f t="shared" si="143"/>
        <v>1.0034426890689945</v>
      </c>
      <c r="N340" s="340">
        <f t="shared" si="144"/>
        <v>8.2859413963234735E-2</v>
      </c>
      <c r="O340" s="341">
        <f t="shared" si="145"/>
        <v>0.99348137298171579</v>
      </c>
      <c r="P340" s="342">
        <f t="shared" si="146"/>
        <v>3.8576600884569497E-2</v>
      </c>
      <c r="Q340" s="343">
        <f t="shared" si="147"/>
        <v>-12.493838252532225</v>
      </c>
      <c r="R340" s="344">
        <f t="shared" si="148"/>
        <v>-94.259157381836218</v>
      </c>
      <c r="S340" s="346">
        <f t="shared" si="149"/>
        <v>85.740842618163782</v>
      </c>
      <c r="U340" s="319">
        <f t="shared" si="155"/>
        <v>25557.75</v>
      </c>
      <c r="V340" s="319">
        <f t="shared" si="156"/>
        <v>653198585.0625</v>
      </c>
      <c r="X340" s="345">
        <f t="shared" si="150"/>
        <v>31.545735075366835</v>
      </c>
      <c r="Y340" s="346">
        <f t="shared" si="151"/>
        <v>-6.1235034901817071</v>
      </c>
      <c r="AA340" s="345">
        <f t="shared" si="152"/>
        <v>4.7083934760505848</v>
      </c>
      <c r="AB340" s="346">
        <f t="shared" si="153"/>
        <v>-88.135653891654528</v>
      </c>
      <c r="AD340">
        <f t="shared" si="157"/>
        <v>0</v>
      </c>
      <c r="AE340">
        <f t="shared" si="134"/>
        <v>0</v>
      </c>
    </row>
    <row r="341" spans="1:31" x14ac:dyDescent="0.2">
      <c r="A341" s="347">
        <v>25704</v>
      </c>
      <c r="B341" s="364">
        <f t="shared" si="154"/>
        <v>25.704000000000001</v>
      </c>
      <c r="C341" s="337">
        <f t="shared" si="135"/>
        <v>144.29264099796762</v>
      </c>
      <c r="D341" s="338">
        <f t="shared" si="136"/>
        <v>1.5638659109522095</v>
      </c>
      <c r="E341" s="338">
        <f t="shared" si="137"/>
        <v>1.0020844848517081</v>
      </c>
      <c r="F341" s="339">
        <f t="shared" si="138"/>
        <v>6.4511555293150391E-2</v>
      </c>
      <c r="G341" s="338">
        <f t="shared" si="139"/>
        <v>1</v>
      </c>
      <c r="H341" s="339">
        <f t="shared" si="140"/>
        <v>0</v>
      </c>
      <c r="I341" s="337">
        <f t="shared" si="141"/>
        <v>84798.620412337856</v>
      </c>
      <c r="J341" s="340">
        <f t="shared" si="142"/>
        <v>1.5707845341502149</v>
      </c>
      <c r="K341" s="348">
        <f t="shared" si="132"/>
        <v>41.860602161675686</v>
      </c>
      <c r="L341" s="349">
        <f t="shared" si="133"/>
        <v>1.5469052434053907</v>
      </c>
      <c r="M341" s="337">
        <f t="shared" si="143"/>
        <v>1.0034821336808761</v>
      </c>
      <c r="N341" s="340">
        <f t="shared" si="144"/>
        <v>8.3331377468049167E-2</v>
      </c>
      <c r="O341" s="341">
        <f t="shared" si="145"/>
        <v>0.99340661549520404</v>
      </c>
      <c r="P341" s="342">
        <f t="shared" si="146"/>
        <v>3.8800380734625751E-2</v>
      </c>
      <c r="Q341" s="343">
        <f t="shared" si="147"/>
        <v>-12.542909199052945</v>
      </c>
      <c r="R341" s="344">
        <f t="shared" si="148"/>
        <v>-94.27249354851287</v>
      </c>
      <c r="S341" s="346">
        <f t="shared" si="149"/>
        <v>85.72750645148713</v>
      </c>
      <c r="U341" s="319">
        <f t="shared" si="155"/>
        <v>25704</v>
      </c>
      <c r="V341" s="319">
        <f t="shared" si="156"/>
        <v>660695616</v>
      </c>
      <c r="X341" s="345">
        <f t="shared" si="150"/>
        <v>31.545365200337109</v>
      </c>
      <c r="Y341" s="346">
        <f t="shared" si="151"/>
        <v>-6.1427188143940903</v>
      </c>
      <c r="AA341" s="345">
        <f t="shared" si="152"/>
        <v>4.65969240455959</v>
      </c>
      <c r="AB341" s="346">
        <f t="shared" si="153"/>
        <v>-88.129774734118783</v>
      </c>
      <c r="AD341">
        <f t="shared" si="157"/>
        <v>0</v>
      </c>
      <c r="AE341">
        <f t="shared" si="134"/>
        <v>0</v>
      </c>
    </row>
    <row r="342" spans="1:31" x14ac:dyDescent="0.2">
      <c r="A342" s="347">
        <v>25853.75</v>
      </c>
      <c r="B342" s="364">
        <f t="shared" si="154"/>
        <v>25.853750000000002</v>
      </c>
      <c r="C342" s="337">
        <f t="shared" si="135"/>
        <v>145.13324122258135</v>
      </c>
      <c r="D342" s="338">
        <f t="shared" si="136"/>
        <v>1.5639060520083097</v>
      </c>
      <c r="E342" s="338">
        <f t="shared" si="137"/>
        <v>1.0021088181454707</v>
      </c>
      <c r="F342" s="339">
        <f t="shared" si="138"/>
        <v>6.4886344847769076E-2</v>
      </c>
      <c r="G342" s="338">
        <f t="shared" si="139"/>
        <v>1</v>
      </c>
      <c r="H342" s="339">
        <f t="shared" si="140"/>
        <v>0</v>
      </c>
      <c r="I342" s="337">
        <f t="shared" si="141"/>
        <v>85292.65221302984</v>
      </c>
      <c r="J342" s="340">
        <f t="shared" si="142"/>
        <v>1.5707846024555301</v>
      </c>
      <c r="K342" s="348">
        <f t="shared" si="132"/>
        <v>42.104340808531759</v>
      </c>
      <c r="L342" s="349">
        <f t="shared" si="133"/>
        <v>1.547043573059693</v>
      </c>
      <c r="M342" s="337">
        <f t="shared" si="143"/>
        <v>1.0035227538611029</v>
      </c>
      <c r="N342" s="340">
        <f t="shared" si="144"/>
        <v>8.3814597270680052E-2</v>
      </c>
      <c r="O342" s="341">
        <f t="shared" si="145"/>
        <v>0.99332962835973893</v>
      </c>
      <c r="P342" s="342">
        <f t="shared" si="146"/>
        <v>3.9029570236637758E-2</v>
      </c>
      <c r="Q342" s="343">
        <f t="shared" si="147"/>
        <v>-12.59285957660193</v>
      </c>
      <c r="R342" s="344">
        <f t="shared" si="148"/>
        <v>-94.286215856618171</v>
      </c>
      <c r="S342" s="346">
        <f t="shared" si="149"/>
        <v>85.713784143381829</v>
      </c>
      <c r="U342" s="319">
        <f t="shared" si="155"/>
        <v>25853.75</v>
      </c>
      <c r="V342" s="319">
        <f t="shared" si="156"/>
        <v>668416389.0625</v>
      </c>
      <c r="X342" s="345">
        <f t="shared" si="150"/>
        <v>31.54498498153465</v>
      </c>
      <c r="Y342" s="346">
        <f t="shared" si="151"/>
        <v>-6.1624834779178297</v>
      </c>
      <c r="AA342" s="345">
        <f t="shared" si="152"/>
        <v>4.6101222458130646</v>
      </c>
      <c r="AB342" s="346">
        <f t="shared" si="153"/>
        <v>-88.123732378700353</v>
      </c>
      <c r="AD342">
        <f t="shared" si="157"/>
        <v>0</v>
      </c>
      <c r="AE342">
        <f t="shared" si="134"/>
        <v>0</v>
      </c>
    </row>
    <row r="343" spans="1:31" x14ac:dyDescent="0.2">
      <c r="A343" s="347">
        <v>26003.5</v>
      </c>
      <c r="B343" s="364">
        <f t="shared" si="154"/>
        <v>26.003499999999999</v>
      </c>
      <c r="C343" s="337">
        <f t="shared" si="135"/>
        <v>145.97384167835554</v>
      </c>
      <c r="D343" s="338">
        <f t="shared" si="136"/>
        <v>1.5639457307543816</v>
      </c>
      <c r="E343" s="338">
        <f t="shared" si="137"/>
        <v>1.0021332921958159</v>
      </c>
      <c r="F343" s="339">
        <f t="shared" si="138"/>
        <v>6.5261116148844278E-2</v>
      </c>
      <c r="G343" s="338">
        <f t="shared" si="139"/>
        <v>1</v>
      </c>
      <c r="H343" s="339">
        <f t="shared" si="140"/>
        <v>0</v>
      </c>
      <c r="I343" s="337">
        <f t="shared" si="141"/>
        <v>85786.684013722217</v>
      </c>
      <c r="J343" s="340">
        <f t="shared" si="142"/>
        <v>1.5707846699741264</v>
      </c>
      <c r="K343" s="348">
        <f t="shared" ref="K343:K406" si="158">SQRT(1+(A343/Zero2)^2)</f>
        <v>42.34808025178409</v>
      </c>
      <c r="L343" s="349">
        <f t="shared" ref="L343:L406" si="159">ATAN(A343/Zero2)</f>
        <v>1.5471803103708308</v>
      </c>
      <c r="M343" s="337">
        <f t="shared" si="143"/>
        <v>1.0035636083462744</v>
      </c>
      <c r="N343" s="340">
        <f t="shared" si="144"/>
        <v>8.4297777842937849E-2</v>
      </c>
      <c r="O343" s="341">
        <f t="shared" si="145"/>
        <v>0.99325219545906696</v>
      </c>
      <c r="P343" s="342">
        <f t="shared" si="146"/>
        <v>3.9258814947492976E-2</v>
      </c>
      <c r="Q343" s="343">
        <f t="shared" si="147"/>
        <v>-12.642514938655204</v>
      </c>
      <c r="R343" s="344">
        <f t="shared" si="148"/>
        <v>-94.300004827127225</v>
      </c>
      <c r="S343" s="346">
        <f t="shared" si="149"/>
        <v>85.699995172872775</v>
      </c>
      <c r="U343" s="319">
        <f t="shared" si="155"/>
        <v>26003.5</v>
      </c>
      <c r="V343" s="319">
        <f t="shared" si="156"/>
        <v>676182012.25</v>
      </c>
      <c r="X343" s="345">
        <f t="shared" si="150"/>
        <v>31.54460324202293</v>
      </c>
      <c r="Y343" s="346">
        <f t="shared" si="151"/>
        <v>-6.182337083174045</v>
      </c>
      <c r="AA343" s="345">
        <f t="shared" si="152"/>
        <v>4.5608486232715126</v>
      </c>
      <c r="AB343" s="346">
        <f t="shared" si="153"/>
        <v>-88.117667743953191</v>
      </c>
      <c r="AD343">
        <f t="shared" si="157"/>
        <v>0</v>
      </c>
      <c r="AE343">
        <f t="shared" si="134"/>
        <v>0</v>
      </c>
    </row>
    <row r="344" spans="1:31" x14ac:dyDescent="0.2">
      <c r="A344" s="347">
        <v>26153.25</v>
      </c>
      <c r="B344" s="364">
        <f t="shared" si="154"/>
        <v>26.15325</v>
      </c>
      <c r="C344" s="337">
        <f t="shared" si="135"/>
        <v>146.81444236131966</v>
      </c>
      <c r="D344" s="338">
        <f t="shared" si="136"/>
        <v>1.5639849551313054</v>
      </c>
      <c r="E344" s="338">
        <f t="shared" si="137"/>
        <v>1.0021579069924313</v>
      </c>
      <c r="F344" s="339">
        <f t="shared" si="138"/>
        <v>6.5635869092441304E-2</v>
      </c>
      <c r="G344" s="338">
        <f t="shared" si="139"/>
        <v>1</v>
      </c>
      <c r="H344" s="339">
        <f t="shared" si="140"/>
        <v>0</v>
      </c>
      <c r="I344" s="337">
        <f t="shared" si="141"/>
        <v>86280.715814414987</v>
      </c>
      <c r="J344" s="340">
        <f t="shared" si="142"/>
        <v>1.5707847367195178</v>
      </c>
      <c r="K344" s="348">
        <f t="shared" si="158"/>
        <v>42.591820477760088</v>
      </c>
      <c r="L344" s="349">
        <f t="shared" si="159"/>
        <v>1.5473154826711553</v>
      </c>
      <c r="M344" s="337">
        <f t="shared" si="143"/>
        <v>1.0036046971077763</v>
      </c>
      <c r="N344" s="340">
        <f t="shared" si="144"/>
        <v>8.4780918964017279E-2</v>
      </c>
      <c r="O344" s="341">
        <f t="shared" si="145"/>
        <v>0.99317431681880852</v>
      </c>
      <c r="P344" s="342">
        <f t="shared" si="146"/>
        <v>3.9488115200819442E-2</v>
      </c>
      <c r="Q344" s="343">
        <f t="shared" si="147"/>
        <v>-12.691878641293812</v>
      </c>
      <c r="R344" s="344">
        <f t="shared" si="148"/>
        <v>-94.313859362184132</v>
      </c>
      <c r="S344" s="346">
        <f t="shared" si="149"/>
        <v>85.686140637815868</v>
      </c>
      <c r="U344" s="319">
        <f t="shared" si="155"/>
        <v>26153.25</v>
      </c>
      <c r="V344" s="319">
        <f t="shared" si="156"/>
        <v>683992485.5625</v>
      </c>
      <c r="X344" s="345">
        <f t="shared" si="150"/>
        <v>31.544219971042725</v>
      </c>
      <c r="Y344" s="346">
        <f t="shared" si="151"/>
        <v>-6.2022780522574577</v>
      </c>
      <c r="AA344" s="345">
        <f t="shared" si="152"/>
        <v>4.5118681916131083</v>
      </c>
      <c r="AB344" s="346">
        <f t="shared" si="153"/>
        <v>-88.111581309926677</v>
      </c>
      <c r="AD344">
        <f t="shared" si="157"/>
        <v>0</v>
      </c>
      <c r="AE344">
        <f t="shared" si="134"/>
        <v>0</v>
      </c>
    </row>
    <row r="345" spans="1:31" x14ac:dyDescent="0.2">
      <c r="A345" s="347">
        <v>26303</v>
      </c>
      <c r="B345" s="364">
        <f t="shared" si="154"/>
        <v>26.303000000000001</v>
      </c>
      <c r="C345" s="337">
        <f t="shared" si="135"/>
        <v>147.65504326759347</v>
      </c>
      <c r="D345" s="338">
        <f t="shared" si="136"/>
        <v>1.5640237328991369</v>
      </c>
      <c r="E345" s="338">
        <f t="shared" si="137"/>
        <v>1.0021826625249464</v>
      </c>
      <c r="F345" s="339">
        <f t="shared" si="138"/>
        <v>6.6010603574656282E-2</v>
      </c>
      <c r="G345" s="338">
        <f t="shared" si="139"/>
        <v>1</v>
      </c>
      <c r="H345" s="339">
        <f t="shared" si="140"/>
        <v>0</v>
      </c>
      <c r="I345" s="337">
        <f t="shared" si="141"/>
        <v>86774.747615108136</v>
      </c>
      <c r="J345" s="340">
        <f t="shared" si="142"/>
        <v>1.5707848027049107</v>
      </c>
      <c r="K345" s="348">
        <f t="shared" si="158"/>
        <v>42.835561473098345</v>
      </c>
      <c r="L345" s="349">
        <f t="shared" si="159"/>
        <v>1.5474491166711475</v>
      </c>
      <c r="M345" s="337">
        <f t="shared" si="143"/>
        <v>1.0036460201168356</v>
      </c>
      <c r="N345" s="340">
        <f t="shared" si="144"/>
        <v>8.5264020413222855E-2</v>
      </c>
      <c r="O345" s="341">
        <f t="shared" si="145"/>
        <v>0.99309599246474167</v>
      </c>
      <c r="P345" s="342">
        <f t="shared" si="146"/>
        <v>3.9717471330489133E-2</v>
      </c>
      <c r="Q345" s="343">
        <f t="shared" si="147"/>
        <v>-12.740953982974366</v>
      </c>
      <c r="R345" s="344">
        <f t="shared" si="148"/>
        <v>-94.327778389203971</v>
      </c>
      <c r="S345" s="346">
        <f t="shared" si="149"/>
        <v>85.672221610796029</v>
      </c>
      <c r="U345" s="319">
        <f t="shared" si="155"/>
        <v>26303</v>
      </c>
      <c r="V345" s="319">
        <f t="shared" si="156"/>
        <v>691847809</v>
      </c>
      <c r="X345" s="345">
        <f t="shared" si="150"/>
        <v>31.543835158156806</v>
      </c>
      <c r="Y345" s="346">
        <f t="shared" si="151"/>
        <v>-6.2223048428820018</v>
      </c>
      <c r="AA345" s="345">
        <f t="shared" si="152"/>
        <v>4.4631776628184747</v>
      </c>
      <c r="AB345" s="346">
        <f t="shared" si="153"/>
        <v>-88.10547354632196</v>
      </c>
      <c r="AD345">
        <f t="shared" si="157"/>
        <v>0</v>
      </c>
      <c r="AE345">
        <f t="shared" si="134"/>
        <v>0</v>
      </c>
    </row>
    <row r="346" spans="1:31" x14ac:dyDescent="0.2">
      <c r="A346" s="347">
        <v>26456</v>
      </c>
      <c r="B346" s="364">
        <f t="shared" si="154"/>
        <v>26.456</v>
      </c>
      <c r="C346" s="337">
        <f t="shared" si="135"/>
        <v>148.51388782589962</v>
      </c>
      <c r="D346" s="338">
        <f t="shared" si="136"/>
        <v>1.5640628988900207</v>
      </c>
      <c r="E346" s="338">
        <f t="shared" si="137"/>
        <v>1.0022081006625221</v>
      </c>
      <c r="F346" s="339">
        <f t="shared" si="138"/>
        <v>6.6393451683874324E-2</v>
      </c>
      <c r="G346" s="338">
        <f t="shared" si="139"/>
        <v>1</v>
      </c>
      <c r="H346" s="339">
        <f t="shared" si="140"/>
        <v>0</v>
      </c>
      <c r="I346" s="337">
        <f t="shared" si="141"/>
        <v>87279.501307970291</v>
      </c>
      <c r="J346" s="340">
        <f t="shared" si="142"/>
        <v>1.5707848693508801</v>
      </c>
      <c r="K346" s="348">
        <f t="shared" si="158"/>
        <v>43.084593120794153</v>
      </c>
      <c r="L346" s="349">
        <f t="shared" si="159"/>
        <v>1.5475840893212944</v>
      </c>
      <c r="M346" s="337">
        <f t="shared" si="143"/>
        <v>1.0036884818508491</v>
      </c>
      <c r="N346" s="340">
        <f t="shared" si="144"/>
        <v>8.5757565332777896E-2</v>
      </c>
      <c r="O346" s="341">
        <f t="shared" si="145"/>
        <v>0.99301550794822491</v>
      </c>
      <c r="P346" s="342">
        <f t="shared" si="146"/>
        <v>3.9951863195186059E-2</v>
      </c>
      <c r="Q346" s="343">
        <f t="shared" si="147"/>
        <v>-12.790799954967246</v>
      </c>
      <c r="R346" s="344">
        <f t="shared" si="148"/>
        <v>-94.342065015165232</v>
      </c>
      <c r="S346" s="346">
        <f t="shared" si="149"/>
        <v>85.657934984834768</v>
      </c>
      <c r="U346" s="319">
        <f t="shared" si="155"/>
        <v>26456</v>
      </c>
      <c r="V346" s="319">
        <f t="shared" si="156"/>
        <v>699919936</v>
      </c>
      <c r="X346" s="345">
        <f t="shared" si="150"/>
        <v>31.543440390742646</v>
      </c>
      <c r="Y346" s="346">
        <f t="shared" si="151"/>
        <v>-6.2428533391257535</v>
      </c>
      <c r="AA346" s="345">
        <f t="shared" si="152"/>
        <v>4.4137264582397489</v>
      </c>
      <c r="AB346" s="346">
        <f t="shared" si="153"/>
        <v>-88.099211676039488</v>
      </c>
      <c r="AD346">
        <f t="shared" si="157"/>
        <v>0</v>
      </c>
      <c r="AE346">
        <f t="shared" ref="AE346:AE409" si="160">IF(AD346&gt;0,S346,0)</f>
        <v>0</v>
      </c>
    </row>
    <row r="347" spans="1:31" x14ac:dyDescent="0.2">
      <c r="A347" s="347">
        <v>26609</v>
      </c>
      <c r="B347" s="364">
        <f t="shared" si="154"/>
        <v>26.609000000000002</v>
      </c>
      <c r="C347" s="337">
        <f t="shared" si="135"/>
        <v>149.37273260940259</v>
      </c>
      <c r="D347" s="338">
        <f t="shared" si="136"/>
        <v>1.5641016144974647</v>
      </c>
      <c r="E347" s="338">
        <f t="shared" si="137"/>
        <v>1.0022336856889502</v>
      </c>
      <c r="F347" s="339">
        <f t="shared" si="138"/>
        <v>6.6776280302505403E-2</v>
      </c>
      <c r="G347" s="338">
        <f t="shared" si="139"/>
        <v>1</v>
      </c>
      <c r="H347" s="339">
        <f t="shared" si="140"/>
        <v>0</v>
      </c>
      <c r="I347" s="337">
        <f t="shared" si="141"/>
        <v>87784.255000832825</v>
      </c>
      <c r="J347" s="340">
        <f t="shared" si="142"/>
        <v>1.5707849352304297</v>
      </c>
      <c r="K347" s="348">
        <f t="shared" si="158"/>
        <v>43.333625544367152</v>
      </c>
      <c r="L347" s="349">
        <f t="shared" si="159"/>
        <v>1.5477175106351013</v>
      </c>
      <c r="M347" s="337">
        <f t="shared" si="143"/>
        <v>1.003731188049195</v>
      </c>
      <c r="N347" s="340">
        <f t="shared" si="144"/>
        <v>8.6251068374383705E-2</v>
      </c>
      <c r="O347" s="341">
        <f t="shared" si="145"/>
        <v>0.99293455821636112</v>
      </c>
      <c r="P347" s="342">
        <f t="shared" si="146"/>
        <v>4.0186314093286706E-2</v>
      </c>
      <c r="Q347" s="343">
        <f t="shared" si="147"/>
        <v>-12.840351696393446</v>
      </c>
      <c r="R347" s="344">
        <f t="shared" si="148"/>
        <v>-94.356416776832091</v>
      </c>
      <c r="S347" s="346">
        <f t="shared" si="149"/>
        <v>85.643583223167909</v>
      </c>
      <c r="U347" s="319">
        <f t="shared" si="155"/>
        <v>26609</v>
      </c>
      <c r="V347" s="319">
        <f t="shared" si="156"/>
        <v>708038881</v>
      </c>
      <c r="X347" s="345">
        <f t="shared" si="150"/>
        <v>31.543043992724201</v>
      </c>
      <c r="Y347" s="346">
        <f t="shared" si="151"/>
        <v>-6.2634882770521481</v>
      </c>
      <c r="AA347" s="345">
        <f t="shared" si="152"/>
        <v>4.3645711148319961</v>
      </c>
      <c r="AB347" s="346">
        <f t="shared" si="153"/>
        <v>-88.092928499779958</v>
      </c>
      <c r="AD347">
        <f t="shared" si="157"/>
        <v>0</v>
      </c>
      <c r="AE347">
        <f t="shared" si="160"/>
        <v>0</v>
      </c>
    </row>
    <row r="348" spans="1:31" x14ac:dyDescent="0.2">
      <c r="A348" s="347">
        <v>26762</v>
      </c>
      <c r="B348" s="364">
        <f t="shared" si="154"/>
        <v>26.762</v>
      </c>
      <c r="C348" s="337">
        <f t="shared" si="135"/>
        <v>150.23157761424019</v>
      </c>
      <c r="D348" s="338">
        <f t="shared" si="136"/>
        <v>1.564139887445618</v>
      </c>
      <c r="E348" s="338">
        <f t="shared" si="137"/>
        <v>1.002259417592982</v>
      </c>
      <c r="F348" s="339">
        <f t="shared" si="138"/>
        <v>6.7159089319833443E-2</v>
      </c>
      <c r="G348" s="338">
        <f t="shared" si="139"/>
        <v>1</v>
      </c>
      <c r="H348" s="339">
        <f t="shared" si="140"/>
        <v>0</v>
      </c>
      <c r="I348" s="337">
        <f t="shared" si="141"/>
        <v>88289.008693695752</v>
      </c>
      <c r="J348" s="340">
        <f t="shared" si="142"/>
        <v>1.5707850003567043</v>
      </c>
      <c r="K348" s="348">
        <f t="shared" si="158"/>
        <v>43.582658730517203</v>
      </c>
      <c r="L348" s="349">
        <f t="shared" si="159"/>
        <v>1.547849407200985</v>
      </c>
      <c r="M348" s="337">
        <f t="shared" si="143"/>
        <v>1.0037741386806704</v>
      </c>
      <c r="N348" s="340">
        <f t="shared" si="144"/>
        <v>8.6744529303020221E-2</v>
      </c>
      <c r="O348" s="341">
        <f t="shared" si="145"/>
        <v>0.99285314329715579</v>
      </c>
      <c r="P348" s="342">
        <f t="shared" si="146"/>
        <v>4.0420824381675123E-2</v>
      </c>
      <c r="Q348" s="343">
        <f t="shared" si="147"/>
        <v>-12.889612547184583</v>
      </c>
      <c r="R348" s="344">
        <f t="shared" si="148"/>
        <v>-94.370832607440605</v>
      </c>
      <c r="S348" s="346">
        <f t="shared" si="149"/>
        <v>85.629167392559395</v>
      </c>
      <c r="U348" s="319">
        <f t="shared" si="155"/>
        <v>26762</v>
      </c>
      <c r="V348" s="319">
        <f t="shared" si="156"/>
        <v>716204644</v>
      </c>
      <c r="X348" s="345">
        <f t="shared" si="150"/>
        <v>31.54264595394249</v>
      </c>
      <c r="Y348" s="346">
        <f t="shared" si="151"/>
        <v>-6.2842081205445668</v>
      </c>
      <c r="AA348" s="345">
        <f t="shared" si="152"/>
        <v>4.3157083028225687</v>
      </c>
      <c r="AB348" s="346">
        <f t="shared" si="153"/>
        <v>-88.086624486896056</v>
      </c>
      <c r="AD348">
        <f t="shared" si="157"/>
        <v>0</v>
      </c>
      <c r="AE348">
        <f t="shared" si="160"/>
        <v>0</v>
      </c>
    </row>
    <row r="349" spans="1:31" x14ac:dyDescent="0.2">
      <c r="A349" s="347">
        <v>26915</v>
      </c>
      <c r="B349" s="364">
        <f t="shared" si="154"/>
        <v>26.914999999999999</v>
      </c>
      <c r="C349" s="337">
        <f t="shared" si="135"/>
        <v>151.09042283663797</v>
      </c>
      <c r="D349" s="338">
        <f t="shared" si="136"/>
        <v>1.5641777252830089</v>
      </c>
      <c r="E349" s="338">
        <f t="shared" si="137"/>
        <v>1.0022852963633044</v>
      </c>
      <c r="F349" s="339">
        <f t="shared" si="138"/>
        <v>6.7541878625176716E-2</v>
      </c>
      <c r="G349" s="338">
        <f t="shared" si="139"/>
        <v>1</v>
      </c>
      <c r="H349" s="339">
        <f t="shared" si="140"/>
        <v>0</v>
      </c>
      <c r="I349" s="337">
        <f t="shared" si="141"/>
        <v>88793.762386559043</v>
      </c>
      <c r="J349" s="340">
        <f t="shared" si="142"/>
        <v>1.5707850647425503</v>
      </c>
      <c r="K349" s="348">
        <f t="shared" si="158"/>
        <v>43.831692666246383</v>
      </c>
      <c r="L349" s="349">
        <f t="shared" si="159"/>
        <v>1.547979805003318</v>
      </c>
      <c r="M349" s="337">
        <f t="shared" si="143"/>
        <v>1.0038173337138996</v>
      </c>
      <c r="N349" s="340">
        <f t="shared" si="144"/>
        <v>8.723794788378951E-2</v>
      </c>
      <c r="O349" s="341">
        <f t="shared" si="145"/>
        <v>0.99277126321878761</v>
      </c>
      <c r="P349" s="342">
        <f t="shared" si="146"/>
        <v>4.0655394417507866E-2</v>
      </c>
      <c r="Q349" s="343">
        <f t="shared" si="147"/>
        <v>-12.938585790016024</v>
      </c>
      <c r="R349" s="344">
        <f t="shared" si="148"/>
        <v>-94.385311464777317</v>
      </c>
      <c r="S349" s="346">
        <f t="shared" si="149"/>
        <v>85.614688535222683</v>
      </c>
      <c r="U349" s="319">
        <f t="shared" si="155"/>
        <v>26915</v>
      </c>
      <c r="V349" s="319">
        <f t="shared" si="156"/>
        <v>724417225</v>
      </c>
      <c r="X349" s="345">
        <f t="shared" si="150"/>
        <v>31.542246264544524</v>
      </c>
      <c r="Y349" s="346">
        <f t="shared" si="151"/>
        <v>-6.3050113680855207</v>
      </c>
      <c r="AA349" s="345">
        <f t="shared" si="152"/>
        <v>4.2671347493890979</v>
      </c>
      <c r="AB349" s="346">
        <f t="shared" si="153"/>
        <v>-88.080300096691786</v>
      </c>
      <c r="AD349">
        <f t="shared" si="157"/>
        <v>0</v>
      </c>
      <c r="AE349">
        <f t="shared" si="160"/>
        <v>0</v>
      </c>
    </row>
    <row r="350" spans="1:31" x14ac:dyDescent="0.2">
      <c r="A350" s="347">
        <v>27071.75</v>
      </c>
      <c r="B350" s="364">
        <f t="shared" si="154"/>
        <v>27.071750000000002</v>
      </c>
      <c r="C350" s="337">
        <f t="shared" si="135"/>
        <v>151.97031840880325</v>
      </c>
      <c r="D350" s="338">
        <f t="shared" si="136"/>
        <v>1.5642160469929764</v>
      </c>
      <c r="E350" s="338">
        <f t="shared" si="137"/>
        <v>1.0023119617152196</v>
      </c>
      <c r="F350" s="339">
        <f t="shared" si="138"/>
        <v>6.7934029463040682E-2</v>
      </c>
      <c r="G350" s="338">
        <f t="shared" si="139"/>
        <v>1</v>
      </c>
      <c r="H350" s="339">
        <f t="shared" si="140"/>
        <v>0</v>
      </c>
      <c r="I350" s="337">
        <f t="shared" si="141"/>
        <v>89310.887493463495</v>
      </c>
      <c r="J350" s="340">
        <f t="shared" si="142"/>
        <v>1.5707851299517335</v>
      </c>
      <c r="K350" s="348">
        <f t="shared" si="158"/>
        <v>44.086831138991499</v>
      </c>
      <c r="L350" s="349">
        <f t="shared" si="159"/>
        <v>1.5481118710651394</v>
      </c>
      <c r="M350" s="337">
        <f t="shared" si="143"/>
        <v>1.0038618408764588</v>
      </c>
      <c r="N350" s="340">
        <f t="shared" si="144"/>
        <v>8.774341589426532E-2</v>
      </c>
      <c r="O350" s="341">
        <f t="shared" si="145"/>
        <v>0.99268689390507669</v>
      </c>
      <c r="P350" s="342">
        <f t="shared" si="146"/>
        <v>4.0895776054621573E-2</v>
      </c>
      <c r="Q350" s="343">
        <f t="shared" si="147"/>
        <v>-12.988464462563648</v>
      </c>
      <c r="R350" s="344">
        <f t="shared" si="148"/>
        <v>-94.400209494306964</v>
      </c>
      <c r="S350" s="346">
        <f t="shared" si="149"/>
        <v>85.599790505693036</v>
      </c>
      <c r="U350" s="319">
        <f t="shared" si="155"/>
        <v>27071.75</v>
      </c>
      <c r="V350" s="319">
        <f t="shared" si="156"/>
        <v>732879648.0625</v>
      </c>
      <c r="X350" s="345">
        <f t="shared" si="150"/>
        <v>31.541835057050683</v>
      </c>
      <c r="Y350" s="346">
        <f t="shared" si="151"/>
        <v>-6.3264094600408187</v>
      </c>
      <c r="AA350" s="345">
        <f t="shared" si="152"/>
        <v>4.2176672843353131</v>
      </c>
      <c r="AB350" s="346">
        <f t="shared" si="153"/>
        <v>-88.073800034266156</v>
      </c>
      <c r="AD350">
        <f t="shared" si="157"/>
        <v>0</v>
      </c>
      <c r="AE350">
        <f t="shared" si="160"/>
        <v>0</v>
      </c>
    </row>
    <row r="351" spans="1:31" x14ac:dyDescent="0.2">
      <c r="A351" s="347">
        <v>27228.5</v>
      </c>
      <c r="B351" s="364">
        <f t="shared" si="154"/>
        <v>27.2285</v>
      </c>
      <c r="C351" s="337">
        <f t="shared" si="135"/>
        <v>152.85021420157562</v>
      </c>
      <c r="D351" s="338">
        <f t="shared" si="136"/>
        <v>1.5642539274983653</v>
      </c>
      <c r="E351" s="338">
        <f t="shared" si="137"/>
        <v>1.0023387811967384</v>
      </c>
      <c r="F351" s="339">
        <f t="shared" si="138"/>
        <v>6.8326159375720757E-2</v>
      </c>
      <c r="G351" s="338">
        <f t="shared" si="139"/>
        <v>1</v>
      </c>
      <c r="H351" s="339">
        <f t="shared" si="140"/>
        <v>0</v>
      </c>
      <c r="I351" s="337">
        <f t="shared" si="141"/>
        <v>89828.012600368296</v>
      </c>
      <c r="J351" s="340">
        <f t="shared" si="142"/>
        <v>1.5707851944101197</v>
      </c>
      <c r="K351" s="348">
        <f t="shared" si="158"/>
        <v>44.341970371825887</v>
      </c>
      <c r="L351" s="349">
        <f t="shared" si="159"/>
        <v>1.548242417339571</v>
      </c>
      <c r="M351" s="337">
        <f t="shared" si="143"/>
        <v>1.0039066045008398</v>
      </c>
      <c r="N351" s="340">
        <f t="shared" si="144"/>
        <v>8.8248838956804049E-2</v>
      </c>
      <c r="O351" s="341">
        <f t="shared" si="145"/>
        <v>0.99260203641128353</v>
      </c>
      <c r="P351" s="342">
        <f t="shared" si="146"/>
        <v>4.1136221163698201E-2</v>
      </c>
      <c r="Q351" s="343">
        <f t="shared" si="147"/>
        <v>-13.038048052867266</v>
      </c>
      <c r="R351" s="344">
        <f t="shared" si="148"/>
        <v>-94.415171539335375</v>
      </c>
      <c r="S351" s="346">
        <f t="shared" si="149"/>
        <v>85.584828460664625</v>
      </c>
      <c r="U351" s="319">
        <f t="shared" si="155"/>
        <v>27228.5</v>
      </c>
      <c r="V351" s="319">
        <f t="shared" si="156"/>
        <v>741391212.25</v>
      </c>
      <c r="X351" s="345">
        <f t="shared" si="150"/>
        <v>31.54142209703992</v>
      </c>
      <c r="Y351" s="346">
        <f t="shared" si="151"/>
        <v>-6.3478920110548058</v>
      </c>
      <c r="AA351" s="345">
        <f t="shared" si="152"/>
        <v>4.1684966540424542</v>
      </c>
      <c r="AB351" s="346">
        <f t="shared" si="153"/>
        <v>-88.067279528280565</v>
      </c>
      <c r="AD351">
        <f t="shared" si="157"/>
        <v>0</v>
      </c>
      <c r="AE351">
        <f t="shared" si="160"/>
        <v>0</v>
      </c>
    </row>
    <row r="352" spans="1:31" x14ac:dyDescent="0.2">
      <c r="A352" s="347">
        <v>27385.25</v>
      </c>
      <c r="B352" s="364">
        <f t="shared" si="154"/>
        <v>27.385249999999999</v>
      </c>
      <c r="C352" s="337">
        <f t="shared" si="135"/>
        <v>153.73011021116702</v>
      </c>
      <c r="D352" s="338">
        <f t="shared" si="136"/>
        <v>1.5642913743749565</v>
      </c>
      <c r="E352" s="338">
        <f t="shared" si="137"/>
        <v>1.0023657547954885</v>
      </c>
      <c r="F352" s="339">
        <f t="shared" si="138"/>
        <v>6.8718268244309058E-2</v>
      </c>
      <c r="G352" s="338">
        <f t="shared" si="139"/>
        <v>1</v>
      </c>
      <c r="H352" s="339">
        <f t="shared" si="140"/>
        <v>0</v>
      </c>
      <c r="I352" s="337">
        <f t="shared" si="141"/>
        <v>90345.137707273476</v>
      </c>
      <c r="J352" s="340">
        <f t="shared" si="142"/>
        <v>1.570785258130601</v>
      </c>
      <c r="K352" s="348">
        <f t="shared" si="158"/>
        <v>44.59711035170416</v>
      </c>
      <c r="L352" s="349">
        <f t="shared" si="159"/>
        <v>1.5483714699062272</v>
      </c>
      <c r="M352" s="337">
        <f t="shared" si="143"/>
        <v>1.0039516245527373</v>
      </c>
      <c r="N352" s="340">
        <f t="shared" si="144"/>
        <v>8.8754216819212209E-2</v>
      </c>
      <c r="O352" s="341">
        <f t="shared" si="145"/>
        <v>0.99251669076827609</v>
      </c>
      <c r="P352" s="342">
        <f t="shared" si="146"/>
        <v>4.1376730129706038E-2</v>
      </c>
      <c r="Q352" s="343">
        <f t="shared" si="147"/>
        <v>-13.087339912386335</v>
      </c>
      <c r="R352" s="344">
        <f t="shared" si="148"/>
        <v>-94.430196554829948</v>
      </c>
      <c r="S352" s="346">
        <f t="shared" si="149"/>
        <v>85.569803445170052</v>
      </c>
      <c r="U352" s="319">
        <f t="shared" si="155"/>
        <v>27385.25</v>
      </c>
      <c r="V352" s="319">
        <f t="shared" si="156"/>
        <v>749951917.5625</v>
      </c>
      <c r="X352" s="345">
        <f t="shared" si="150"/>
        <v>31.541007374850267</v>
      </c>
      <c r="Y352" s="346">
        <f t="shared" si="151"/>
        <v>-6.3694575131646891</v>
      </c>
      <c r="AA352" s="345">
        <f t="shared" si="152"/>
        <v>4.119619516713044</v>
      </c>
      <c r="AB352" s="346">
        <f t="shared" si="153"/>
        <v>-88.060739041665258</v>
      </c>
      <c r="AD352">
        <f t="shared" si="157"/>
        <v>0</v>
      </c>
      <c r="AE352">
        <f t="shared" si="160"/>
        <v>0</v>
      </c>
    </row>
    <row r="353" spans="1:31" x14ac:dyDescent="0.2">
      <c r="A353" s="347">
        <v>27542</v>
      </c>
      <c r="B353" s="364">
        <f t="shared" si="154"/>
        <v>27.542000000000002</v>
      </c>
      <c r="C353" s="337">
        <f t="shared" si="135"/>
        <v>154.61000643387564</v>
      </c>
      <c r="D353" s="338">
        <f t="shared" si="136"/>
        <v>1.564328395026078</v>
      </c>
      <c r="E353" s="338">
        <f t="shared" si="137"/>
        <v>1.0023928824990289</v>
      </c>
      <c r="F353" s="339">
        <f t="shared" si="138"/>
        <v>6.9110355949936308E-2</v>
      </c>
      <c r="G353" s="338">
        <f t="shared" si="139"/>
        <v>1</v>
      </c>
      <c r="H353" s="339">
        <f t="shared" si="140"/>
        <v>0</v>
      </c>
      <c r="I353" s="337">
        <f t="shared" si="141"/>
        <v>90862.262814179019</v>
      </c>
      <c r="J353" s="340">
        <f t="shared" si="142"/>
        <v>1.5707853211257767</v>
      </c>
      <c r="K353" s="348">
        <f t="shared" si="158"/>
        <v>44.852251065877759</v>
      </c>
      <c r="L353" s="349">
        <f t="shared" si="159"/>
        <v>1.5484990542515102</v>
      </c>
      <c r="M353" s="337">
        <f t="shared" si="143"/>
        <v>1.0039969009976566</v>
      </c>
      <c r="N353" s="340">
        <f t="shared" si="144"/>
        <v>8.9259549229433841E-2</v>
      </c>
      <c r="O353" s="341">
        <f t="shared" si="145"/>
        <v>0.99243085700711309</v>
      </c>
      <c r="P353" s="342">
        <f t="shared" si="146"/>
        <v>4.1617303337921255E-2</v>
      </c>
      <c r="Q353" s="343">
        <f t="shared" si="147"/>
        <v>-13.136343335060538</v>
      </c>
      <c r="R353" s="344">
        <f t="shared" si="148"/>
        <v>-94.445283519872433</v>
      </c>
      <c r="S353" s="346">
        <f t="shared" si="149"/>
        <v>85.554716480127567</v>
      </c>
      <c r="U353" s="319">
        <f t="shared" si="155"/>
        <v>27542</v>
      </c>
      <c r="V353" s="319">
        <f t="shared" si="156"/>
        <v>758561764</v>
      </c>
      <c r="X353" s="345">
        <f t="shared" si="150"/>
        <v>31.540590881113797</v>
      </c>
      <c r="Y353" s="346">
        <f t="shared" si="151"/>
        <v>-6.3911044923873472</v>
      </c>
      <c r="AA353" s="345">
        <f t="shared" si="152"/>
        <v>4.0710325877753082</v>
      </c>
      <c r="AB353" s="346">
        <f t="shared" si="153"/>
        <v>-88.054179027485077</v>
      </c>
      <c r="AD353">
        <f t="shared" si="157"/>
        <v>0</v>
      </c>
      <c r="AE353">
        <f t="shared" si="160"/>
        <v>0</v>
      </c>
    </row>
    <row r="354" spans="1:31" x14ac:dyDescent="0.2">
      <c r="A354" s="347">
        <v>27702.5</v>
      </c>
      <c r="B354" s="364">
        <f t="shared" si="154"/>
        <v>27.702500000000001</v>
      </c>
      <c r="C354" s="337">
        <f t="shared" si="135"/>
        <v>155.51095302250064</v>
      </c>
      <c r="D354" s="338">
        <f t="shared" si="136"/>
        <v>1.5643658672523446</v>
      </c>
      <c r="E354" s="338">
        <f t="shared" si="137"/>
        <v>1.0024208188565908</v>
      </c>
      <c r="F354" s="339">
        <f t="shared" si="138"/>
        <v>6.9511801691651096E-2</v>
      </c>
      <c r="G354" s="338">
        <f t="shared" si="139"/>
        <v>1</v>
      </c>
      <c r="H354" s="339">
        <f t="shared" si="140"/>
        <v>0</v>
      </c>
      <c r="I354" s="337">
        <f t="shared" si="141"/>
        <v>91391.759335125738</v>
      </c>
      <c r="J354" s="340">
        <f t="shared" si="142"/>
        <v>1.5707853848893321</v>
      </c>
      <c r="K354" s="348">
        <f t="shared" si="158"/>
        <v>45.113496372731731</v>
      </c>
      <c r="L354" s="349">
        <f t="shared" si="159"/>
        <v>1.5486281955382573</v>
      </c>
      <c r="M354" s="337">
        <f t="shared" si="143"/>
        <v>1.0040435262419858</v>
      </c>
      <c r="N354" s="340">
        <f t="shared" si="144"/>
        <v>8.9776923572402592E-2</v>
      </c>
      <c r="O354" s="341">
        <f t="shared" si="145"/>
        <v>0.99234246406528914</v>
      </c>
      <c r="P354" s="342">
        <f t="shared" si="146"/>
        <v>4.1863698854700732E-2</v>
      </c>
      <c r="Q354" s="343">
        <f t="shared" si="147"/>
        <v>-13.18622359968054</v>
      </c>
      <c r="R354" s="344">
        <f t="shared" si="148"/>
        <v>-94.460794565774421</v>
      </c>
      <c r="S354" s="346">
        <f t="shared" si="149"/>
        <v>85.539205434225579</v>
      </c>
      <c r="U354" s="319">
        <f t="shared" si="155"/>
        <v>27702.5</v>
      </c>
      <c r="V354" s="319">
        <f t="shared" si="156"/>
        <v>767428506.25</v>
      </c>
      <c r="X354" s="345">
        <f t="shared" si="150"/>
        <v>31.540162578300716</v>
      </c>
      <c r="Y354" s="346">
        <f t="shared" si="151"/>
        <v>-6.413352261384345</v>
      </c>
      <c r="AA354" s="345">
        <f t="shared" si="152"/>
        <v>4.0215806259683857</v>
      </c>
      <c r="AB354" s="346">
        <f t="shared" si="153"/>
        <v>-88.047442304390074</v>
      </c>
      <c r="AD354">
        <f t="shared" si="157"/>
        <v>0</v>
      </c>
      <c r="AE354">
        <f t="shared" si="160"/>
        <v>0</v>
      </c>
    </row>
    <row r="355" spans="1:31" x14ac:dyDescent="0.2">
      <c r="A355" s="347">
        <v>27863</v>
      </c>
      <c r="B355" s="364">
        <f t="shared" si="154"/>
        <v>27.863</v>
      </c>
      <c r="C355" s="337">
        <f t="shared" si="135"/>
        <v>156.4118998269735</v>
      </c>
      <c r="D355" s="338">
        <f t="shared" si="136"/>
        <v>1.5644029077917827</v>
      </c>
      <c r="E355" s="338">
        <f t="shared" si="137"/>
        <v>1.0024489167539528</v>
      </c>
      <c r="F355" s="339">
        <f t="shared" si="138"/>
        <v>6.9913224993604736E-2</v>
      </c>
      <c r="G355" s="338">
        <f t="shared" si="139"/>
        <v>1</v>
      </c>
      <c r="H355" s="339">
        <f t="shared" si="140"/>
        <v>0</v>
      </c>
      <c r="I355" s="337">
        <f t="shared" si="141"/>
        <v>91921.255856072836</v>
      </c>
      <c r="J355" s="340">
        <f t="shared" si="142"/>
        <v>1.5707854479182897</v>
      </c>
      <c r="K355" s="348">
        <f t="shared" si="158"/>
        <v>45.374742423301107</v>
      </c>
      <c r="L355" s="349">
        <f t="shared" si="159"/>
        <v>1.5487558497596687</v>
      </c>
      <c r="M355" s="337">
        <f t="shared" si="143"/>
        <v>1.0040904202198795</v>
      </c>
      <c r="N355" s="340">
        <f t="shared" si="144"/>
        <v>9.0294249728027368E-2</v>
      </c>
      <c r="O355" s="341">
        <f t="shared" si="145"/>
        <v>0.99225355943753035</v>
      </c>
      <c r="P355" s="342">
        <f t="shared" si="146"/>
        <v>4.2110162542767934E-2</v>
      </c>
      <c r="Q355" s="343">
        <f t="shared" si="147"/>
        <v>-13.2358082718704</v>
      </c>
      <c r="R355" s="344">
        <f t="shared" si="148"/>
        <v>-94.476368469020599</v>
      </c>
      <c r="S355" s="346">
        <f t="shared" si="149"/>
        <v>85.523631530979401</v>
      </c>
      <c r="U355" s="319">
        <f t="shared" si="155"/>
        <v>27863</v>
      </c>
      <c r="V355" s="319">
        <f t="shared" si="156"/>
        <v>776346769</v>
      </c>
      <c r="X355" s="345">
        <f t="shared" si="150"/>
        <v>31.539732399188537</v>
      </c>
      <c r="Y355" s="346">
        <f t="shared" si="151"/>
        <v>-6.4356824299282431</v>
      </c>
      <c r="AA355" s="345">
        <f t="shared" si="152"/>
        <v>3.9724261328907056</v>
      </c>
      <c r="AB355" s="346">
        <f t="shared" si="153"/>
        <v>-88.040686039092378</v>
      </c>
      <c r="AD355">
        <f t="shared" si="157"/>
        <v>0</v>
      </c>
      <c r="AE355">
        <f t="shared" si="160"/>
        <v>0</v>
      </c>
    </row>
    <row r="356" spans="1:31" x14ac:dyDescent="0.2">
      <c r="A356" s="347">
        <v>28023.5</v>
      </c>
      <c r="B356" s="364">
        <f t="shared" si="154"/>
        <v>28.023499999999999</v>
      </c>
      <c r="C356" s="337">
        <f t="shared" si="135"/>
        <v>157.3128468435857</v>
      </c>
      <c r="D356" s="338">
        <f t="shared" si="136"/>
        <v>1.5644395240612359</v>
      </c>
      <c r="E356" s="338">
        <f t="shared" si="137"/>
        <v>1.0024771761775317</v>
      </c>
      <c r="F356" s="339">
        <f t="shared" si="138"/>
        <v>7.0314625728318342E-2</v>
      </c>
      <c r="G356" s="338">
        <f t="shared" si="139"/>
        <v>1</v>
      </c>
      <c r="H356" s="339">
        <f t="shared" si="140"/>
        <v>0</v>
      </c>
      <c r="I356" s="337">
        <f t="shared" si="141"/>
        <v>92450.752377020253</v>
      </c>
      <c r="J356" s="340">
        <f t="shared" si="142"/>
        <v>1.570785510225271</v>
      </c>
      <c r="K356" s="348">
        <f t="shared" si="158"/>
        <v>45.635989204813562</v>
      </c>
      <c r="L356" s="349">
        <f t="shared" si="159"/>
        <v>1.5488820424500123</v>
      </c>
      <c r="M356" s="337">
        <f t="shared" si="143"/>
        <v>1.0041375828936878</v>
      </c>
      <c r="N356" s="340">
        <f t="shared" si="144"/>
        <v>9.0811527426178582E-2</v>
      </c>
      <c r="O356" s="341">
        <f t="shared" si="145"/>
        <v>0.99216414315780477</v>
      </c>
      <c r="P356" s="342">
        <f t="shared" si="146"/>
        <v>4.2356694816733362E-2</v>
      </c>
      <c r="Q356" s="343">
        <f t="shared" si="147"/>
        <v>-13.285100708669146</v>
      </c>
      <c r="R356" s="344">
        <f t="shared" si="148"/>
        <v>-94.492004207864412</v>
      </c>
      <c r="S356" s="346">
        <f t="shared" si="149"/>
        <v>85.507995792135588</v>
      </c>
      <c r="U356" s="319">
        <f t="shared" si="155"/>
        <v>28023.5</v>
      </c>
      <c r="V356" s="319">
        <f t="shared" si="156"/>
        <v>785316552.25</v>
      </c>
      <c r="X356" s="345">
        <f t="shared" si="150"/>
        <v>31.539300334616051</v>
      </c>
      <c r="Y356" s="346">
        <f t="shared" si="151"/>
        <v>-6.4580935202591272</v>
      </c>
      <c r="AA356" s="345">
        <f t="shared" si="152"/>
        <v>3.9235657606644478</v>
      </c>
      <c r="AB356" s="346">
        <f t="shared" si="153"/>
        <v>-88.033910687605257</v>
      </c>
      <c r="AD356">
        <f t="shared" si="157"/>
        <v>0</v>
      </c>
      <c r="AE356">
        <f t="shared" si="160"/>
        <v>0</v>
      </c>
    </row>
    <row r="357" spans="1:31" x14ac:dyDescent="0.2">
      <c r="A357" s="347">
        <v>28184</v>
      </c>
      <c r="B357" s="364">
        <f t="shared" si="154"/>
        <v>28.184000000000001</v>
      </c>
      <c r="C357" s="337">
        <f t="shared" si="135"/>
        <v>158.21379406871313</v>
      </c>
      <c r="D357" s="338">
        <f t="shared" si="136"/>
        <v>1.5644757233086115</v>
      </c>
      <c r="E357" s="338">
        <f t="shared" si="137"/>
        <v>1.002505597113668</v>
      </c>
      <c r="F357" s="339">
        <f t="shared" si="138"/>
        <v>7.0716003768356406E-2</v>
      </c>
      <c r="G357" s="338">
        <f t="shared" si="139"/>
        <v>1</v>
      </c>
      <c r="H357" s="339">
        <f t="shared" si="140"/>
        <v>0</v>
      </c>
      <c r="I357" s="337">
        <f t="shared" si="141"/>
        <v>92980.248897968064</v>
      </c>
      <c r="J357" s="340">
        <f t="shared" si="142"/>
        <v>1.5707855718226109</v>
      </c>
      <c r="K357" s="348">
        <f t="shared" si="158"/>
        <v>45.897236704787524</v>
      </c>
      <c r="L357" s="349">
        <f t="shared" si="159"/>
        <v>1.5490067985623799</v>
      </c>
      <c r="M357" s="337">
        <f t="shared" si="143"/>
        <v>1.0041850142255522</v>
      </c>
      <c r="N357" s="340">
        <f t="shared" si="144"/>
        <v>9.1328756396880983E-2</v>
      </c>
      <c r="O357" s="341">
        <f t="shared" si="145"/>
        <v>0.99207421526029127</v>
      </c>
      <c r="P357" s="342">
        <f t="shared" si="146"/>
        <v>4.2603296091554541E-2</v>
      </c>
      <c r="Q357" s="343">
        <f t="shared" si="147"/>
        <v>-13.334104209467712</v>
      </c>
      <c r="R357" s="344">
        <f t="shared" si="148"/>
        <v>-94.507700784188501</v>
      </c>
      <c r="S357" s="346">
        <f t="shared" si="149"/>
        <v>85.492299215811499</v>
      </c>
      <c r="U357" s="319">
        <f t="shared" si="155"/>
        <v>28184</v>
      </c>
      <c r="V357" s="319">
        <f t="shared" si="156"/>
        <v>794337856</v>
      </c>
      <c r="X357" s="345">
        <f t="shared" si="150"/>
        <v>31.538866375703986</v>
      </c>
      <c r="Y357" s="346">
        <f t="shared" si="151"/>
        <v>-6.480584087908456</v>
      </c>
      <c r="AA357" s="345">
        <f t="shared" si="152"/>
        <v>3.8749962187779445</v>
      </c>
      <c r="AB357" s="346">
        <f t="shared" si="153"/>
        <v>-88.027116696280061</v>
      </c>
      <c r="AD357">
        <f t="shared" si="157"/>
        <v>0</v>
      </c>
      <c r="AE357">
        <f t="shared" si="160"/>
        <v>0</v>
      </c>
    </row>
    <row r="358" spans="1:31" x14ac:dyDescent="0.2">
      <c r="A358" s="347">
        <v>28348</v>
      </c>
      <c r="B358" s="364">
        <f t="shared" si="154"/>
        <v>28.347999999999999</v>
      </c>
      <c r="C358" s="337">
        <f t="shared" si="135"/>
        <v>159.13438832976513</v>
      </c>
      <c r="D358" s="338">
        <f t="shared" si="136"/>
        <v>1.5645122885549605</v>
      </c>
      <c r="E358" s="338">
        <f t="shared" si="137"/>
        <v>1.0025348046407863</v>
      </c>
      <c r="F358" s="339">
        <f t="shared" si="138"/>
        <v>7.1126111025578573E-2</v>
      </c>
      <c r="G358" s="338">
        <f t="shared" si="139"/>
        <v>1</v>
      </c>
      <c r="H358" s="339">
        <f t="shared" si="140"/>
        <v>0</v>
      </c>
      <c r="I358" s="337">
        <f t="shared" si="141"/>
        <v>93521.292072020995</v>
      </c>
      <c r="J358" s="340">
        <f t="shared" si="142"/>
        <v>1.5707856340427131</v>
      </c>
      <c r="K358" s="348">
        <f t="shared" si="158"/>
        <v>46.164181920184639</v>
      </c>
      <c r="L358" s="349">
        <f t="shared" si="159"/>
        <v>1.5491328166744953</v>
      </c>
      <c r="M358" s="337">
        <f t="shared" si="143"/>
        <v>1.0042337573557318</v>
      </c>
      <c r="N358" s="340">
        <f t="shared" si="144"/>
        <v>9.1857213890357739E-2</v>
      </c>
      <c r="O358" s="341">
        <f t="shared" si="145"/>
        <v>0.99198179787947127</v>
      </c>
      <c r="P358" s="342">
        <f t="shared" si="146"/>
        <v>4.2855346670679022E-2</v>
      </c>
      <c r="Q358" s="343">
        <f t="shared" si="147"/>
        <v>-13.383881240499173</v>
      </c>
      <c r="R358" s="344">
        <f t="shared" si="148"/>
        <v>-94.523801480931837</v>
      </c>
      <c r="S358" s="346">
        <f t="shared" si="149"/>
        <v>85.476198519068163</v>
      </c>
      <c r="U358" s="319">
        <f t="shared" si="155"/>
        <v>28348</v>
      </c>
      <c r="V358" s="319">
        <f t="shared" si="156"/>
        <v>803609104</v>
      </c>
      <c r="X358" s="345">
        <f t="shared" si="150"/>
        <v>31.538420987805708</v>
      </c>
      <c r="Y358" s="346">
        <f t="shared" si="151"/>
        <v>-6.503645730945923</v>
      </c>
      <c r="AA358" s="345">
        <f t="shared" si="152"/>
        <v>3.8256645756447605</v>
      </c>
      <c r="AB358" s="346">
        <f t="shared" si="153"/>
        <v>-88.020155749985889</v>
      </c>
      <c r="AD358">
        <f t="shared" si="157"/>
        <v>0</v>
      </c>
      <c r="AE358">
        <f t="shared" si="160"/>
        <v>0</v>
      </c>
    </row>
    <row r="359" spans="1:31" x14ac:dyDescent="0.2">
      <c r="A359" s="347">
        <v>28512</v>
      </c>
      <c r="B359" s="364">
        <f t="shared" si="154"/>
        <v>28.512</v>
      </c>
      <c r="C359" s="337">
        <f t="shared" si="135"/>
        <v>160.05498280113503</v>
      </c>
      <c r="D359" s="338">
        <f t="shared" si="136"/>
        <v>1.5645484331738575</v>
      </c>
      <c r="E359" s="338">
        <f t="shared" si="137"/>
        <v>1.0025641807723498</v>
      </c>
      <c r="F359" s="339">
        <f t="shared" si="138"/>
        <v>7.1536194318664204E-2</v>
      </c>
      <c r="G359" s="338">
        <f t="shared" si="139"/>
        <v>1</v>
      </c>
      <c r="H359" s="339">
        <f t="shared" si="140"/>
        <v>0</v>
      </c>
      <c r="I359" s="337">
        <f t="shared" si="141"/>
        <v>94062.335246074304</v>
      </c>
      <c r="J359" s="340">
        <f t="shared" si="142"/>
        <v>1.5707856955470396</v>
      </c>
      <c r="K359" s="348">
        <f t="shared" si="158"/>
        <v>46.431127860265292</v>
      </c>
      <c r="L359" s="349">
        <f t="shared" si="159"/>
        <v>1.5492573857596554</v>
      </c>
      <c r="M359" s="337">
        <f t="shared" si="143"/>
        <v>1.004282780908315</v>
      </c>
      <c r="N359" s="340">
        <f t="shared" si="144"/>
        <v>9.2385619938622154E-2</v>
      </c>
      <c r="O359" s="341">
        <f t="shared" si="145"/>
        <v>0.99188884639684838</v>
      </c>
      <c r="P359" s="342">
        <f t="shared" si="146"/>
        <v>4.3107470169925839E-2</v>
      </c>
      <c r="Q359" s="343">
        <f t="shared" si="147"/>
        <v>-13.433363382897124</v>
      </c>
      <c r="R359" s="344">
        <f t="shared" si="148"/>
        <v>-94.539963663081068</v>
      </c>
      <c r="S359" s="346">
        <f t="shared" si="149"/>
        <v>85.460036336918932</v>
      </c>
      <c r="U359" s="319">
        <f t="shared" si="155"/>
        <v>28512</v>
      </c>
      <c r="V359" s="319">
        <f t="shared" si="156"/>
        <v>812934144</v>
      </c>
      <c r="X359" s="345">
        <f t="shared" si="150"/>
        <v>31.537973604164613</v>
      </c>
      <c r="Y359" s="346">
        <f t="shared" si="151"/>
        <v>-6.5267874085079542</v>
      </c>
      <c r="AA359" s="345">
        <f t="shared" si="152"/>
        <v>3.7766298168879064</v>
      </c>
      <c r="AB359" s="346">
        <f t="shared" si="153"/>
        <v>-88.013176254573125</v>
      </c>
      <c r="AD359">
        <f t="shared" si="157"/>
        <v>0</v>
      </c>
      <c r="AE359">
        <f t="shared" si="160"/>
        <v>0</v>
      </c>
    </row>
    <row r="360" spans="1:31" x14ac:dyDescent="0.2">
      <c r="A360" s="347">
        <v>28676</v>
      </c>
      <c r="B360" s="364">
        <f t="shared" si="154"/>
        <v>28.675999999999998</v>
      </c>
      <c r="C360" s="337">
        <f t="shared" si="135"/>
        <v>160.97557747921445</v>
      </c>
      <c r="D360" s="338">
        <f t="shared" si="136"/>
        <v>1.5645841643817191</v>
      </c>
      <c r="E360" s="338">
        <f t="shared" si="137"/>
        <v>1.0025937254935378</v>
      </c>
      <c r="F360" s="339">
        <f t="shared" si="138"/>
        <v>7.1946253511799785E-2</v>
      </c>
      <c r="G360" s="338">
        <f t="shared" si="139"/>
        <v>1</v>
      </c>
      <c r="H360" s="339">
        <f t="shared" si="140"/>
        <v>0</v>
      </c>
      <c r="I360" s="337">
        <f t="shared" si="141"/>
        <v>94603.378420127949</v>
      </c>
      <c r="J360" s="340">
        <f t="shared" si="142"/>
        <v>1.5707857563478711</v>
      </c>
      <c r="K360" s="348">
        <f t="shared" si="158"/>
        <v>46.698074512601664</v>
      </c>
      <c r="L360" s="349">
        <f t="shared" si="159"/>
        <v>1.5493805306637793</v>
      </c>
      <c r="M360" s="337">
        <f t="shared" si="143"/>
        <v>1.0043320848422375</v>
      </c>
      <c r="N360" s="340">
        <f t="shared" si="144"/>
        <v>9.2913974254153722E-2</v>
      </c>
      <c r="O360" s="341">
        <f t="shared" si="145"/>
        <v>0.99179536084957309</v>
      </c>
      <c r="P360" s="342">
        <f t="shared" si="146"/>
        <v>4.3359667033132751E-2</v>
      </c>
      <c r="Q360" s="343">
        <f t="shared" si="147"/>
        <v>-13.482553978527337</v>
      </c>
      <c r="R360" s="344">
        <f t="shared" si="148"/>
        <v>-94.556186337981629</v>
      </c>
      <c r="S360" s="346">
        <f t="shared" si="149"/>
        <v>85.443813662018371</v>
      </c>
      <c r="U360" s="319">
        <f t="shared" si="155"/>
        <v>28676</v>
      </c>
      <c r="V360" s="319">
        <f t="shared" si="156"/>
        <v>822312976</v>
      </c>
      <c r="X360" s="345">
        <f t="shared" si="150"/>
        <v>31.537524216160151</v>
      </c>
      <c r="Y360" s="346">
        <f t="shared" si="151"/>
        <v>-6.5500076812581671</v>
      </c>
      <c r="AA360" s="345">
        <f t="shared" si="152"/>
        <v>3.7278886092621635</v>
      </c>
      <c r="AB360" s="346">
        <f t="shared" si="153"/>
        <v>-88.006178656723463</v>
      </c>
      <c r="AD360">
        <f t="shared" si="157"/>
        <v>0</v>
      </c>
      <c r="AE360">
        <f t="shared" si="160"/>
        <v>0</v>
      </c>
    </row>
    <row r="361" spans="1:31" x14ac:dyDescent="0.2">
      <c r="A361" s="347">
        <v>28840</v>
      </c>
      <c r="B361" s="364">
        <f t="shared" si="154"/>
        <v>28.84</v>
      </c>
      <c r="C361" s="337">
        <f t="shared" si="135"/>
        <v>161.89617236047715</v>
      </c>
      <c r="D361" s="338">
        <f t="shared" si="136"/>
        <v>1.5646194892308265</v>
      </c>
      <c r="E361" s="338">
        <f t="shared" si="137"/>
        <v>1.0026234387894466</v>
      </c>
      <c r="F361" s="339">
        <f t="shared" si="138"/>
        <v>7.2356288469220265E-2</v>
      </c>
      <c r="G361" s="338">
        <f t="shared" si="139"/>
        <v>1</v>
      </c>
      <c r="H361" s="339">
        <f t="shared" si="140"/>
        <v>0</v>
      </c>
      <c r="I361" s="337">
        <f t="shared" si="141"/>
        <v>95144.421594181942</v>
      </c>
      <c r="J361" s="340">
        <f t="shared" si="142"/>
        <v>1.5707858164572093</v>
      </c>
      <c r="K361" s="348">
        <f t="shared" si="158"/>
        <v>46.96502186504852</v>
      </c>
      <c r="L361" s="349">
        <f t="shared" si="159"/>
        <v>1.5495022756680681</v>
      </c>
      <c r="M361" s="337">
        <f t="shared" si="143"/>
        <v>1.0043816691162086</v>
      </c>
      <c r="N361" s="340">
        <f t="shared" si="144"/>
        <v>9.3442276549603812E-2</v>
      </c>
      <c r="O361" s="341">
        <f t="shared" si="145"/>
        <v>0.99170134127502751</v>
      </c>
      <c r="P361" s="342">
        <f t="shared" si="146"/>
        <v>4.3611937704525483E-2</v>
      </c>
      <c r="Q361" s="343">
        <f t="shared" si="147"/>
        <v>-13.531456311952194</v>
      </c>
      <c r="R361" s="344">
        <f t="shared" si="148"/>
        <v>-94.572468535943926</v>
      </c>
      <c r="S361" s="346">
        <f t="shared" si="149"/>
        <v>85.427531464056074</v>
      </c>
      <c r="U361" s="319">
        <f t="shared" si="155"/>
        <v>28840</v>
      </c>
      <c r="V361" s="319">
        <f t="shared" si="156"/>
        <v>831745600</v>
      </c>
      <c r="X361" s="345">
        <f t="shared" si="150"/>
        <v>31.537072815439984</v>
      </c>
      <c r="Y361" s="346">
        <f t="shared" si="151"/>
        <v>-6.5733051422099917</v>
      </c>
      <c r="AA361" s="345">
        <f t="shared" si="152"/>
        <v>3.6794376765574635</v>
      </c>
      <c r="AB361" s="346">
        <f t="shared" si="153"/>
        <v>-87.999163393733966</v>
      </c>
      <c r="AD361">
        <f t="shared" si="157"/>
        <v>0</v>
      </c>
      <c r="AE361">
        <f t="shared" si="160"/>
        <v>0</v>
      </c>
    </row>
    <row r="362" spans="1:31" x14ac:dyDescent="0.2">
      <c r="A362" s="347">
        <v>29008</v>
      </c>
      <c r="B362" s="364">
        <f t="shared" si="154"/>
        <v>29.007999999999999</v>
      </c>
      <c r="C362" s="337">
        <f t="shared" si="135"/>
        <v>162.83922098250432</v>
      </c>
      <c r="D362" s="338">
        <f t="shared" si="136"/>
        <v>1.5646552615193374</v>
      </c>
      <c r="E362" s="338">
        <f t="shared" si="137"/>
        <v>1.0026540515764535</v>
      </c>
      <c r="F362" s="339">
        <f t="shared" si="138"/>
        <v>7.277629900779857E-2</v>
      </c>
      <c r="G362" s="338">
        <f t="shared" si="139"/>
        <v>1</v>
      </c>
      <c r="H362" s="339">
        <f t="shared" si="140"/>
        <v>0</v>
      </c>
      <c r="I362" s="337">
        <f t="shared" si="141"/>
        <v>95698.660943213225</v>
      </c>
      <c r="J362" s="340">
        <f t="shared" si="142"/>
        <v>1.5707858773278909</v>
      </c>
      <c r="K362" s="348">
        <f t="shared" si="158"/>
        <v>47.238480842056248</v>
      </c>
      <c r="L362" s="349">
        <f t="shared" si="159"/>
        <v>1.5496255633350322</v>
      </c>
      <c r="M362" s="337">
        <f t="shared" si="143"/>
        <v>1.0044327533990922</v>
      </c>
      <c r="N362" s="340">
        <f t="shared" si="144"/>
        <v>9.3983410027978484E-2</v>
      </c>
      <c r="O362" s="341">
        <f t="shared" si="145"/>
        <v>0.99160447485575243</v>
      </c>
      <c r="P362" s="342">
        <f t="shared" si="146"/>
        <v>4.3870438314327354E-2</v>
      </c>
      <c r="Q362" s="343">
        <f t="shared" si="147"/>
        <v>-13.581255865597665</v>
      </c>
      <c r="R362" s="344">
        <f t="shared" si="148"/>
        <v>-94.589208588964098</v>
      </c>
      <c r="S362" s="346">
        <f t="shared" si="149"/>
        <v>85.410791411035902</v>
      </c>
      <c r="U362" s="319">
        <f t="shared" si="155"/>
        <v>29008</v>
      </c>
      <c r="V362" s="319">
        <f t="shared" si="156"/>
        <v>841464064</v>
      </c>
      <c r="X362" s="345">
        <f t="shared" si="150"/>
        <v>31.536608309537691</v>
      </c>
      <c r="Y362" s="346">
        <f t="shared" si="151"/>
        <v>-6.5972494313515364</v>
      </c>
      <c r="AA362" s="345">
        <f t="shared" si="152"/>
        <v>3.6301026288142872</v>
      </c>
      <c r="AB362" s="346">
        <f t="shared" si="153"/>
        <v>-87.991959157612584</v>
      </c>
      <c r="AD362">
        <f t="shared" si="157"/>
        <v>0</v>
      </c>
      <c r="AE362">
        <f t="shared" si="160"/>
        <v>0</v>
      </c>
    </row>
    <row r="363" spans="1:31" x14ac:dyDescent="0.2">
      <c r="A363" s="347">
        <v>29176</v>
      </c>
      <c r="B363" s="364">
        <f t="shared" si="154"/>
        <v>29.175999999999998</v>
      </c>
      <c r="C363" s="337">
        <f t="shared" si="135"/>
        <v>163.78226981051009</v>
      </c>
      <c r="D363" s="338">
        <f t="shared" si="136"/>
        <v>1.5646906218583603</v>
      </c>
      <c r="E363" s="338">
        <f t="shared" si="137"/>
        <v>1.0026848412296925</v>
      </c>
      <c r="F363" s="339">
        <f t="shared" si="138"/>
        <v>7.3196283825759142E-2</v>
      </c>
      <c r="G363" s="338">
        <f t="shared" si="139"/>
        <v>1</v>
      </c>
      <c r="H363" s="339">
        <f t="shared" si="140"/>
        <v>0</v>
      </c>
      <c r="I363" s="337">
        <f t="shared" si="141"/>
        <v>96252.900292244856</v>
      </c>
      <c r="J363" s="340">
        <f t="shared" si="142"/>
        <v>1.5707859374975666</v>
      </c>
      <c r="K363" s="348">
        <f t="shared" si="158"/>
        <v>47.511940528816517</v>
      </c>
      <c r="L363" s="349">
        <f t="shared" si="159"/>
        <v>1.5497474318150368</v>
      </c>
      <c r="M363" s="337">
        <f t="shared" si="143"/>
        <v>1.004484131775474</v>
      </c>
      <c r="N363" s="340">
        <f t="shared" si="144"/>
        <v>9.4524488307889717E-2</v>
      </c>
      <c r="O363" s="341">
        <f t="shared" si="145"/>
        <v>0.99150704812157231</v>
      </c>
      <c r="P363" s="342">
        <f t="shared" si="146"/>
        <v>4.4129017321569215E-2</v>
      </c>
      <c r="Q363" s="343">
        <f t="shared" si="147"/>
        <v>-13.630759722786438</v>
      </c>
      <c r="R363" s="344">
        <f t="shared" si="148"/>
        <v>-94.606009115162038</v>
      </c>
      <c r="S363" s="346">
        <f t="shared" si="149"/>
        <v>85.393990884837962</v>
      </c>
      <c r="U363" s="319">
        <f t="shared" si="155"/>
        <v>29176</v>
      </c>
      <c r="V363" s="319">
        <f t="shared" si="156"/>
        <v>851238976</v>
      </c>
      <c r="X363" s="345">
        <f t="shared" si="150"/>
        <v>31.536141674622414</v>
      </c>
      <c r="Y363" s="346">
        <f t="shared" si="151"/>
        <v>-6.6212718311126375</v>
      </c>
      <c r="AA363" s="345">
        <f t="shared" si="152"/>
        <v>3.5810654065407905</v>
      </c>
      <c r="AB363" s="346">
        <f t="shared" si="153"/>
        <v>-87.984737284049416</v>
      </c>
      <c r="AD363">
        <f t="shared" si="157"/>
        <v>0</v>
      </c>
      <c r="AE363">
        <f t="shared" si="160"/>
        <v>0</v>
      </c>
    </row>
    <row r="364" spans="1:31" x14ac:dyDescent="0.2">
      <c r="A364" s="347">
        <v>29344</v>
      </c>
      <c r="B364" s="364">
        <f t="shared" si="154"/>
        <v>29.344000000000001</v>
      </c>
      <c r="C364" s="337">
        <f t="shared" si="135"/>
        <v>164.72531884095682</v>
      </c>
      <c r="D364" s="338">
        <f t="shared" si="136"/>
        <v>1.5647255773230131</v>
      </c>
      <c r="E364" s="338">
        <f t="shared" si="137"/>
        <v>1.0027158077328706</v>
      </c>
      <c r="F364" s="339">
        <f t="shared" si="138"/>
        <v>7.361624277731825E-2</v>
      </c>
      <c r="G364" s="338">
        <f t="shared" si="139"/>
        <v>1</v>
      </c>
      <c r="H364" s="339">
        <f t="shared" si="140"/>
        <v>0</v>
      </c>
      <c r="I364" s="337">
        <f t="shared" si="141"/>
        <v>96807.139641276823</v>
      </c>
      <c r="J364" s="340">
        <f t="shared" si="142"/>
        <v>1.5707859969782765</v>
      </c>
      <c r="K364" s="348">
        <f t="shared" si="158"/>
        <v>47.785400913144301</v>
      </c>
      <c r="L364" s="349">
        <f t="shared" si="159"/>
        <v>1.5498679054690736</v>
      </c>
      <c r="M364" s="337">
        <f t="shared" si="143"/>
        <v>1.0045358042002284</v>
      </c>
      <c r="N364" s="340">
        <f t="shared" si="144"/>
        <v>9.5065511081013201E-2</v>
      </c>
      <c r="O364" s="341">
        <f t="shared" si="145"/>
        <v>0.99140906111343063</v>
      </c>
      <c r="P364" s="342">
        <f t="shared" si="146"/>
        <v>4.4387675205063093E-2</v>
      </c>
      <c r="Q364" s="343">
        <f t="shared" si="147"/>
        <v>-13.679971235696659</v>
      </c>
      <c r="R364" s="344">
        <f t="shared" si="148"/>
        <v>-94.622869142940985</v>
      </c>
      <c r="S364" s="346">
        <f t="shared" si="149"/>
        <v>85.377130857059015</v>
      </c>
      <c r="U364" s="319">
        <f t="shared" si="155"/>
        <v>29344</v>
      </c>
      <c r="V364" s="319">
        <f t="shared" si="156"/>
        <v>861070336</v>
      </c>
      <c r="X364" s="345">
        <f t="shared" si="150"/>
        <v>31.535672902533776</v>
      </c>
      <c r="Y364" s="346">
        <f t="shared" si="151"/>
        <v>-6.6453709287354297</v>
      </c>
      <c r="AA364" s="345">
        <f t="shared" si="152"/>
        <v>3.5323226657192119</v>
      </c>
      <c r="AB364" s="346">
        <f t="shared" si="153"/>
        <v>-87.977498214205596</v>
      </c>
      <c r="AD364">
        <f t="shared" si="157"/>
        <v>0</v>
      </c>
      <c r="AE364">
        <f t="shared" si="160"/>
        <v>0</v>
      </c>
    </row>
    <row r="365" spans="1:31" x14ac:dyDescent="0.2">
      <c r="A365" s="347">
        <v>29512</v>
      </c>
      <c r="B365" s="364">
        <f t="shared" si="154"/>
        <v>29.512</v>
      </c>
      <c r="C365" s="337">
        <f t="shared" si="135"/>
        <v>165.6683680703874</v>
      </c>
      <c r="D365" s="338">
        <f t="shared" si="136"/>
        <v>1.5647601348273197</v>
      </c>
      <c r="E365" s="338">
        <f t="shared" si="137"/>
        <v>1.0027469510696041</v>
      </c>
      <c r="F365" s="339">
        <f t="shared" si="138"/>
        <v>7.4036175716746616E-2</v>
      </c>
      <c r="G365" s="338">
        <f t="shared" si="139"/>
        <v>1</v>
      </c>
      <c r="H365" s="339">
        <f t="shared" si="140"/>
        <v>0</v>
      </c>
      <c r="I365" s="337">
        <f t="shared" si="141"/>
        <v>97361.378990309124</v>
      </c>
      <c r="J365" s="340">
        <f t="shared" si="142"/>
        <v>1.5707860557817865</v>
      </c>
      <c r="K365" s="348">
        <f t="shared" si="158"/>
        <v>48.058861983131891</v>
      </c>
      <c r="L365" s="349">
        <f t="shared" si="159"/>
        <v>1.5499870081038298</v>
      </c>
      <c r="M365" s="337">
        <f t="shared" si="143"/>
        <v>1.0045877706279813</v>
      </c>
      <c r="N365" s="340">
        <f t="shared" si="144"/>
        <v>9.5606478039217874E-2</v>
      </c>
      <c r="O365" s="341">
        <f t="shared" si="145"/>
        <v>0.99131051387252778</v>
      </c>
      <c r="P365" s="342">
        <f t="shared" si="146"/>
        <v>4.4646412444059244E-2</v>
      </c>
      <c r="Q365" s="343">
        <f t="shared" si="147"/>
        <v>-13.728893698966008</v>
      </c>
      <c r="R365" s="344">
        <f t="shared" si="148"/>
        <v>-94.639787723250862</v>
      </c>
      <c r="S365" s="346">
        <f t="shared" si="149"/>
        <v>85.360212276749138</v>
      </c>
      <c r="U365" s="319">
        <f t="shared" si="155"/>
        <v>29512</v>
      </c>
      <c r="V365" s="319">
        <f t="shared" si="156"/>
        <v>870958144</v>
      </c>
      <c r="X365" s="345">
        <f t="shared" si="150"/>
        <v>31.535201985369177</v>
      </c>
      <c r="Y365" s="346">
        <f t="shared" si="151"/>
        <v>-6.6695453432167335</v>
      </c>
      <c r="AA365" s="345">
        <f t="shared" si="152"/>
        <v>3.4838711196144589</v>
      </c>
      <c r="AB365" s="346">
        <f t="shared" si="153"/>
        <v>-87.970242380034151</v>
      </c>
      <c r="AD365">
        <f t="shared" si="157"/>
        <v>0</v>
      </c>
      <c r="AE365">
        <f t="shared" si="160"/>
        <v>0</v>
      </c>
    </row>
    <row r="366" spans="1:31" x14ac:dyDescent="0.2">
      <c r="A366" s="347">
        <v>29684</v>
      </c>
      <c r="B366" s="364">
        <f t="shared" si="154"/>
        <v>29.684000000000001</v>
      </c>
      <c r="C366" s="337">
        <f t="shared" si="135"/>
        <v>166.63387105551868</v>
      </c>
      <c r="D366" s="338">
        <f t="shared" si="136"/>
        <v>1.5647951098986865</v>
      </c>
      <c r="E366" s="338">
        <f t="shared" si="137"/>
        <v>1.0027790190963122</v>
      </c>
      <c r="F366" s="339">
        <f t="shared" si="138"/>
        <v>7.4466079958870363E-2</v>
      </c>
      <c r="G366" s="338">
        <f t="shared" si="139"/>
        <v>1</v>
      </c>
      <c r="H366" s="339">
        <f t="shared" si="140"/>
        <v>0</v>
      </c>
      <c r="I366" s="337">
        <f t="shared" si="141"/>
        <v>97928.814514318743</v>
      </c>
      <c r="J366" s="340">
        <f t="shared" si="142"/>
        <v>1.5707861152958096</v>
      </c>
      <c r="K366" s="348">
        <f t="shared" si="158"/>
        <v>48.338834729167061</v>
      </c>
      <c r="L366" s="349">
        <f t="shared" si="159"/>
        <v>1.5501075504364352</v>
      </c>
      <c r="M366" s="337">
        <f t="shared" si="143"/>
        <v>1.0046412788904302</v>
      </c>
      <c r="N366" s="340">
        <f t="shared" si="144"/>
        <v>9.616026701741219E-2</v>
      </c>
      <c r="O366" s="341">
        <f t="shared" si="145"/>
        <v>0.99120903991216847</v>
      </c>
      <c r="P366" s="342">
        <f t="shared" si="146"/>
        <v>4.4911392806534015E-2</v>
      </c>
      <c r="Q366" s="343">
        <f t="shared" si="147"/>
        <v>-13.778684909281992</v>
      </c>
      <c r="R366" s="344">
        <f t="shared" si="148"/>
        <v>-94.657168819186197</v>
      </c>
      <c r="S366" s="346">
        <f t="shared" si="149"/>
        <v>85.342831180813803</v>
      </c>
      <c r="U366" s="319">
        <f t="shared" si="155"/>
        <v>29684</v>
      </c>
      <c r="V366" s="319">
        <f t="shared" si="156"/>
        <v>881139856</v>
      </c>
      <c r="X366" s="345">
        <f t="shared" si="150"/>
        <v>31.53471762560703</v>
      </c>
      <c r="Y366" s="346">
        <f t="shared" si="151"/>
        <v>-6.6943719574278919</v>
      </c>
      <c r="AA366" s="345">
        <f t="shared" si="152"/>
        <v>3.4345642690606208</v>
      </c>
      <c r="AB366" s="346">
        <f t="shared" si="153"/>
        <v>-87.962796861758321</v>
      </c>
      <c r="AD366">
        <f t="shared" si="157"/>
        <v>0</v>
      </c>
      <c r="AE366">
        <f t="shared" si="160"/>
        <v>0</v>
      </c>
    </row>
    <row r="367" spans="1:31" x14ac:dyDescent="0.2">
      <c r="A367" s="347">
        <v>29856</v>
      </c>
      <c r="B367" s="364">
        <f t="shared" si="154"/>
        <v>29.856000000000002</v>
      </c>
      <c r="C367" s="337">
        <f t="shared" si="135"/>
        <v>167.59937424213726</v>
      </c>
      <c r="D367" s="338">
        <f t="shared" si="136"/>
        <v>1.5648296820026857</v>
      </c>
      <c r="E367" s="338">
        <f t="shared" si="137"/>
        <v>1.0028112724424165</v>
      </c>
      <c r="F367" s="339">
        <f t="shared" si="138"/>
        <v>7.4895956626480825E-2</v>
      </c>
      <c r="G367" s="338">
        <f t="shared" si="139"/>
        <v>1</v>
      </c>
      <c r="H367" s="339">
        <f t="shared" si="140"/>
        <v>0</v>
      </c>
      <c r="I367" s="337">
        <f t="shared" si="141"/>
        <v>98496.250038328682</v>
      </c>
      <c r="J367" s="340">
        <f t="shared" si="142"/>
        <v>1.5707861741241134</v>
      </c>
      <c r="K367" s="348">
        <f t="shared" si="158"/>
        <v>48.618808169498038</v>
      </c>
      <c r="L367" s="349">
        <f t="shared" si="159"/>
        <v>1.5502267044746274</v>
      </c>
      <c r="M367" s="337">
        <f t="shared" si="143"/>
        <v>1.0046950952256357</v>
      </c>
      <c r="N367" s="340">
        <f t="shared" si="144"/>
        <v>9.6713996838170987E-2</v>
      </c>
      <c r="O367" s="341">
        <f t="shared" si="145"/>
        <v>0.99110697881193011</v>
      </c>
      <c r="P367" s="342">
        <f t="shared" si="146"/>
        <v>4.5176457366397318E-2</v>
      </c>
      <c r="Q367" s="343">
        <f t="shared" si="147"/>
        <v>-13.82817995165494</v>
      </c>
      <c r="R367" s="344">
        <f t="shared" si="148"/>
        <v>-94.674609345500798</v>
      </c>
      <c r="S367" s="346">
        <f t="shared" si="149"/>
        <v>85.325390654499202</v>
      </c>
      <c r="U367" s="319">
        <f t="shared" si="155"/>
        <v>29856</v>
      </c>
      <c r="V367" s="319">
        <f t="shared" si="156"/>
        <v>891380736</v>
      </c>
      <c r="X367" s="345">
        <f t="shared" si="150"/>
        <v>31.534231001433714</v>
      </c>
      <c r="Y367" s="346">
        <f t="shared" si="151"/>
        <v>-6.7192746862895296</v>
      </c>
      <c r="AA367" s="345">
        <f t="shared" si="152"/>
        <v>3.3855558508609911</v>
      </c>
      <c r="AB367" s="346">
        <f t="shared" si="153"/>
        <v>-87.95533465921126</v>
      </c>
      <c r="AD367">
        <f t="shared" si="157"/>
        <v>0</v>
      </c>
      <c r="AE367">
        <f t="shared" si="160"/>
        <v>0</v>
      </c>
    </row>
    <row r="368" spans="1:31" x14ac:dyDescent="0.2">
      <c r="A368" s="347">
        <v>30028</v>
      </c>
      <c r="B368" s="364">
        <f t="shared" si="154"/>
        <v>30.027999999999999</v>
      </c>
      <c r="C368" s="337">
        <f t="shared" si="135"/>
        <v>168.56487762678094</v>
      </c>
      <c r="D368" s="338">
        <f t="shared" si="136"/>
        <v>1.564863858063565</v>
      </c>
      <c r="E368" s="338">
        <f t="shared" si="137"/>
        <v>1.0028437110900363</v>
      </c>
      <c r="F368" s="339">
        <f t="shared" si="138"/>
        <v>7.5325805563369083E-2</v>
      </c>
      <c r="G368" s="338">
        <f t="shared" si="139"/>
        <v>1</v>
      </c>
      <c r="H368" s="339">
        <f t="shared" si="140"/>
        <v>0</v>
      </c>
      <c r="I368" s="337">
        <f t="shared" si="141"/>
        <v>99063.685562338986</v>
      </c>
      <c r="J368" s="340">
        <f t="shared" si="142"/>
        <v>1.5707862322784818</v>
      </c>
      <c r="K368" s="348">
        <f t="shared" si="158"/>
        <v>48.898782292199087</v>
      </c>
      <c r="L368" s="349">
        <f t="shared" si="159"/>
        <v>1.5503444940613855</v>
      </c>
      <c r="M368" s="337">
        <f t="shared" si="143"/>
        <v>1.0047492195840952</v>
      </c>
      <c r="N368" s="340">
        <f t="shared" si="144"/>
        <v>9.726766717146175E-2</v>
      </c>
      <c r="O368" s="341">
        <f t="shared" si="145"/>
        <v>0.99100433061686499</v>
      </c>
      <c r="P368" s="342">
        <f t="shared" si="146"/>
        <v>4.5441606639399078E-2</v>
      </c>
      <c r="Q368" s="343">
        <f t="shared" si="147"/>
        <v>-13.877382182696994</v>
      </c>
      <c r="R368" s="344">
        <f t="shared" si="148"/>
        <v>-94.692108353088827</v>
      </c>
      <c r="S368" s="346">
        <f t="shared" si="149"/>
        <v>85.307891646911173</v>
      </c>
      <c r="U368" s="319">
        <f t="shared" si="155"/>
        <v>30028</v>
      </c>
      <c r="V368" s="319">
        <f t="shared" si="156"/>
        <v>901680784</v>
      </c>
      <c r="X368" s="345">
        <f t="shared" si="150"/>
        <v>31.533742105153465</v>
      </c>
      <c r="Y368" s="346">
        <f t="shared" si="151"/>
        <v>-6.7442521454652811</v>
      </c>
      <c r="AA368" s="345">
        <f t="shared" si="152"/>
        <v>3.3368425160991873</v>
      </c>
      <c r="AB368" s="346">
        <f t="shared" si="153"/>
        <v>-87.947856207623559</v>
      </c>
      <c r="AD368">
        <f t="shared" si="157"/>
        <v>0</v>
      </c>
      <c r="AE368">
        <f t="shared" si="160"/>
        <v>0</v>
      </c>
    </row>
    <row r="369" spans="1:31" x14ac:dyDescent="0.2">
      <c r="A369" s="347">
        <v>30200</v>
      </c>
      <c r="B369" s="364">
        <f t="shared" si="154"/>
        <v>30.2</v>
      </c>
      <c r="C369" s="337">
        <f t="shared" si="135"/>
        <v>169.53038120606635</v>
      </c>
      <c r="D369" s="338">
        <f t="shared" si="136"/>
        <v>1.5648976448478371</v>
      </c>
      <c r="E369" s="338">
        <f t="shared" si="137"/>
        <v>1.0028763350211902</v>
      </c>
      <c r="F369" s="339">
        <f t="shared" si="138"/>
        <v>7.575562661338725E-2</v>
      </c>
      <c r="G369" s="338">
        <f t="shared" si="139"/>
        <v>1</v>
      </c>
      <c r="H369" s="339">
        <f t="shared" si="140"/>
        <v>0</v>
      </c>
      <c r="I369" s="337">
        <f t="shared" si="141"/>
        <v>99631.121086349609</v>
      </c>
      <c r="J369" s="340">
        <f t="shared" si="142"/>
        <v>1.5707862897704297</v>
      </c>
      <c r="K369" s="348">
        <f t="shared" si="158"/>
        <v>49.178757085616041</v>
      </c>
      <c r="L369" s="349">
        <f t="shared" si="159"/>
        <v>1.5504609424968896</v>
      </c>
      <c r="M369" s="337">
        <f t="shared" si="143"/>
        <v>1.0048036519160328</v>
      </c>
      <c r="N369" s="340">
        <f t="shared" si="144"/>
        <v>9.7821277687468816E-2</v>
      </c>
      <c r="O369" s="341">
        <f t="shared" si="145"/>
        <v>0.99090109537230919</v>
      </c>
      <c r="P369" s="342">
        <f t="shared" si="146"/>
        <v>4.5706841141783167E-2</v>
      </c>
      <c r="Q369" s="343">
        <f t="shared" si="147"/>
        <v>-13.926294901376234</v>
      </c>
      <c r="R369" s="344">
        <f t="shared" si="148"/>
        <v>-94.709664914928894</v>
      </c>
      <c r="S369" s="346">
        <f t="shared" si="149"/>
        <v>85.290335085071106</v>
      </c>
      <c r="U369" s="319">
        <f t="shared" si="155"/>
        <v>30200</v>
      </c>
      <c r="V369" s="319">
        <f t="shared" si="156"/>
        <v>912040000</v>
      </c>
      <c r="X369" s="345">
        <f t="shared" si="150"/>
        <v>31.533250929317816</v>
      </c>
      <c r="Y369" s="346">
        <f t="shared" si="151"/>
        <v>-6.7693029817158452</v>
      </c>
      <c r="AA369" s="345">
        <f t="shared" si="152"/>
        <v>3.2884209732555925</v>
      </c>
      <c r="AB369" s="346">
        <f t="shared" si="153"/>
        <v>-87.940361933213055</v>
      </c>
      <c r="AD369">
        <f t="shared" si="157"/>
        <v>0</v>
      </c>
      <c r="AE369">
        <f t="shared" si="160"/>
        <v>0</v>
      </c>
    </row>
    <row r="370" spans="1:31" x14ac:dyDescent="0.2">
      <c r="A370" s="347">
        <v>30375.75</v>
      </c>
      <c r="B370" s="364">
        <f t="shared" si="154"/>
        <v>30.37575</v>
      </c>
      <c r="C370" s="337">
        <f t="shared" si="135"/>
        <v>170.51693520635075</v>
      </c>
      <c r="D370" s="338">
        <f t="shared" si="136"/>
        <v>1.5649317730426375</v>
      </c>
      <c r="E370" s="338">
        <f t="shared" si="137"/>
        <v>1.0029098615980887</v>
      </c>
      <c r="F370" s="339">
        <f t="shared" si="138"/>
        <v>7.6194789793984405E-2</v>
      </c>
      <c r="G370" s="338">
        <f t="shared" si="139"/>
        <v>1</v>
      </c>
      <c r="H370" s="339">
        <f t="shared" si="140"/>
        <v>0</v>
      </c>
      <c r="I370" s="337">
        <f t="shared" si="141"/>
        <v>100210.9280244015</v>
      </c>
      <c r="J370" s="340">
        <f t="shared" si="142"/>
        <v>1.570786347843302</v>
      </c>
      <c r="K370" s="348">
        <f t="shared" si="158"/>
        <v>49.464836661594141</v>
      </c>
      <c r="L370" s="349">
        <f t="shared" si="159"/>
        <v>1.5505785681396935</v>
      </c>
      <c r="M370" s="337">
        <f t="shared" si="143"/>
        <v>1.0048595890658012</v>
      </c>
      <c r="N370" s="340">
        <f t="shared" si="144"/>
        <v>9.8386896069528759E-2</v>
      </c>
      <c r="O370" s="341">
        <f t="shared" si="145"/>
        <v>0.99079500301922552</v>
      </c>
      <c r="P370" s="342">
        <f t="shared" si="146"/>
        <v>4.5977946947725522E-2</v>
      </c>
      <c r="Q370" s="343">
        <f t="shared" si="147"/>
        <v>-13.975978355317888</v>
      </c>
      <c r="R370" s="344">
        <f t="shared" si="148"/>
        <v>-94.727662758732535</v>
      </c>
      <c r="S370" s="346">
        <f t="shared" si="149"/>
        <v>85.272337241267465</v>
      </c>
      <c r="U370" s="319">
        <f t="shared" si="155"/>
        <v>30375.75</v>
      </c>
      <c r="V370" s="319">
        <f t="shared" si="156"/>
        <v>922686188.0625</v>
      </c>
      <c r="X370" s="345">
        <f t="shared" si="150"/>
        <v>31.532746682560379</v>
      </c>
      <c r="Y370" s="346">
        <f t="shared" si="151"/>
        <v>-6.7949744022875382</v>
      </c>
      <c r="AA370" s="345">
        <f t="shared" si="152"/>
        <v>3.239241766071379</v>
      </c>
      <c r="AB370" s="346">
        <f t="shared" si="153"/>
        <v>-87.932688356444984</v>
      </c>
      <c r="AD370">
        <f t="shared" si="157"/>
        <v>0</v>
      </c>
      <c r="AE370">
        <f t="shared" si="160"/>
        <v>0</v>
      </c>
    </row>
    <row r="371" spans="1:31" x14ac:dyDescent="0.2">
      <c r="A371" s="347">
        <v>30551.5</v>
      </c>
      <c r="B371" s="364">
        <f t="shared" si="154"/>
        <v>30.551500000000001</v>
      </c>
      <c r="C371" s="337">
        <f t="shared" si="135"/>
        <v>171.50348940295703</v>
      </c>
      <c r="D371" s="338">
        <f t="shared" si="136"/>
        <v>1.5649655086004066</v>
      </c>
      <c r="E371" s="338">
        <f t="shared" si="137"/>
        <v>1.0029435815875412</v>
      </c>
      <c r="F371" s="339">
        <f t="shared" si="138"/>
        <v>7.6633923529039055E-2</v>
      </c>
      <c r="G371" s="338">
        <f t="shared" si="139"/>
        <v>1</v>
      </c>
      <c r="H371" s="339">
        <f t="shared" si="140"/>
        <v>0</v>
      </c>
      <c r="I371" s="337">
        <f t="shared" si="141"/>
        <v>100790.73496245372</v>
      </c>
      <c r="J371" s="340">
        <f t="shared" si="142"/>
        <v>1.5707864052480363</v>
      </c>
      <c r="K371" s="348">
        <f t="shared" si="158"/>
        <v>49.750916914086673</v>
      </c>
      <c r="L371" s="349">
        <f t="shared" si="159"/>
        <v>1.5506948410301848</v>
      </c>
      <c r="M371" s="337">
        <f t="shared" si="143"/>
        <v>1.0049158476585742</v>
      </c>
      <c r="N371" s="340">
        <f t="shared" si="144"/>
        <v>9.8952451302041111E-2</v>
      </c>
      <c r="O371" s="341">
        <f t="shared" si="145"/>
        <v>0.99068829783612167</v>
      </c>
      <c r="P371" s="342">
        <f t="shared" si="146"/>
        <v>4.6249142831302666E-2</v>
      </c>
      <c r="Q371" s="343">
        <f t="shared" si="147"/>
        <v>-14.025366320574861</v>
      </c>
      <c r="R371" s="344">
        <f t="shared" si="148"/>
        <v>-94.745718804779273</v>
      </c>
      <c r="S371" s="346">
        <f t="shared" si="149"/>
        <v>85.254281195220727</v>
      </c>
      <c r="U371" s="319">
        <f t="shared" si="155"/>
        <v>30551.5</v>
      </c>
      <c r="V371" s="319">
        <f t="shared" si="156"/>
        <v>933394152.25</v>
      </c>
      <c r="X371" s="345">
        <f t="shared" si="150"/>
        <v>31.532240040796296</v>
      </c>
      <c r="Y371" s="346">
        <f t="shared" si="151"/>
        <v>-6.8207196733735138</v>
      </c>
      <c r="AA371" s="345">
        <f t="shared" si="152"/>
        <v>3.1903604425784859</v>
      </c>
      <c r="AB371" s="346">
        <f t="shared" si="153"/>
        <v>-87.924999131405741</v>
      </c>
      <c r="AD371">
        <f t="shared" si="157"/>
        <v>0</v>
      </c>
      <c r="AE371">
        <f t="shared" si="160"/>
        <v>0</v>
      </c>
    </row>
    <row r="372" spans="1:31" x14ac:dyDescent="0.2">
      <c r="A372" s="347">
        <v>30727.25</v>
      </c>
      <c r="B372" s="364">
        <f t="shared" si="154"/>
        <v>30.727250000000002</v>
      </c>
      <c r="C372" s="337">
        <f t="shared" si="135"/>
        <v>172.49004379251664</v>
      </c>
      <c r="D372" s="338">
        <f t="shared" si="136"/>
        <v>1.5649988582581131</v>
      </c>
      <c r="E372" s="338">
        <f t="shared" si="137"/>
        <v>1.0029774949700401</v>
      </c>
      <c r="F372" s="339">
        <f t="shared" si="138"/>
        <v>7.7073027652165921E-2</v>
      </c>
      <c r="G372" s="338">
        <f t="shared" si="139"/>
        <v>1</v>
      </c>
      <c r="H372" s="339">
        <f t="shared" si="140"/>
        <v>0</v>
      </c>
      <c r="I372" s="337">
        <f t="shared" si="141"/>
        <v>101370.54190050627</v>
      </c>
      <c r="J372" s="340">
        <f t="shared" si="142"/>
        <v>1.5707864619960974</v>
      </c>
      <c r="K372" s="348">
        <f t="shared" si="158"/>
        <v>50.036997831489963</v>
      </c>
      <c r="L372" s="349">
        <f t="shared" si="159"/>
        <v>1.5508097843678208</v>
      </c>
      <c r="M372" s="337">
        <f t="shared" si="143"/>
        <v>1.0049724276403689</v>
      </c>
      <c r="N372" s="340">
        <f t="shared" si="144"/>
        <v>9.9517943033853029E-2</v>
      </c>
      <c r="O372" s="341">
        <f t="shared" si="145"/>
        <v>0.99058097987228411</v>
      </c>
      <c r="P372" s="342">
        <f t="shared" si="146"/>
        <v>4.6520429344884602E-2</v>
      </c>
      <c r="Q372" s="343">
        <f t="shared" si="147"/>
        <v>-14.074462138528661</v>
      </c>
      <c r="R372" s="344">
        <f t="shared" si="148"/>
        <v>-94.76383213155691</v>
      </c>
      <c r="S372" s="346">
        <f t="shared" si="149"/>
        <v>85.23616786844309</v>
      </c>
      <c r="U372" s="319">
        <f t="shared" si="155"/>
        <v>30727.25</v>
      </c>
      <c r="V372" s="319">
        <f t="shared" si="156"/>
        <v>944163892.5625</v>
      </c>
      <c r="X372" s="345">
        <f t="shared" si="150"/>
        <v>31.531730996826994</v>
      </c>
      <c r="Y372" s="346">
        <f t="shared" si="151"/>
        <v>-6.8465374462801023</v>
      </c>
      <c r="AA372" s="345">
        <f t="shared" si="152"/>
        <v>3.1417736685939914</v>
      </c>
      <c r="AB372" s="346">
        <f t="shared" si="153"/>
        <v>-87.917294685276815</v>
      </c>
      <c r="AD372">
        <f t="shared" si="157"/>
        <v>0</v>
      </c>
      <c r="AE372">
        <f t="shared" si="160"/>
        <v>0</v>
      </c>
    </row>
    <row r="373" spans="1:31" x14ac:dyDescent="0.2">
      <c r="A373" s="347">
        <v>30903</v>
      </c>
      <c r="B373" s="364">
        <f t="shared" si="154"/>
        <v>30.902999999999999</v>
      </c>
      <c r="C373" s="337">
        <f t="shared" si="135"/>
        <v>173.47659837173757</v>
      </c>
      <c r="D373" s="338">
        <f t="shared" si="136"/>
        <v>1.5650318285994773</v>
      </c>
      <c r="E373" s="338">
        <f t="shared" si="137"/>
        <v>1.0030116017259689</v>
      </c>
      <c r="F373" s="339">
        <f t="shared" si="138"/>
        <v>7.7512101997047847E-2</v>
      </c>
      <c r="G373" s="338">
        <f t="shared" si="139"/>
        <v>1</v>
      </c>
      <c r="H373" s="339">
        <f t="shared" si="140"/>
        <v>0</v>
      </c>
      <c r="I373" s="337">
        <f t="shared" si="141"/>
        <v>101950.34883855913</v>
      </c>
      <c r="J373" s="340">
        <f t="shared" si="142"/>
        <v>1.5707865180986891</v>
      </c>
      <c r="K373" s="348">
        <f t="shared" si="158"/>
        <v>50.323079402464195</v>
      </c>
      <c r="L373" s="349">
        <f t="shared" si="159"/>
        <v>1.5509234208246547</v>
      </c>
      <c r="M373" s="337">
        <f t="shared" si="143"/>
        <v>1.0050293289569052</v>
      </c>
      <c r="N373" s="340">
        <f t="shared" si="144"/>
        <v>0.10008337091405295</v>
      </c>
      <c r="O373" s="341">
        <f t="shared" si="145"/>
        <v>0.99047304917731072</v>
      </c>
      <c r="P373" s="342">
        <f t="shared" si="146"/>
        <v>4.6791807041393664E-2</v>
      </c>
      <c r="Q373" s="343">
        <f t="shared" si="147"/>
        <v>-14.123269093261388</v>
      </c>
      <c r="R373" s="344">
        <f t="shared" si="148"/>
        <v>-94.782001839017497</v>
      </c>
      <c r="S373" s="346">
        <f t="shared" si="149"/>
        <v>85.217998160982503</v>
      </c>
      <c r="U373" s="319">
        <f t="shared" si="155"/>
        <v>30903</v>
      </c>
      <c r="V373" s="319">
        <f t="shared" si="156"/>
        <v>954995409</v>
      </c>
      <c r="X373" s="345">
        <f t="shared" si="150"/>
        <v>31.531219543689279</v>
      </c>
      <c r="Y373" s="346">
        <f t="shared" si="151"/>
        <v>-6.8724264025304844</v>
      </c>
      <c r="AA373" s="345">
        <f t="shared" si="152"/>
        <v>3.0934781669989757</v>
      </c>
      <c r="AB373" s="346">
        <f t="shared" si="153"/>
        <v>-87.909575436487003</v>
      </c>
      <c r="AD373">
        <f t="shared" si="157"/>
        <v>0</v>
      </c>
      <c r="AE373">
        <f t="shared" si="160"/>
        <v>0</v>
      </c>
    </row>
    <row r="374" spans="1:31" x14ac:dyDescent="0.2">
      <c r="A374" s="347">
        <v>31083</v>
      </c>
      <c r="B374" s="364">
        <f t="shared" si="154"/>
        <v>31.082999999999998</v>
      </c>
      <c r="C374" s="337">
        <f t="shared" si="135"/>
        <v>174.48701008280898</v>
      </c>
      <c r="D374" s="338">
        <f t="shared" si="136"/>
        <v>1.5650652097688778</v>
      </c>
      <c r="E374" s="338">
        <f t="shared" si="137"/>
        <v>1.0030467336777031</v>
      </c>
      <c r="F374" s="339">
        <f t="shared" si="138"/>
        <v>7.7961763030646919E-2</v>
      </c>
      <c r="G374" s="338">
        <f t="shared" si="139"/>
        <v>1</v>
      </c>
      <c r="H374" s="339">
        <f t="shared" si="140"/>
        <v>0</v>
      </c>
      <c r="I374" s="337">
        <f t="shared" si="141"/>
        <v>102544.17671252543</v>
      </c>
      <c r="J374" s="340">
        <f t="shared" si="142"/>
        <v>1.5707865749003271</v>
      </c>
      <c r="K374" s="348">
        <f t="shared" si="158"/>
        <v>50.616079685852043</v>
      </c>
      <c r="L374" s="349">
        <f t="shared" si="159"/>
        <v>1.5510384737312763</v>
      </c>
      <c r="M374" s="337">
        <f t="shared" si="143"/>
        <v>1.0050879392929277</v>
      </c>
      <c r="N374" s="340">
        <f t="shared" si="144"/>
        <v>0.10066240546188636</v>
      </c>
      <c r="O374" s="341">
        <f t="shared" si="145"/>
        <v>0.99036187341017634</v>
      </c>
      <c r="P374" s="342">
        <f t="shared" si="146"/>
        <v>4.7069842309626402E-2</v>
      </c>
      <c r="Q374" s="343">
        <f t="shared" si="147"/>
        <v>-14.172960248618754</v>
      </c>
      <c r="R374" s="344">
        <f t="shared" si="148"/>
        <v>-94.80066845145663</v>
      </c>
      <c r="S374" s="346">
        <f t="shared" si="149"/>
        <v>85.19933154854337</v>
      </c>
      <c r="U374" s="319">
        <f t="shared" si="155"/>
        <v>31083</v>
      </c>
      <c r="V374" s="319">
        <f t="shared" si="156"/>
        <v>966152889</v>
      </c>
      <c r="X374" s="345">
        <f t="shared" si="150"/>
        <v>31.530693218254903</v>
      </c>
      <c r="Y374" s="346">
        <f t="shared" si="151"/>
        <v>-6.899013846867982</v>
      </c>
      <c r="AA374" s="345">
        <f t="shared" si="152"/>
        <v>3.0443133370759847</v>
      </c>
      <c r="AB374" s="346">
        <f t="shared" si="153"/>
        <v>-87.901654604588614</v>
      </c>
      <c r="AD374">
        <f t="shared" si="157"/>
        <v>0</v>
      </c>
      <c r="AE374">
        <f t="shared" si="160"/>
        <v>0</v>
      </c>
    </row>
    <row r="375" spans="1:31" x14ac:dyDescent="0.2">
      <c r="A375" s="347">
        <v>31263</v>
      </c>
      <c r="B375" s="364">
        <f t="shared" si="154"/>
        <v>31.263000000000002</v>
      </c>
      <c r="C375" s="337">
        <f t="shared" si="135"/>
        <v>175.49742198607285</v>
      </c>
      <c r="D375" s="338">
        <f t="shared" si="136"/>
        <v>1.5650982065596666</v>
      </c>
      <c r="E375" s="338">
        <f t="shared" si="137"/>
        <v>1.0030820684262864</v>
      </c>
      <c r="F375" s="339">
        <f t="shared" si="138"/>
        <v>7.841139247547331E-2</v>
      </c>
      <c r="G375" s="338">
        <f t="shared" si="139"/>
        <v>1</v>
      </c>
      <c r="H375" s="339">
        <f t="shared" si="140"/>
        <v>0</v>
      </c>
      <c r="I375" s="337">
        <f t="shared" si="141"/>
        <v>103138.00458649204</v>
      </c>
      <c r="J375" s="340">
        <f t="shared" si="142"/>
        <v>1.5707866310478824</v>
      </c>
      <c r="K375" s="348">
        <f t="shared" si="158"/>
        <v>50.909080631541265</v>
      </c>
      <c r="L375" s="349">
        <f t="shared" si="159"/>
        <v>1.5511522022937114</v>
      </c>
      <c r="M375" s="337">
        <f t="shared" si="143"/>
        <v>1.0051468865764817</v>
      </c>
      <c r="N375" s="340">
        <f t="shared" si="144"/>
        <v>0.10124137228834333</v>
      </c>
      <c r="O375" s="341">
        <f t="shared" si="145"/>
        <v>0.99025005502568508</v>
      </c>
      <c r="P375" s="342">
        <f t="shared" si="146"/>
        <v>4.7347974399883676E-2</v>
      </c>
      <c r="Q375" s="343">
        <f t="shared" si="147"/>
        <v>-14.222355195556348</v>
      </c>
      <c r="R375" s="344">
        <f t="shared" si="148"/>
        <v>-94.819392359727601</v>
      </c>
      <c r="S375" s="346">
        <f t="shared" si="149"/>
        <v>85.180607640272399</v>
      </c>
      <c r="U375" s="319">
        <f t="shared" si="155"/>
        <v>31263</v>
      </c>
      <c r="V375" s="319">
        <f t="shared" si="156"/>
        <v>977375169</v>
      </c>
      <c r="X375" s="345">
        <f t="shared" si="150"/>
        <v>31.530164351664723</v>
      </c>
      <c r="Y375" s="346">
        <f t="shared" si="151"/>
        <v>-6.925673252912846</v>
      </c>
      <c r="AA375" s="345">
        <f t="shared" si="152"/>
        <v>2.9954472567285695</v>
      </c>
      <c r="AB375" s="346">
        <f t="shared" si="153"/>
        <v>-87.893719106814771</v>
      </c>
      <c r="AD375">
        <f t="shared" si="157"/>
        <v>0</v>
      </c>
      <c r="AE375">
        <f t="shared" si="160"/>
        <v>0</v>
      </c>
    </row>
    <row r="376" spans="1:31" x14ac:dyDescent="0.2">
      <c r="A376" s="347">
        <v>31443</v>
      </c>
      <c r="B376" s="364">
        <f t="shared" si="154"/>
        <v>31.443000000000001</v>
      </c>
      <c r="C376" s="337">
        <f t="shared" si="135"/>
        <v>176.50783407822857</v>
      </c>
      <c r="D376" s="338">
        <f t="shared" si="136"/>
        <v>1.5651308255728515</v>
      </c>
      <c r="E376" s="338">
        <f t="shared" si="137"/>
        <v>1.0031176059502884</v>
      </c>
      <c r="F376" s="339">
        <f t="shared" si="138"/>
        <v>7.8860990153074656E-2</v>
      </c>
      <c r="G376" s="338">
        <f t="shared" si="139"/>
        <v>1</v>
      </c>
      <c r="H376" s="339">
        <f t="shared" si="140"/>
        <v>0</v>
      </c>
      <c r="I376" s="337">
        <f t="shared" si="141"/>
        <v>103731.83246045897</v>
      </c>
      <c r="J376" s="340">
        <f t="shared" si="142"/>
        <v>1.5707866865525881</v>
      </c>
      <c r="K376" s="348">
        <f t="shared" si="158"/>
        <v>51.202082228161913</v>
      </c>
      <c r="L376" s="349">
        <f t="shared" si="159"/>
        <v>1.5512646292444912</v>
      </c>
      <c r="M376" s="337">
        <f t="shared" si="143"/>
        <v>1.0052061707482896</v>
      </c>
      <c r="N376" s="340">
        <f t="shared" si="144"/>
        <v>0.10182027101722972</v>
      </c>
      <c r="O376" s="341">
        <f t="shared" si="145"/>
        <v>0.99013759407813806</v>
      </c>
      <c r="P376" s="342">
        <f t="shared" si="146"/>
        <v>4.7626203908003269E-2</v>
      </c>
      <c r="Q376" s="343">
        <f t="shared" si="147"/>
        <v>-14.271457283721467</v>
      </c>
      <c r="R376" s="344">
        <f t="shared" si="148"/>
        <v>-94.838172663015115</v>
      </c>
      <c r="S376" s="346">
        <f t="shared" si="149"/>
        <v>85.161827336984885</v>
      </c>
      <c r="U376" s="319">
        <f t="shared" si="155"/>
        <v>31443</v>
      </c>
      <c r="V376" s="319">
        <f t="shared" si="156"/>
        <v>988662249</v>
      </c>
      <c r="X376" s="345">
        <f t="shared" si="150"/>
        <v>31.529632937155956</v>
      </c>
      <c r="Y376" s="346">
        <f t="shared" si="151"/>
        <v>-6.9524032972762448</v>
      </c>
      <c r="AA376" s="345">
        <f t="shared" si="152"/>
        <v>2.9468765830722217</v>
      </c>
      <c r="AB376" s="346">
        <f t="shared" si="153"/>
        <v>-87.885769365738881</v>
      </c>
      <c r="AD376">
        <f t="shared" si="157"/>
        <v>0</v>
      </c>
      <c r="AE376">
        <f t="shared" si="160"/>
        <v>0</v>
      </c>
    </row>
    <row r="377" spans="1:31" x14ac:dyDescent="0.2">
      <c r="A377" s="347">
        <v>31623</v>
      </c>
      <c r="B377" s="364">
        <f t="shared" si="154"/>
        <v>31.623000000000001</v>
      </c>
      <c r="C377" s="337">
        <f t="shared" si="135"/>
        <v>177.51824635605072</v>
      </c>
      <c r="D377" s="338">
        <f t="shared" si="136"/>
        <v>1.5651630732591553</v>
      </c>
      <c r="E377" s="338">
        <f t="shared" si="137"/>
        <v>1.0031533462281585</v>
      </c>
      <c r="F377" s="339">
        <f t="shared" si="138"/>
        <v>7.9310555885075212E-2</v>
      </c>
      <c r="G377" s="338">
        <f t="shared" si="139"/>
        <v>1</v>
      </c>
      <c r="H377" s="339">
        <f t="shared" si="140"/>
        <v>0</v>
      </c>
      <c r="I377" s="337">
        <f t="shared" si="141"/>
        <v>104325.66033442623</v>
      </c>
      <c r="J377" s="340">
        <f t="shared" si="142"/>
        <v>1.5707867414254217</v>
      </c>
      <c r="K377" s="348">
        <f t="shared" si="158"/>
        <v>51.49508446460279</v>
      </c>
      <c r="L377" s="349">
        <f t="shared" si="159"/>
        <v>1.5513757767988965</v>
      </c>
      <c r="M377" s="337">
        <f t="shared" si="143"/>
        <v>1.0052657917487484</v>
      </c>
      <c r="N377" s="340">
        <f t="shared" si="144"/>
        <v>0.1023991012726225</v>
      </c>
      <c r="O377" s="341">
        <f t="shared" si="145"/>
        <v>0.99002449062218045</v>
      </c>
      <c r="P377" s="342">
        <f t="shared" si="146"/>
        <v>4.7904531430446512E-2</v>
      </c>
      <c r="Q377" s="343">
        <f t="shared" si="147"/>
        <v>-14.32026980527003</v>
      </c>
      <c r="R377" s="344">
        <f t="shared" si="148"/>
        <v>-94.857008481561508</v>
      </c>
      <c r="S377" s="346">
        <f t="shared" si="149"/>
        <v>85.142991518438492</v>
      </c>
      <c r="U377" s="319">
        <f t="shared" si="155"/>
        <v>31623</v>
      </c>
      <c r="V377" s="319">
        <f t="shared" si="156"/>
        <v>1000014129</v>
      </c>
      <c r="X377" s="345">
        <f t="shared" si="150"/>
        <v>31.52909896819213</v>
      </c>
      <c r="Y377" s="346">
        <f t="shared" si="151"/>
        <v>-6.9792026862064942</v>
      </c>
      <c r="AA377" s="345">
        <f t="shared" si="152"/>
        <v>2.8985980304874888</v>
      </c>
      <c r="AB377" s="346">
        <f t="shared" si="153"/>
        <v>-87.877805795355016</v>
      </c>
      <c r="AD377">
        <f t="shared" si="157"/>
        <v>0</v>
      </c>
      <c r="AE377">
        <f t="shared" si="160"/>
        <v>0</v>
      </c>
    </row>
    <row r="378" spans="1:31" x14ac:dyDescent="0.2">
      <c r="A378" s="347">
        <v>31807</v>
      </c>
      <c r="B378" s="364">
        <f t="shared" si="154"/>
        <v>31.806999999999999</v>
      </c>
      <c r="C378" s="337">
        <f t="shared" si="135"/>
        <v>178.55111242866582</v>
      </c>
      <c r="D378" s="338">
        <f t="shared" si="136"/>
        <v>1.5651956603284278</v>
      </c>
      <c r="E378" s="338">
        <f t="shared" si="137"/>
        <v>1.0031900902742543</v>
      </c>
      <c r="F378" s="339">
        <f t="shared" si="138"/>
        <v>7.9770078762683078E-2</v>
      </c>
      <c r="G378" s="338">
        <f t="shared" si="139"/>
        <v>1</v>
      </c>
      <c r="H378" s="339">
        <f t="shared" si="140"/>
        <v>0</v>
      </c>
      <c r="I378" s="337">
        <f t="shared" si="141"/>
        <v>104932.68438337084</v>
      </c>
      <c r="J378" s="340">
        <f t="shared" si="142"/>
        <v>1.570786796875731</v>
      </c>
      <c r="K378" s="348">
        <f t="shared" si="158"/>
        <v>51.794598511852854</v>
      </c>
      <c r="L378" s="349">
        <f t="shared" si="159"/>
        <v>1.5514880945453018</v>
      </c>
      <c r="M378" s="337">
        <f t="shared" si="143"/>
        <v>1.0053270857373691</v>
      </c>
      <c r="N378" s="340">
        <f t="shared" si="144"/>
        <v>0.10299072325858966</v>
      </c>
      <c r="O378" s="341">
        <f t="shared" si="145"/>
        <v>0.98990820972934834</v>
      </c>
      <c r="P378" s="342">
        <f t="shared" si="146"/>
        <v>4.8189145936327338E-2</v>
      </c>
      <c r="Q378" s="343">
        <f t="shared" si="147"/>
        <v>-14.369871128277209</v>
      </c>
      <c r="R378" s="344">
        <f t="shared" si="148"/>
        <v>-94.876319358716444</v>
      </c>
      <c r="S378" s="346">
        <f t="shared" si="149"/>
        <v>85.123680641283556</v>
      </c>
      <c r="U378" s="319">
        <f t="shared" si="155"/>
        <v>31807</v>
      </c>
      <c r="V378" s="319">
        <f t="shared" si="156"/>
        <v>1011685249</v>
      </c>
      <c r="X378" s="345">
        <f t="shared" si="150"/>
        <v>31.528550486440096</v>
      </c>
      <c r="Y378" s="346">
        <f t="shared" si="151"/>
        <v>-7.0066679733361923</v>
      </c>
      <c r="AA378" s="345">
        <f t="shared" si="152"/>
        <v>2.8495451892323369</v>
      </c>
      <c r="AB378" s="346">
        <f t="shared" si="153"/>
        <v>-87.869651385380251</v>
      </c>
      <c r="AD378">
        <f t="shared" si="157"/>
        <v>0</v>
      </c>
      <c r="AE378">
        <f t="shared" si="160"/>
        <v>0</v>
      </c>
    </row>
    <row r="379" spans="1:31" x14ac:dyDescent="0.2">
      <c r="A379" s="347">
        <v>31991</v>
      </c>
      <c r="B379" s="364">
        <f t="shared" si="154"/>
        <v>31.991</v>
      </c>
      <c r="C379" s="337">
        <f t="shared" si="135"/>
        <v>179.5839786887064</v>
      </c>
      <c r="D379" s="338">
        <f t="shared" si="136"/>
        <v>1.5652278725526658</v>
      </c>
      <c r="E379" s="338">
        <f t="shared" si="137"/>
        <v>1.0032270461397053</v>
      </c>
      <c r="F379" s="339">
        <f t="shared" si="138"/>
        <v>8.022956788243131E-2</v>
      </c>
      <c r="G379" s="338">
        <f t="shared" si="139"/>
        <v>1</v>
      </c>
      <c r="H379" s="339">
        <f t="shared" si="140"/>
        <v>0</v>
      </c>
      <c r="I379" s="337">
        <f t="shared" si="141"/>
        <v>105539.70843231579</v>
      </c>
      <c r="J379" s="340">
        <f t="shared" si="142"/>
        <v>1.570786851688182</v>
      </c>
      <c r="K379" s="348">
        <f t="shared" si="158"/>
        <v>52.094113204992638</v>
      </c>
      <c r="L379" s="349">
        <f t="shared" si="159"/>
        <v>1.5515991207530995</v>
      </c>
      <c r="M379" s="337">
        <f t="shared" si="143"/>
        <v>1.0053887315641552</v>
      </c>
      <c r="N379" s="340">
        <f t="shared" si="144"/>
        <v>0.10358227290049331</v>
      </c>
      <c r="O379" s="341">
        <f t="shared" si="145"/>
        <v>0.98979125757146225</v>
      </c>
      <c r="P379" s="342">
        <f t="shared" si="146"/>
        <v>4.8473864123517986E-2</v>
      </c>
      <c r="Q379" s="343">
        <f t="shared" si="147"/>
        <v>-14.4191766504598</v>
      </c>
      <c r="R379" s="344">
        <f t="shared" si="148"/>
        <v>-94.895686451672546</v>
      </c>
      <c r="S379" s="346">
        <f t="shared" si="149"/>
        <v>85.104313548327454</v>
      </c>
      <c r="U379" s="319">
        <f t="shared" si="155"/>
        <v>31991</v>
      </c>
      <c r="V379" s="319">
        <f t="shared" si="156"/>
        <v>1023424081</v>
      </c>
      <c r="X379" s="345">
        <f t="shared" si="150"/>
        <v>31.527999322319722</v>
      </c>
      <c r="Y379" s="346">
        <f t="shared" si="151"/>
        <v>-7.034203078621176</v>
      </c>
      <c r="AA379" s="345">
        <f t="shared" si="152"/>
        <v>2.8007908311701186</v>
      </c>
      <c r="AB379" s="346">
        <f t="shared" si="153"/>
        <v>-87.861483373051371</v>
      </c>
      <c r="AD379">
        <f t="shared" si="157"/>
        <v>0</v>
      </c>
      <c r="AE379">
        <f t="shared" si="160"/>
        <v>0</v>
      </c>
    </row>
    <row r="380" spans="1:31" x14ac:dyDescent="0.2">
      <c r="A380" s="347">
        <v>32175</v>
      </c>
      <c r="B380" s="364">
        <f t="shared" si="154"/>
        <v>32.174999999999997</v>
      </c>
      <c r="C380" s="337">
        <f t="shared" si="135"/>
        <v>180.61684513295702</v>
      </c>
      <c r="D380" s="338">
        <f t="shared" si="136"/>
        <v>1.5652597163625124</v>
      </c>
      <c r="E380" s="338">
        <f t="shared" si="137"/>
        <v>1.0032642138011041</v>
      </c>
      <c r="F380" s="339">
        <f t="shared" si="138"/>
        <v>8.0689023054037023E-2</v>
      </c>
      <c r="G380" s="338">
        <f t="shared" si="139"/>
        <v>1</v>
      </c>
      <c r="H380" s="339">
        <f t="shared" si="140"/>
        <v>0</v>
      </c>
      <c r="I380" s="337">
        <f t="shared" si="141"/>
        <v>106146.73248126106</v>
      </c>
      <c r="J380" s="340">
        <f t="shared" si="142"/>
        <v>1.5707869058737185</v>
      </c>
      <c r="K380" s="348">
        <f t="shared" si="158"/>
        <v>52.393628532945179</v>
      </c>
      <c r="L380" s="349">
        <f t="shared" si="159"/>
        <v>1.5517088775692989</v>
      </c>
      <c r="M380" s="337">
        <f t="shared" si="143"/>
        <v>1.0054507291643915</v>
      </c>
      <c r="N380" s="340">
        <f t="shared" si="144"/>
        <v>0.10417374979767523</v>
      </c>
      <c r="O380" s="341">
        <f t="shared" si="145"/>
        <v>0.98967363420801124</v>
      </c>
      <c r="P380" s="342">
        <f t="shared" si="146"/>
        <v>4.8758686631180936E-2</v>
      </c>
      <c r="Q380" s="343">
        <f t="shared" si="147"/>
        <v>-14.468189710474189</v>
      </c>
      <c r="R380" s="344">
        <f t="shared" si="148"/>
        <v>-94.915108885143084</v>
      </c>
      <c r="S380" s="346">
        <f t="shared" si="149"/>
        <v>85.084891114856916</v>
      </c>
      <c r="U380" s="319">
        <f t="shared" si="155"/>
        <v>32175</v>
      </c>
      <c r="V380" s="319">
        <f t="shared" si="156"/>
        <v>1035230625</v>
      </c>
      <c r="X380" s="345">
        <f t="shared" si="150"/>
        <v>31.527445469534626</v>
      </c>
      <c r="Y380" s="346">
        <f t="shared" si="151"/>
        <v>-7.0618067108022595</v>
      </c>
      <c r="AA380" s="345">
        <f t="shared" si="152"/>
        <v>2.7523316239408278</v>
      </c>
      <c r="AB380" s="346">
        <f t="shared" si="153"/>
        <v>-87.853302174340811</v>
      </c>
      <c r="AD380">
        <f t="shared" si="157"/>
        <v>0</v>
      </c>
      <c r="AE380">
        <f t="shared" si="160"/>
        <v>0</v>
      </c>
    </row>
    <row r="381" spans="1:31" x14ac:dyDescent="0.2">
      <c r="A381" s="347">
        <v>32359</v>
      </c>
      <c r="B381" s="364">
        <f t="shared" si="154"/>
        <v>32.359000000000002</v>
      </c>
      <c r="C381" s="337">
        <f t="shared" si="135"/>
        <v>181.6497117582754</v>
      </c>
      <c r="D381" s="338">
        <f t="shared" si="136"/>
        <v>1.5652911980423536</v>
      </c>
      <c r="E381" s="338">
        <f t="shared" si="137"/>
        <v>1.0033015932349121</v>
      </c>
      <c r="F381" s="339">
        <f t="shared" si="138"/>
        <v>8.1148444087302832E-2</v>
      </c>
      <c r="G381" s="338">
        <f t="shared" si="139"/>
        <v>1</v>
      </c>
      <c r="H381" s="339">
        <f t="shared" si="140"/>
        <v>0</v>
      </c>
      <c r="I381" s="337">
        <f t="shared" si="141"/>
        <v>106753.75653020662</v>
      </c>
      <c r="J381" s="340">
        <f t="shared" si="142"/>
        <v>1.5707869594430346</v>
      </c>
      <c r="K381" s="348">
        <f t="shared" si="158"/>
        <v>52.693144484885408</v>
      </c>
      <c r="L381" s="349">
        <f t="shared" si="159"/>
        <v>1.5518173866374851</v>
      </c>
      <c r="M381" s="337">
        <f t="shared" si="143"/>
        <v>1.0055130784730095</v>
      </c>
      <c r="N381" s="340">
        <f t="shared" si="144"/>
        <v>0.10476515354977931</v>
      </c>
      <c r="O381" s="341">
        <f t="shared" si="145"/>
        <v>0.98955533969886289</v>
      </c>
      <c r="P381" s="342">
        <f t="shared" si="146"/>
        <v>4.9043614099177346E-2</v>
      </c>
      <c r="Q381" s="343">
        <f t="shared" si="147"/>
        <v>-14.516913589732086</v>
      </c>
      <c r="R381" s="344">
        <f t="shared" si="148"/>
        <v>-94.934585804343598</v>
      </c>
      <c r="S381" s="346">
        <f t="shared" si="149"/>
        <v>85.065414195656402</v>
      </c>
      <c r="U381" s="319">
        <f t="shared" si="155"/>
        <v>32359</v>
      </c>
      <c r="V381" s="319">
        <f t="shared" si="156"/>
        <v>1047104881</v>
      </c>
      <c r="X381" s="345">
        <f t="shared" si="150"/>
        <v>31.52688892200441</v>
      </c>
      <c r="Y381" s="346">
        <f t="shared" si="151"/>
        <v>-7.0894776074674031</v>
      </c>
      <c r="AA381" s="345">
        <f t="shared" si="152"/>
        <v>2.7041642922131528</v>
      </c>
      <c r="AB381" s="346">
        <f t="shared" si="153"/>
        <v>-87.845108196876197</v>
      </c>
      <c r="AD381">
        <f t="shared" si="157"/>
        <v>0</v>
      </c>
      <c r="AE381">
        <f t="shared" si="160"/>
        <v>0</v>
      </c>
    </row>
    <row r="382" spans="1:31" x14ac:dyDescent="0.2">
      <c r="A382" s="347">
        <v>32547.5</v>
      </c>
      <c r="B382" s="364">
        <f t="shared" si="154"/>
        <v>32.547499999999999</v>
      </c>
      <c r="C382" s="337">
        <f t="shared" si="135"/>
        <v>182.70783889322357</v>
      </c>
      <c r="D382" s="338">
        <f t="shared" si="136"/>
        <v>1.5653230805520835</v>
      </c>
      <c r="E382" s="338">
        <f t="shared" si="137"/>
        <v>1.0033401064194782</v>
      </c>
      <c r="F382" s="339">
        <f t="shared" si="138"/>
        <v>8.1619065361400012E-2</v>
      </c>
      <c r="G382" s="338">
        <f t="shared" si="139"/>
        <v>1</v>
      </c>
      <c r="H382" s="339">
        <f t="shared" si="140"/>
        <v>0</v>
      </c>
      <c r="I382" s="337">
        <f t="shared" si="141"/>
        <v>107375.6262760017</v>
      </c>
      <c r="J382" s="340">
        <f t="shared" si="142"/>
        <v>1.5707870136943849</v>
      </c>
      <c r="K382" s="348">
        <f t="shared" si="158"/>
        <v>52.999986191221005</v>
      </c>
      <c r="L382" s="349">
        <f t="shared" si="159"/>
        <v>1.5519272776780553</v>
      </c>
      <c r="M382" s="337">
        <f t="shared" si="143"/>
        <v>1.005577317276362</v>
      </c>
      <c r="N382" s="340">
        <f t="shared" si="144"/>
        <v>0.1053709447121115</v>
      </c>
      <c r="O382" s="341">
        <f t="shared" si="145"/>
        <v>0.98943345621322165</v>
      </c>
      <c r="P382" s="342">
        <f t="shared" si="146"/>
        <v>4.9335619413833492E-2</v>
      </c>
      <c r="Q382" s="343">
        <f t="shared" si="147"/>
        <v>-14.566532581503349</v>
      </c>
      <c r="R382" s="344">
        <f t="shared" si="148"/>
        <v>-94.954594689395023</v>
      </c>
      <c r="S382" s="346">
        <f t="shared" si="149"/>
        <v>85.045405310604977</v>
      </c>
      <c r="U382" s="319">
        <f t="shared" si="155"/>
        <v>32547.5</v>
      </c>
      <c r="V382" s="319">
        <f t="shared" si="156"/>
        <v>1059339756.25</v>
      </c>
      <c r="X382" s="345">
        <f t="shared" si="150"/>
        <v>31.526315962713248</v>
      </c>
      <c r="Y382" s="346">
        <f t="shared" si="151"/>
        <v>-7.11789369991026</v>
      </c>
      <c r="AA382" s="345">
        <f t="shared" si="152"/>
        <v>2.6551182597330492</v>
      </c>
      <c r="AB382" s="346">
        <f t="shared" si="153"/>
        <v>-87.836700989484754</v>
      </c>
      <c r="AD382">
        <f t="shared" si="157"/>
        <v>0</v>
      </c>
      <c r="AE382">
        <f t="shared" si="160"/>
        <v>0</v>
      </c>
    </row>
    <row r="383" spans="1:31" x14ac:dyDescent="0.2">
      <c r="A383" s="347">
        <v>32736</v>
      </c>
      <c r="B383" s="364">
        <f t="shared" si="154"/>
        <v>32.735999999999997</v>
      </c>
      <c r="C383" s="337">
        <f t="shared" si="135"/>
        <v>183.76596621175446</v>
      </c>
      <c r="D383" s="338">
        <f t="shared" si="136"/>
        <v>1.5653545959018618</v>
      </c>
      <c r="E383" s="338">
        <f t="shared" si="137"/>
        <v>1.0033788418111209</v>
      </c>
      <c r="F383" s="339">
        <f t="shared" si="138"/>
        <v>8.2089650403094724E-2</v>
      </c>
      <c r="G383" s="338">
        <f t="shared" si="139"/>
        <v>1</v>
      </c>
      <c r="H383" s="339">
        <f t="shared" si="140"/>
        <v>0</v>
      </c>
      <c r="I383" s="337">
        <f t="shared" si="141"/>
        <v>107997.49602179711</v>
      </c>
      <c r="J383" s="340">
        <f t="shared" si="142"/>
        <v>1.5707870673209565</v>
      </c>
      <c r="K383" s="348">
        <f t="shared" si="158"/>
        <v>53.306828530218397</v>
      </c>
      <c r="L383" s="349">
        <f t="shared" si="159"/>
        <v>1.5520359036203171</v>
      </c>
      <c r="M383" s="337">
        <f t="shared" si="143"/>
        <v>1.0056419250622022</v>
      </c>
      <c r="N383" s="340">
        <f t="shared" si="144"/>
        <v>0.10597665825821408</v>
      </c>
      <c r="O383" s="341">
        <f t="shared" si="145"/>
        <v>0.98931086848109806</v>
      </c>
      <c r="P383" s="342">
        <f t="shared" si="146"/>
        <v>4.962773624730555E-2</v>
      </c>
      <c r="Q383" s="343">
        <f t="shared" si="147"/>
        <v>-14.615854868227903</v>
      </c>
      <c r="R383" s="344">
        <f t="shared" si="148"/>
        <v>-94.974659005166274</v>
      </c>
      <c r="S383" s="346">
        <f t="shared" si="149"/>
        <v>85.025340994833726</v>
      </c>
      <c r="U383" s="319">
        <f t="shared" si="155"/>
        <v>32736</v>
      </c>
      <c r="V383" s="319">
        <f t="shared" si="156"/>
        <v>1071645696</v>
      </c>
      <c r="X383" s="345">
        <f t="shared" si="150"/>
        <v>31.525740163002489</v>
      </c>
      <c r="Y383" s="346">
        <f t="shared" si="151"/>
        <v>-7.1463777942673818</v>
      </c>
      <c r="AA383" s="345">
        <f t="shared" si="152"/>
        <v>2.6063717727192524</v>
      </c>
      <c r="AB383" s="346">
        <f t="shared" si="153"/>
        <v>-87.828281210898879</v>
      </c>
      <c r="AD383">
        <f t="shared" si="157"/>
        <v>0</v>
      </c>
      <c r="AE383">
        <f t="shared" si="160"/>
        <v>0</v>
      </c>
    </row>
    <row r="384" spans="1:31" x14ac:dyDescent="0.2">
      <c r="A384" s="347">
        <v>32924.5</v>
      </c>
      <c r="B384" s="364">
        <f t="shared" si="154"/>
        <v>32.924500000000002</v>
      </c>
      <c r="C384" s="337">
        <f t="shared" si="135"/>
        <v>184.82409371071503</v>
      </c>
      <c r="D384" s="338">
        <f t="shared" si="136"/>
        <v>1.5653857503976547</v>
      </c>
      <c r="E384" s="338">
        <f t="shared" si="137"/>
        <v>1.0034177993841067</v>
      </c>
      <c r="F384" s="339">
        <f t="shared" si="138"/>
        <v>8.2560199008172783E-2</v>
      </c>
      <c r="G384" s="338">
        <f t="shared" si="139"/>
        <v>1</v>
      </c>
      <c r="H384" s="339">
        <f t="shared" si="140"/>
        <v>0</v>
      </c>
      <c r="I384" s="337">
        <f t="shared" si="141"/>
        <v>108619.36576759281</v>
      </c>
      <c r="J384" s="340">
        <f t="shared" si="142"/>
        <v>1.5707871203334802</v>
      </c>
      <c r="K384" s="348">
        <f t="shared" si="158"/>
        <v>53.613671491014998</v>
      </c>
      <c r="L384" s="349">
        <f t="shared" si="159"/>
        <v>1.5521432861830016</v>
      </c>
      <c r="M384" s="337">
        <f t="shared" si="143"/>
        <v>1.0057069017594182</v>
      </c>
      <c r="N384" s="340">
        <f t="shared" si="144"/>
        <v>0.10658229375862938</v>
      </c>
      <c r="O384" s="341">
        <f t="shared" si="145"/>
        <v>0.98918757656809997</v>
      </c>
      <c r="P384" s="342">
        <f t="shared" si="146"/>
        <v>4.9919965289869701E-2</v>
      </c>
      <c r="Q384" s="343">
        <f t="shared" si="147"/>
        <v>-14.664883799519725</v>
      </c>
      <c r="R384" s="344">
        <f t="shared" si="148"/>
        <v>-94.994777895830239</v>
      </c>
      <c r="S384" s="346">
        <f t="shared" si="149"/>
        <v>85.005222104169761</v>
      </c>
      <c r="U384" s="319">
        <f t="shared" si="155"/>
        <v>32924.5</v>
      </c>
      <c r="V384" s="319">
        <f t="shared" si="156"/>
        <v>1084022700.25</v>
      </c>
      <c r="X384" s="345">
        <f t="shared" si="150"/>
        <v>31.525161516994132</v>
      </c>
      <c r="Y384" s="346">
        <f t="shared" si="151"/>
        <v>-7.174928622155849</v>
      </c>
      <c r="AA384" s="345">
        <f t="shared" si="152"/>
        <v>2.5579214874357863</v>
      </c>
      <c r="AB384" s="346">
        <f t="shared" si="153"/>
        <v>-87.819849273674379</v>
      </c>
      <c r="AD384">
        <f t="shared" si="157"/>
        <v>0</v>
      </c>
      <c r="AE384">
        <f t="shared" si="160"/>
        <v>0</v>
      </c>
    </row>
    <row r="385" spans="1:31" x14ac:dyDescent="0.2">
      <c r="A385" s="347">
        <v>33113</v>
      </c>
      <c r="B385" s="364">
        <f t="shared" si="154"/>
        <v>33.113</v>
      </c>
      <c r="C385" s="337">
        <f t="shared" si="135"/>
        <v>185.88222138702398</v>
      </c>
      <c r="D385" s="338">
        <f t="shared" si="136"/>
        <v>1.5654165502018451</v>
      </c>
      <c r="E385" s="338">
        <f t="shared" si="137"/>
        <v>1.0034569791125578</v>
      </c>
      <c r="F385" s="339">
        <f t="shared" si="138"/>
        <v>8.3030710972516186E-2</v>
      </c>
      <c r="G385" s="338">
        <f t="shared" si="139"/>
        <v>1</v>
      </c>
      <c r="H385" s="339">
        <f t="shared" si="140"/>
        <v>0</v>
      </c>
      <c r="I385" s="337">
        <f t="shared" si="141"/>
        <v>109241.23551338883</v>
      </c>
      <c r="J385" s="340">
        <f t="shared" si="142"/>
        <v>1.5707871727424427</v>
      </c>
      <c r="K385" s="348">
        <f t="shared" si="158"/>
        <v>53.920515062995477</v>
      </c>
      <c r="L385" s="349">
        <f t="shared" si="159"/>
        <v>1.5522494465905798</v>
      </c>
      <c r="M385" s="337">
        <f t="shared" si="143"/>
        <v>1.0057722472965112</v>
      </c>
      <c r="N385" s="340">
        <f t="shared" si="144"/>
        <v>0.1071878507842394</v>
      </c>
      <c r="O385" s="341">
        <f t="shared" si="145"/>
        <v>0.98906358054025523</v>
      </c>
      <c r="P385" s="342">
        <f t="shared" si="146"/>
        <v>5.0212307232591992E-2</v>
      </c>
      <c r="Q385" s="343">
        <f t="shared" si="147"/>
        <v>-14.713622667493544</v>
      </c>
      <c r="R385" s="344">
        <f t="shared" si="148"/>
        <v>-95.01495052569723</v>
      </c>
      <c r="S385" s="346">
        <f t="shared" si="149"/>
        <v>84.98504947430277</v>
      </c>
      <c r="U385" s="319">
        <f t="shared" si="155"/>
        <v>33113</v>
      </c>
      <c r="V385" s="319">
        <f t="shared" si="156"/>
        <v>1096470769</v>
      </c>
      <c r="X385" s="345">
        <f t="shared" si="150"/>
        <v>31.524580019018209</v>
      </c>
      <c r="Y385" s="346">
        <f t="shared" si="151"/>
        <v>-7.2035449435172358</v>
      </c>
      <c r="AA385" s="345">
        <f t="shared" si="152"/>
        <v>2.5097641174378866</v>
      </c>
      <c r="AB385" s="346">
        <f t="shared" si="153"/>
        <v>-87.811405582180029</v>
      </c>
      <c r="AD385">
        <f t="shared" si="157"/>
        <v>0</v>
      </c>
      <c r="AE385">
        <f t="shared" si="160"/>
        <v>0</v>
      </c>
    </row>
    <row r="386" spans="1:31" x14ac:dyDescent="0.2">
      <c r="A386" s="347">
        <v>33305.75</v>
      </c>
      <c r="B386" s="364">
        <f t="shared" si="154"/>
        <v>33.305750000000003</v>
      </c>
      <c r="C386" s="337">
        <f t="shared" si="135"/>
        <v>186.96420623363653</v>
      </c>
      <c r="D386" s="338">
        <f t="shared" si="136"/>
        <v>1.5654476839281277</v>
      </c>
      <c r="E386" s="338">
        <f t="shared" si="137"/>
        <v>1.0034972719016224</v>
      </c>
      <c r="F386" s="339">
        <f t="shared" si="138"/>
        <v>8.3511793195016573E-2</v>
      </c>
      <c r="G386" s="338">
        <f t="shared" si="139"/>
        <v>1</v>
      </c>
      <c r="H386" s="339">
        <f t="shared" si="140"/>
        <v>0</v>
      </c>
      <c r="I386" s="337">
        <f t="shared" si="141"/>
        <v>109877.1261950983</v>
      </c>
      <c r="J386" s="340">
        <f t="shared" si="142"/>
        <v>1.5707872257195896</v>
      </c>
      <c r="K386" s="348">
        <f t="shared" si="158"/>
        <v>54.234277479948794</v>
      </c>
      <c r="L386" s="349">
        <f t="shared" si="159"/>
        <v>1.5523567583461066</v>
      </c>
      <c r="M386" s="337">
        <f t="shared" si="143"/>
        <v>1.0058394474742252</v>
      </c>
      <c r="N386" s="340">
        <f t="shared" si="144"/>
        <v>0.1078069793568798</v>
      </c>
      <c r="O386" s="341">
        <f t="shared" si="145"/>
        <v>0.98893606080851693</v>
      </c>
      <c r="P386" s="342">
        <f t="shared" si="146"/>
        <v>5.0511357907187207E-2</v>
      </c>
      <c r="Q386" s="343">
        <f t="shared" si="147"/>
        <v>-14.763163846540998</v>
      </c>
      <c r="R386" s="344">
        <f t="shared" si="148"/>
        <v>-95.035632696275528</v>
      </c>
      <c r="S386" s="346">
        <f t="shared" si="149"/>
        <v>84.964367303724472</v>
      </c>
      <c r="U386" s="319">
        <f t="shared" si="155"/>
        <v>33305.75</v>
      </c>
      <c r="V386" s="319">
        <f t="shared" si="156"/>
        <v>1109272983.0625</v>
      </c>
      <c r="X386" s="345">
        <f t="shared" si="150"/>
        <v>31.523982455503834</v>
      </c>
      <c r="Y386" s="346">
        <f t="shared" si="151"/>
        <v>-7.2328729224221071</v>
      </c>
      <c r="AA386" s="345">
        <f t="shared" si="152"/>
        <v>2.4608205019048075</v>
      </c>
      <c r="AB386" s="346">
        <f t="shared" si="153"/>
        <v>-87.802759773853452</v>
      </c>
      <c r="AD386">
        <f t="shared" si="157"/>
        <v>0</v>
      </c>
      <c r="AE386">
        <f t="shared" si="160"/>
        <v>0</v>
      </c>
    </row>
    <row r="387" spans="1:31" x14ac:dyDescent="0.2">
      <c r="A387" s="347">
        <v>33498.5</v>
      </c>
      <c r="B387" s="364">
        <f t="shared" si="154"/>
        <v>33.4985</v>
      </c>
      <c r="C387" s="337">
        <f t="shared" si="135"/>
        <v>188.04619125938967</v>
      </c>
      <c r="D387" s="338">
        <f t="shared" si="136"/>
        <v>1.5654784593783648</v>
      </c>
      <c r="E387" s="338">
        <f t="shared" si="137"/>
        <v>1.0035377969215193</v>
      </c>
      <c r="F387" s="339">
        <f t="shared" si="138"/>
        <v>8.39928366745675E-2</v>
      </c>
      <c r="G387" s="338">
        <f t="shared" si="139"/>
        <v>1</v>
      </c>
      <c r="H387" s="339">
        <f t="shared" si="140"/>
        <v>0</v>
      </c>
      <c r="I387" s="337">
        <f t="shared" si="141"/>
        <v>110513.01687680811</v>
      </c>
      <c r="J387" s="340">
        <f t="shared" si="142"/>
        <v>1.5707872780870766</v>
      </c>
      <c r="K387" s="348">
        <f t="shared" si="158"/>
        <v>54.54804051426899</v>
      </c>
      <c r="L387" s="349">
        <f t="shared" si="159"/>
        <v>1.5524628355777634</v>
      </c>
      <c r="M387" s="337">
        <f t="shared" si="143"/>
        <v>1.0059070331589057</v>
      </c>
      <c r="N387" s="340">
        <f t="shared" si="144"/>
        <v>0.10842602496977689</v>
      </c>
      <c r="O387" s="341">
        <f t="shared" si="145"/>
        <v>0.98880780499444465</v>
      </c>
      <c r="P387" s="342">
        <f t="shared" si="146"/>
        <v>5.0810528094321065E-2</v>
      </c>
      <c r="Q387" s="343">
        <f t="shared" si="147"/>
        <v>-14.812408518710081</v>
      </c>
      <c r="R387" s="344">
        <f t="shared" si="148"/>
        <v>-95.056369351353524</v>
      </c>
      <c r="S387" s="346">
        <f t="shared" si="149"/>
        <v>84.943630648646476</v>
      </c>
      <c r="U387" s="319">
        <f t="shared" si="155"/>
        <v>33498.5</v>
      </c>
      <c r="V387" s="319">
        <f t="shared" si="156"/>
        <v>1122149502.25</v>
      </c>
      <c r="X387" s="345">
        <f t="shared" si="150"/>
        <v>31.523381898614737</v>
      </c>
      <c r="Y387" s="346">
        <f t="shared" si="151"/>
        <v>-7.2622668461604025</v>
      </c>
      <c r="AA387" s="345">
        <f t="shared" si="152"/>
        <v>2.4121763866248265</v>
      </c>
      <c r="AB387" s="346">
        <f t="shared" si="153"/>
        <v>-87.794102505193109</v>
      </c>
      <c r="AD387">
        <f t="shared" si="157"/>
        <v>0</v>
      </c>
      <c r="AE387">
        <f t="shared" si="160"/>
        <v>0</v>
      </c>
    </row>
    <row r="388" spans="1:31" x14ac:dyDescent="0.2">
      <c r="A388" s="347">
        <v>33691.25</v>
      </c>
      <c r="B388" s="364">
        <f t="shared" si="154"/>
        <v>33.691249999999997</v>
      </c>
      <c r="C388" s="337">
        <f t="shared" si="135"/>
        <v>189.12817646120891</v>
      </c>
      <c r="D388" s="338">
        <f t="shared" si="136"/>
        <v>1.5655088827014929</v>
      </c>
      <c r="E388" s="338">
        <f t="shared" si="137"/>
        <v>1.0035785541441162</v>
      </c>
      <c r="F388" s="339">
        <f t="shared" si="138"/>
        <v>8.447384119324626E-2</v>
      </c>
      <c r="G388" s="338">
        <f t="shared" si="139"/>
        <v>1</v>
      </c>
      <c r="H388" s="339">
        <f t="shared" si="140"/>
        <v>0</v>
      </c>
      <c r="I388" s="337">
        <f t="shared" si="141"/>
        <v>111148.90755851821</v>
      </c>
      <c r="J388" s="340">
        <f t="shared" si="142"/>
        <v>1.5707873298553676</v>
      </c>
      <c r="K388" s="348">
        <f t="shared" si="158"/>
        <v>54.861804155363643</v>
      </c>
      <c r="L388" s="349">
        <f t="shared" si="159"/>
        <v>1.552567699464475</v>
      </c>
      <c r="M388" s="337">
        <f t="shared" si="143"/>
        <v>1.0059750042728528</v>
      </c>
      <c r="N388" s="340">
        <f t="shared" si="144"/>
        <v>0.1090449871652413</v>
      </c>
      <c r="O388" s="341">
        <f t="shared" si="145"/>
        <v>0.98867881316999973</v>
      </c>
      <c r="P388" s="342">
        <f t="shared" si="146"/>
        <v>5.1109818535460406E-2</v>
      </c>
      <c r="Q388" s="343">
        <f t="shared" si="147"/>
        <v>-14.861360025738019</v>
      </c>
      <c r="R388" s="344">
        <f t="shared" si="148"/>
        <v>-95.077159659121136</v>
      </c>
      <c r="S388" s="346">
        <f t="shared" si="149"/>
        <v>84.922840340878864</v>
      </c>
      <c r="U388" s="319">
        <f t="shared" si="155"/>
        <v>33691.25</v>
      </c>
      <c r="V388" s="319">
        <f t="shared" si="156"/>
        <v>1135100326.5625</v>
      </c>
      <c r="X388" s="345">
        <f t="shared" si="150"/>
        <v>31.522778342919967</v>
      </c>
      <c r="Y388" s="346">
        <f t="shared" si="151"/>
        <v>-7.2917254756450003</v>
      </c>
      <c r="AA388" s="345">
        <f t="shared" si="152"/>
        <v>2.3638284352916608</v>
      </c>
      <c r="AB388" s="346">
        <f t="shared" si="153"/>
        <v>-87.785434183476099</v>
      </c>
      <c r="AD388">
        <f t="shared" si="157"/>
        <v>0</v>
      </c>
      <c r="AE388">
        <f t="shared" si="160"/>
        <v>0</v>
      </c>
    </row>
    <row r="389" spans="1:31" x14ac:dyDescent="0.2">
      <c r="A389" s="347">
        <v>33884</v>
      </c>
      <c r="B389" s="364">
        <f t="shared" si="154"/>
        <v>33.884</v>
      </c>
      <c r="C389" s="337">
        <f t="shared" si="135"/>
        <v>190.21016183608955</v>
      </c>
      <c r="D389" s="338">
        <f t="shared" si="136"/>
        <v>1.5655389599065404</v>
      </c>
      <c r="E389" s="338">
        <f t="shared" si="137"/>
        <v>1.003619543541123</v>
      </c>
      <c r="F389" s="339">
        <f t="shared" si="138"/>
        <v>8.4954806533237531E-2</v>
      </c>
      <c r="G389" s="338">
        <f t="shared" si="139"/>
        <v>1</v>
      </c>
      <c r="H389" s="339">
        <f t="shared" si="140"/>
        <v>0</v>
      </c>
      <c r="I389" s="337">
        <f t="shared" si="141"/>
        <v>111784.7982402286</v>
      </c>
      <c r="J389" s="340">
        <f t="shared" si="142"/>
        <v>1.5707873810346882</v>
      </c>
      <c r="K389" s="348">
        <f t="shared" si="158"/>
        <v>55.175568392881218</v>
      </c>
      <c r="L389" s="349">
        <f t="shared" si="159"/>
        <v>1.5526713707035251</v>
      </c>
      <c r="M389" s="337">
        <f t="shared" si="143"/>
        <v>1.0060433607379442</v>
      </c>
      <c r="N389" s="340">
        <f t="shared" si="144"/>
        <v>0.10966386548596263</v>
      </c>
      <c r="O389" s="341">
        <f t="shared" si="145"/>
        <v>0.98854908540760567</v>
      </c>
      <c r="P389" s="342">
        <f t="shared" si="146"/>
        <v>5.140922997295843E-2</v>
      </c>
      <c r="Q389" s="343">
        <f t="shared" si="147"/>
        <v>-14.910021652037184</v>
      </c>
      <c r="R389" s="344">
        <f t="shared" si="148"/>
        <v>-95.098002807400775</v>
      </c>
      <c r="S389" s="346">
        <f t="shared" si="149"/>
        <v>84.901997192599225</v>
      </c>
      <c r="U389" s="319">
        <f t="shared" si="155"/>
        <v>33884</v>
      </c>
      <c r="V389" s="319">
        <f t="shared" si="156"/>
        <v>1148125456</v>
      </c>
      <c r="X389" s="345">
        <f t="shared" si="150"/>
        <v>31.522171783187559</v>
      </c>
      <c r="Y389" s="346">
        <f t="shared" si="151"/>
        <v>-7.3212475993928114</v>
      </c>
      <c r="AA389" s="345">
        <f t="shared" si="152"/>
        <v>2.3157733687249</v>
      </c>
      <c r="AB389" s="346">
        <f t="shared" si="153"/>
        <v>-87.776755208007955</v>
      </c>
      <c r="AD389">
        <f t="shared" si="157"/>
        <v>0</v>
      </c>
      <c r="AE389">
        <f t="shared" si="160"/>
        <v>0</v>
      </c>
    </row>
    <row r="390" spans="1:31" x14ac:dyDescent="0.2">
      <c r="A390" s="347">
        <v>34081.5</v>
      </c>
      <c r="B390" s="364">
        <f t="shared" si="154"/>
        <v>34.081499999999998</v>
      </c>
      <c r="C390" s="337">
        <f t="shared" si="135"/>
        <v>191.31881109963223</v>
      </c>
      <c r="D390" s="338">
        <f t="shared" si="136"/>
        <v>1.5655694254375072</v>
      </c>
      <c r="E390" s="338">
        <f t="shared" si="137"/>
        <v>1.0036617838504542</v>
      </c>
      <c r="F390" s="339">
        <f t="shared" si="138"/>
        <v>8.544758358968714E-2</v>
      </c>
      <c r="G390" s="338">
        <f t="shared" si="139"/>
        <v>1</v>
      </c>
      <c r="H390" s="339">
        <f t="shared" si="140"/>
        <v>0</v>
      </c>
      <c r="I390" s="337">
        <f t="shared" si="141"/>
        <v>112436.35937972463</v>
      </c>
      <c r="J390" s="340">
        <f t="shared" si="142"/>
        <v>1.5707874328747669</v>
      </c>
      <c r="K390" s="348">
        <f t="shared" si="158"/>
        <v>55.497065431094015</v>
      </c>
      <c r="L390" s="349">
        <f t="shared" si="159"/>
        <v>1.5527763808027202</v>
      </c>
      <c r="M390" s="337">
        <f t="shared" si="143"/>
        <v>1.0061138013638133</v>
      </c>
      <c r="N390" s="340">
        <f t="shared" si="144"/>
        <v>0.11029790754491831</v>
      </c>
      <c r="O390" s="341">
        <f t="shared" si="145"/>
        <v>0.98841539743328344</v>
      </c>
      <c r="P390" s="342">
        <f t="shared" si="146"/>
        <v>5.171614618544175E-2</v>
      </c>
      <c r="Q390" s="343">
        <f t="shared" si="147"/>
        <v>-14.959585154057908</v>
      </c>
      <c r="R390" s="344">
        <f t="shared" si="148"/>
        <v>-95.119413580573791</v>
      </c>
      <c r="S390" s="346">
        <f t="shared" si="149"/>
        <v>84.880586419426209</v>
      </c>
      <c r="U390" s="319">
        <f t="shared" si="155"/>
        <v>34081.5</v>
      </c>
      <c r="V390" s="319">
        <f t="shared" si="156"/>
        <v>1161548642.25</v>
      </c>
      <c r="X390" s="345">
        <f t="shared" si="150"/>
        <v>31.521547154546333</v>
      </c>
      <c r="Y390" s="346">
        <f t="shared" si="151"/>
        <v>-7.351561868166999</v>
      </c>
      <c r="AA390" s="345">
        <f t="shared" si="152"/>
        <v>2.2668344953454054</v>
      </c>
      <c r="AB390" s="346">
        <f t="shared" si="153"/>
        <v>-87.767851712406795</v>
      </c>
      <c r="AD390">
        <f t="shared" si="157"/>
        <v>0</v>
      </c>
      <c r="AE390">
        <f t="shared" si="160"/>
        <v>0</v>
      </c>
    </row>
    <row r="391" spans="1:31" x14ac:dyDescent="0.2">
      <c r="A391" s="347">
        <v>34279</v>
      </c>
      <c r="B391" s="364">
        <f t="shared" si="154"/>
        <v>34.279000000000003</v>
      </c>
      <c r="C391" s="337">
        <f t="shared" si="135"/>
        <v>192.42746053870107</v>
      </c>
      <c r="D391" s="338">
        <f t="shared" si="136"/>
        <v>1.5655995399209566</v>
      </c>
      <c r="E391" s="338">
        <f t="shared" si="137"/>
        <v>1.0037042678576529</v>
      </c>
      <c r="F391" s="339">
        <f t="shared" si="138"/>
        <v>8.5940319050017228E-2</v>
      </c>
      <c r="G391" s="338">
        <f t="shared" si="139"/>
        <v>1</v>
      </c>
      <c r="H391" s="339">
        <f t="shared" si="140"/>
        <v>0</v>
      </c>
      <c r="I391" s="337">
        <f t="shared" si="141"/>
        <v>113087.92051922095</v>
      </c>
      <c r="J391" s="340">
        <f t="shared" si="142"/>
        <v>1.5707874841174876</v>
      </c>
      <c r="K391" s="348">
        <f t="shared" si="158"/>
        <v>55.818563074230134</v>
      </c>
      <c r="L391" s="349">
        <f t="shared" si="159"/>
        <v>1.5528801812517237</v>
      </c>
      <c r="M391" s="337">
        <f t="shared" si="143"/>
        <v>1.0061846464000941</v>
      </c>
      <c r="N391" s="340">
        <f t="shared" si="144"/>
        <v>0.11093186057343164</v>
      </c>
      <c r="O391" s="341">
        <f t="shared" si="145"/>
        <v>0.98828093695761143</v>
      </c>
      <c r="P391" s="342">
        <f t="shared" si="146"/>
        <v>5.202319101213753E-2</v>
      </c>
      <c r="Q391" s="343">
        <f t="shared" si="147"/>
        <v>-15.008851114667278</v>
      </c>
      <c r="R391" s="344">
        <f t="shared" si="148"/>
        <v>-95.14087816509533</v>
      </c>
      <c r="S391" s="346">
        <f t="shared" si="149"/>
        <v>84.85912183490467</v>
      </c>
      <c r="U391" s="319">
        <f t="shared" si="155"/>
        <v>34279</v>
      </c>
      <c r="V391" s="319">
        <f t="shared" si="156"/>
        <v>1175049841</v>
      </c>
      <c r="X391" s="345">
        <f t="shared" si="150"/>
        <v>31.520919361475531</v>
      </c>
      <c r="Y391" s="346">
        <f t="shared" si="151"/>
        <v>-7.381940309497228</v>
      </c>
      <c r="AA391" s="345">
        <f t="shared" si="152"/>
        <v>2.2181963278068331</v>
      </c>
      <c r="AB391" s="346">
        <f t="shared" si="153"/>
        <v>-87.75893785559812</v>
      </c>
      <c r="AD391">
        <f t="shared" si="157"/>
        <v>0</v>
      </c>
      <c r="AE391">
        <f t="shared" si="160"/>
        <v>0</v>
      </c>
    </row>
    <row r="392" spans="1:31" x14ac:dyDescent="0.2">
      <c r="A392" s="347">
        <v>34476.5</v>
      </c>
      <c r="B392" s="364">
        <f t="shared" si="154"/>
        <v>34.476500000000001</v>
      </c>
      <c r="C392" s="337">
        <f t="shared" si="135"/>
        <v>193.53611015027963</v>
      </c>
      <c r="D392" s="338">
        <f t="shared" si="136"/>
        <v>1.5656293093896407</v>
      </c>
      <c r="E392" s="338">
        <f t="shared" si="137"/>
        <v>1.003746995531775</v>
      </c>
      <c r="F392" s="339">
        <f t="shared" si="138"/>
        <v>8.6433012680264029E-2</v>
      </c>
      <c r="G392" s="338">
        <f t="shared" si="139"/>
        <v>1</v>
      </c>
      <c r="H392" s="339">
        <f t="shared" si="140"/>
        <v>0</v>
      </c>
      <c r="I392" s="337">
        <f t="shared" si="141"/>
        <v>113739.48165871759</v>
      </c>
      <c r="J392" s="340">
        <f t="shared" si="142"/>
        <v>1.5707875347731164</v>
      </c>
      <c r="K392" s="348">
        <f t="shared" si="158"/>
        <v>56.140061311896908</v>
      </c>
      <c r="L392" s="349">
        <f t="shared" si="159"/>
        <v>1.552982792830252</v>
      </c>
      <c r="M392" s="337">
        <f t="shared" si="143"/>
        <v>1.0062558957613688</v>
      </c>
      <c r="N392" s="340">
        <f t="shared" si="144"/>
        <v>0.11156572408079425</v>
      </c>
      <c r="O392" s="341">
        <f t="shared" si="145"/>
        <v>0.98814570406001556</v>
      </c>
      <c r="P392" s="342">
        <f t="shared" si="146"/>
        <v>5.2330365254578882E-2</v>
      </c>
      <c r="Q392" s="343">
        <f t="shared" si="147"/>
        <v>-15.057822888275689</v>
      </c>
      <c r="R392" s="344">
        <f t="shared" si="148"/>
        <v>-95.16239574782891</v>
      </c>
      <c r="S392" s="346">
        <f t="shared" si="149"/>
        <v>84.83760425217109</v>
      </c>
      <c r="U392" s="319">
        <f t="shared" si="155"/>
        <v>34476.5</v>
      </c>
      <c r="V392" s="319">
        <f t="shared" si="156"/>
        <v>1188629052.25</v>
      </c>
      <c r="X392" s="345">
        <f t="shared" si="150"/>
        <v>31.520288398955103</v>
      </c>
      <c r="Y392" s="346">
        <f t="shared" si="151"/>
        <v>-7.4123817052661405</v>
      </c>
      <c r="AA392" s="345">
        <f t="shared" si="152"/>
        <v>2.1698555167188589</v>
      </c>
      <c r="AB392" s="346">
        <f t="shared" si="153"/>
        <v>-87.750014042562768</v>
      </c>
      <c r="AD392">
        <f t="shared" si="157"/>
        <v>0</v>
      </c>
      <c r="AE392">
        <f t="shared" si="160"/>
        <v>0</v>
      </c>
    </row>
    <row r="393" spans="1:31" x14ac:dyDescent="0.2">
      <c r="A393" s="347">
        <v>34674</v>
      </c>
      <c r="B393" s="364">
        <f t="shared" si="154"/>
        <v>34.673999999999999</v>
      </c>
      <c r="C393" s="337">
        <f t="shared" si="135"/>
        <v>194.64475993142014</v>
      </c>
      <c r="D393" s="338">
        <f t="shared" si="136"/>
        <v>1.5656587397388704</v>
      </c>
      <c r="E393" s="338">
        <f t="shared" si="137"/>
        <v>1.003789966841705</v>
      </c>
      <c r="F393" s="339">
        <f t="shared" si="138"/>
        <v>8.6925664246584738E-2</v>
      </c>
      <c r="G393" s="338">
        <f t="shared" si="139"/>
        <v>1</v>
      </c>
      <c r="H393" s="339">
        <f t="shared" si="140"/>
        <v>0</v>
      </c>
      <c r="I393" s="337">
        <f t="shared" si="141"/>
        <v>114391.04279821449</v>
      </c>
      <c r="J393" s="340">
        <f t="shared" si="142"/>
        <v>1.5707875848516855</v>
      </c>
      <c r="K393" s="348">
        <f t="shared" si="158"/>
        <v>56.461560133938377</v>
      </c>
      <c r="L393" s="349">
        <f t="shared" si="159"/>
        <v>1.5530842358448342</v>
      </c>
      <c r="M393" s="337">
        <f t="shared" si="143"/>
        <v>1.0063275493617576</v>
      </c>
      <c r="N393" s="340">
        <f t="shared" si="144"/>
        <v>0.11219949757672401</v>
      </c>
      <c r="O393" s="341">
        <f t="shared" si="145"/>
        <v>0.98800969882043499</v>
      </c>
      <c r="P393" s="342">
        <f t="shared" si="146"/>
        <v>5.2637669715301955E-2</v>
      </c>
      <c r="Q393" s="343">
        <f t="shared" si="147"/>
        <v>-15.106503771673349</v>
      </c>
      <c r="R393" s="344">
        <f t="shared" si="148"/>
        <v>-95.183965534936334</v>
      </c>
      <c r="S393" s="346">
        <f t="shared" si="149"/>
        <v>84.816034465063666</v>
      </c>
      <c r="U393" s="319">
        <f t="shared" si="155"/>
        <v>34674</v>
      </c>
      <c r="V393" s="319">
        <f t="shared" si="156"/>
        <v>1202286276</v>
      </c>
      <c r="X393" s="345">
        <f t="shared" si="150"/>
        <v>31.519654262156969</v>
      </c>
      <c r="Y393" s="346">
        <f t="shared" si="151"/>
        <v>-7.4428848644790193</v>
      </c>
      <c r="AA393" s="345">
        <f t="shared" si="152"/>
        <v>2.1218087701193236</v>
      </c>
      <c r="AB393" s="346">
        <f t="shared" si="153"/>
        <v>-87.741080670457293</v>
      </c>
      <c r="AD393">
        <f t="shared" si="157"/>
        <v>0</v>
      </c>
      <c r="AE393">
        <f t="shared" si="160"/>
        <v>0</v>
      </c>
    </row>
    <row r="394" spans="1:31" x14ac:dyDescent="0.2">
      <c r="A394" s="347">
        <v>34875.75</v>
      </c>
      <c r="B394" s="364">
        <f t="shared" si="154"/>
        <v>34.875749999999996</v>
      </c>
      <c r="C394" s="337">
        <f t="shared" si="135"/>
        <v>195.77726690524639</v>
      </c>
      <c r="D394" s="338">
        <f t="shared" si="136"/>
        <v>1.565688459246197</v>
      </c>
      <c r="E394" s="338">
        <f t="shared" si="137"/>
        <v>1.0038341143745824</v>
      </c>
      <c r="F394" s="339">
        <f t="shared" si="138"/>
        <v>8.7428873501250295E-2</v>
      </c>
      <c r="G394" s="338">
        <f t="shared" si="139"/>
        <v>1</v>
      </c>
      <c r="H394" s="339">
        <f t="shared" si="140"/>
        <v>0</v>
      </c>
      <c r="I394" s="337">
        <f t="shared" si="141"/>
        <v>115056.62487362491</v>
      </c>
      <c r="J394" s="340">
        <f t="shared" si="142"/>
        <v>1.5707876354222694</v>
      </c>
      <c r="K394" s="348">
        <f t="shared" si="158"/>
        <v>56.789977878113547</v>
      </c>
      <c r="L394" s="349">
        <f t="shared" si="159"/>
        <v>1.5531866758928119</v>
      </c>
      <c r="M394" s="337">
        <f t="shared" si="143"/>
        <v>1.0064011621662075</v>
      </c>
      <c r="N394" s="340">
        <f t="shared" si="144"/>
        <v>0.11284681578938011</v>
      </c>
      <c r="O394" s="341">
        <f t="shared" si="145"/>
        <v>0.98786996951865913</v>
      </c>
      <c r="P394" s="342">
        <f t="shared" si="146"/>
        <v>5.2951722344131293E-2</v>
      </c>
      <c r="Q394" s="343">
        <f t="shared" si="147"/>
        <v>-15.155935240848002</v>
      </c>
      <c r="R394" s="344">
        <f t="shared" si="148"/>
        <v>-95.206052577639184</v>
      </c>
      <c r="S394" s="346">
        <f t="shared" si="149"/>
        <v>84.793947422360816</v>
      </c>
      <c r="U394" s="319">
        <f t="shared" si="155"/>
        <v>34875.75</v>
      </c>
      <c r="V394" s="319">
        <f t="shared" si="156"/>
        <v>1216317938.0625</v>
      </c>
      <c r="X394" s="345">
        <f t="shared" si="150"/>
        <v>31.519003197077001</v>
      </c>
      <c r="Y394" s="346">
        <f t="shared" si="151"/>
        <v>-7.4741069811806309</v>
      </c>
      <c r="AA394" s="345">
        <f t="shared" si="152"/>
        <v>2.0730283660246398</v>
      </c>
      <c r="AB394" s="346">
        <f t="shared" si="153"/>
        <v>-87.731945596458544</v>
      </c>
      <c r="AD394">
        <f t="shared" si="157"/>
        <v>0</v>
      </c>
      <c r="AE394">
        <f t="shared" si="160"/>
        <v>0</v>
      </c>
    </row>
    <row r="395" spans="1:31" x14ac:dyDescent="0.2">
      <c r="A395" s="347">
        <v>35077.5</v>
      </c>
      <c r="B395" s="364">
        <f t="shared" si="154"/>
        <v>35.077500000000001</v>
      </c>
      <c r="C395" s="337">
        <f t="shared" si="135"/>
        <v>196.90977405000365</v>
      </c>
      <c r="D395" s="338">
        <f t="shared" si="136"/>
        <v>1.5657178368959193</v>
      </c>
      <c r="E395" s="338">
        <f t="shared" si="137"/>
        <v>1.0038785160754922</v>
      </c>
      <c r="F395" s="339">
        <f t="shared" si="138"/>
        <v>8.7932038369272464E-2</v>
      </c>
      <c r="G395" s="338">
        <f t="shared" si="139"/>
        <v>1</v>
      </c>
      <c r="H395" s="339">
        <f t="shared" si="140"/>
        <v>0</v>
      </c>
      <c r="I395" s="337">
        <f t="shared" si="141"/>
        <v>115722.20694903564</v>
      </c>
      <c r="J395" s="340">
        <f t="shared" si="142"/>
        <v>1.5707876854111349</v>
      </c>
      <c r="K395" s="348">
        <f t="shared" si="158"/>
        <v>57.118396211387484</v>
      </c>
      <c r="L395" s="349">
        <f t="shared" si="159"/>
        <v>1.5532879379259297</v>
      </c>
      <c r="M395" s="337">
        <f t="shared" si="143"/>
        <v>1.0064751966119569</v>
      </c>
      <c r="N395" s="340">
        <f t="shared" si="144"/>
        <v>0.11349403904215268</v>
      </c>
      <c r="O395" s="341">
        <f t="shared" si="145"/>
        <v>0.9877294344474874</v>
      </c>
      <c r="P395" s="342">
        <f t="shared" si="146"/>
        <v>5.3265912552017465E-2</v>
      </c>
      <c r="Q395" s="343">
        <f t="shared" si="147"/>
        <v>-15.205069941948857</v>
      </c>
      <c r="R395" s="344">
        <f t="shared" si="148"/>
        <v>-95.228192480359922</v>
      </c>
      <c r="S395" s="346">
        <f t="shared" si="149"/>
        <v>84.771807519640078</v>
      </c>
      <c r="U395" s="319">
        <f t="shared" si="155"/>
        <v>35077.5</v>
      </c>
      <c r="V395" s="319">
        <f t="shared" si="156"/>
        <v>1230431006.25</v>
      </c>
      <c r="X395" s="345">
        <f t="shared" si="150"/>
        <v>31.518348810036461</v>
      </c>
      <c r="Y395" s="346">
        <f t="shared" si="151"/>
        <v>-7.5053911190314269</v>
      </c>
      <c r="AA395" s="345">
        <f t="shared" si="152"/>
        <v>2.0245480519643229</v>
      </c>
      <c r="AB395" s="346">
        <f t="shared" si="153"/>
        <v>-87.722801361328465</v>
      </c>
      <c r="AD395">
        <f t="shared" si="157"/>
        <v>0</v>
      </c>
      <c r="AE395">
        <f t="shared" si="160"/>
        <v>0</v>
      </c>
    </row>
    <row r="396" spans="1:31" x14ac:dyDescent="0.2">
      <c r="A396" s="347">
        <v>35279.25</v>
      </c>
      <c r="B396" s="364">
        <f t="shared" si="154"/>
        <v>35.279249999999998</v>
      </c>
      <c r="C396" s="337">
        <f t="shared" si="135"/>
        <v>198.04228136275952</v>
      </c>
      <c r="D396" s="338">
        <f t="shared" si="136"/>
        <v>1.5657468785527364</v>
      </c>
      <c r="E396" s="338">
        <f t="shared" si="137"/>
        <v>1.0039231719107098</v>
      </c>
      <c r="F396" s="339">
        <f t="shared" si="138"/>
        <v>8.8435158601780209E-2</v>
      </c>
      <c r="G396" s="338">
        <f t="shared" si="139"/>
        <v>1</v>
      </c>
      <c r="H396" s="339">
        <f t="shared" si="140"/>
        <v>0</v>
      </c>
      <c r="I396" s="337">
        <f t="shared" si="141"/>
        <v>116387.78902444664</v>
      </c>
      <c r="J396" s="340">
        <f t="shared" si="142"/>
        <v>1.5707877348282617</v>
      </c>
      <c r="K396" s="348">
        <f t="shared" si="158"/>
        <v>57.446815123656719</v>
      </c>
      <c r="L396" s="349">
        <f t="shared" si="159"/>
        <v>1.5533880421459469</v>
      </c>
      <c r="M396" s="337">
        <f t="shared" si="143"/>
        <v>1.0065496526059681</v>
      </c>
      <c r="N396" s="340">
        <f t="shared" si="144"/>
        <v>0.1141411668138145</v>
      </c>
      <c r="O396" s="341">
        <f t="shared" si="145"/>
        <v>0.98758809369379652</v>
      </c>
      <c r="P396" s="342">
        <f t="shared" si="146"/>
        <v>5.3580241197713992E-2</v>
      </c>
      <c r="Q396" s="343">
        <f t="shared" si="147"/>
        <v>-15.253911211350783</v>
      </c>
      <c r="R396" s="344">
        <f t="shared" si="148"/>
        <v>-95.250384455815379</v>
      </c>
      <c r="S396" s="346">
        <f t="shared" si="149"/>
        <v>84.749615544184621</v>
      </c>
      <c r="U396" s="319">
        <f t="shared" si="155"/>
        <v>35279.25</v>
      </c>
      <c r="V396" s="319">
        <f t="shared" si="156"/>
        <v>1244625480.5625</v>
      </c>
      <c r="X396" s="345">
        <f t="shared" si="150"/>
        <v>31.517691096469758</v>
      </c>
      <c r="Y396" s="346">
        <f t="shared" si="151"/>
        <v>-7.5367360912635455</v>
      </c>
      <c r="AA396" s="345">
        <f t="shared" si="152"/>
        <v>1.976364496129104</v>
      </c>
      <c r="AB396" s="346">
        <f t="shared" si="153"/>
        <v>-87.713648364551844</v>
      </c>
      <c r="AD396">
        <f t="shared" si="157"/>
        <v>0</v>
      </c>
      <c r="AE396">
        <f t="shared" si="160"/>
        <v>0</v>
      </c>
    </row>
    <row r="397" spans="1:31" x14ac:dyDescent="0.2">
      <c r="A397" s="347">
        <v>35481</v>
      </c>
      <c r="B397" s="364">
        <f t="shared" si="154"/>
        <v>35.481000000000002</v>
      </c>
      <c r="C397" s="337">
        <f t="shared" ref="C397:C460" si="161">SQRT(1+(A397/pole1)^2)</f>
        <v>199.17478884064832</v>
      </c>
      <c r="D397" s="338">
        <f t="shared" ref="D397:D460" si="162">ATAN(A397/pole1)</f>
        <v>1.5657755899479648</v>
      </c>
      <c r="E397" s="338">
        <f t="shared" ref="E397:E460" si="163">SQRT(1+(A397/Zero1)^2)</f>
        <v>1.0039680818463241</v>
      </c>
      <c r="F397" s="339">
        <f t="shared" ref="F397:F460" si="164">ATAN(A397/Zero1)</f>
        <v>8.893823395003711E-2</v>
      </c>
      <c r="G397" s="338">
        <f t="shared" ref="G397:G460" si="165">IF(VIN_nom&gt;Vout, 1, SQRT(1+(A397/z_RHP)^2))</f>
        <v>1</v>
      </c>
      <c r="H397" s="339">
        <f t="shared" ref="H397:H460" si="166">IF(VIN_nom&gt;Vout, 0, -ATAN(A397/z_RHP))</f>
        <v>0</v>
      </c>
      <c r="I397" s="337">
        <f t="shared" ref="I397:I460" si="167">SQRT(1+(A397/Pole2)^2)</f>
        <v>117053.37109985792</v>
      </c>
      <c r="J397" s="340">
        <f t="shared" ref="J397:J460" si="168">ATAN(A397/Pole2)</f>
        <v>1.570787783683403</v>
      </c>
      <c r="K397" s="348">
        <f t="shared" si="158"/>
        <v>57.775234605047487</v>
      </c>
      <c r="L397" s="349">
        <f t="shared" si="159"/>
        <v>1.5534870082953749</v>
      </c>
      <c r="M397" s="337">
        <f t="shared" ref="M397:M460" si="169">SQRT(1+(A397/pole4)^2)</f>
        <v>1.0066245300546994</v>
      </c>
      <c r="N397" s="340">
        <f t="shared" ref="N397:N460" si="170">ATAN(A397/pole4)</f>
        <v>0.11478819858361203</v>
      </c>
      <c r="O397" s="341">
        <f t="shared" ref="O397:O460" si="171">SQRT((1-(V397/pterm2))^2+(A397/pterm1)^2)</f>
        <v>0.98744594734502611</v>
      </c>
      <c r="P397" s="342">
        <f t="shared" ref="P397:P460" si="172">IF((ATAN((A397/pterm1)/(1-A397^2/pterm2))&gt;0),ATAN((A397/pterm1)/(1-A397^2/pterm2)),PI()+ATAN((A397/pterm1)/(1-A397^2/pterm2)))</f>
        <v>5.3894709141095822E-2</v>
      </c>
      <c r="Q397" s="343">
        <f t="shared" ref="Q397:Q460" si="173">20*LOG10(((E397*K397*G397)/(C397*I397*O397*M397))*Adc)</f>
        <v>-15.302462328213158</v>
      </c>
      <c r="R397" s="344">
        <f t="shared" ref="R397:R460" si="174">((F397+L397+H397)-(D397+J397+P397+N397))*radconv</f>
        <v>-95.272627735463871</v>
      </c>
      <c r="S397" s="346">
        <f t="shared" ref="S397:S460" si="175">IF(R397&gt;0,R397,R397+180)</f>
        <v>84.727372264536129</v>
      </c>
      <c r="U397" s="319">
        <f t="shared" si="155"/>
        <v>35481</v>
      </c>
      <c r="V397" s="319">
        <f t="shared" si="156"/>
        <v>1258901361</v>
      </c>
      <c r="X397" s="345">
        <f t="shared" ref="X397:X460" si="176">20*LOG10((K397/(I397*M397))*AEA)</f>
        <v>31.517030051994432</v>
      </c>
      <c r="Y397" s="346">
        <f t="shared" ref="Y397:Y460" si="177">(L397-(J397+N397))*radconv</f>
        <v>-7.5681407374362282</v>
      </c>
      <c r="AA397" s="345">
        <f t="shared" ref="AA397:AA460" si="178">20*LOG10((E397*G397/(C397*O397))*Acs*Am)</f>
        <v>1.9284744237420566</v>
      </c>
      <c r="AB397" s="346">
        <f t="shared" ref="AB397:AB460" si="179">(F397+H397-(D397+P397))*radconv</f>
        <v>-87.704486998027633</v>
      </c>
      <c r="AD397">
        <f t="shared" si="157"/>
        <v>0</v>
      </c>
      <c r="AE397">
        <f t="shared" si="160"/>
        <v>0</v>
      </c>
    </row>
    <row r="398" spans="1:31" x14ac:dyDescent="0.2">
      <c r="A398" s="347">
        <v>35687.75</v>
      </c>
      <c r="B398" s="364">
        <f t="shared" ref="B398:B461" si="180">A398/1000</f>
        <v>35.687750000000001</v>
      </c>
      <c r="C398" s="337">
        <f t="shared" si="161"/>
        <v>200.33536358675377</v>
      </c>
      <c r="D398" s="338">
        <f t="shared" si="162"/>
        <v>1.5658046761203928</v>
      </c>
      <c r="E398" s="338">
        <f t="shared" si="163"/>
        <v>1.0040143683803688</v>
      </c>
      <c r="F398" s="339">
        <f t="shared" si="164"/>
        <v>8.9453730262189737E-2</v>
      </c>
      <c r="G398" s="338">
        <f t="shared" si="165"/>
        <v>1</v>
      </c>
      <c r="H398" s="339">
        <f t="shared" si="166"/>
        <v>0</v>
      </c>
      <c r="I398" s="337">
        <f t="shared" si="167"/>
        <v>117735.44839399097</v>
      </c>
      <c r="J398" s="340">
        <f t="shared" si="168"/>
        <v>1.5707878331762486</v>
      </c>
      <c r="K398" s="348">
        <f t="shared" si="158"/>
        <v>58.111793935233891</v>
      </c>
      <c r="L398" s="349">
        <f t="shared" si="159"/>
        <v>1.5535872665919794</v>
      </c>
      <c r="M398" s="337">
        <f t="shared" si="169"/>
        <v>1.0067017003555196</v>
      </c>
      <c r="N398" s="340">
        <f t="shared" si="170"/>
        <v>0.11545116569274787</v>
      </c>
      <c r="O398" s="341">
        <f t="shared" si="171"/>
        <v>0.98729944246414159</v>
      </c>
      <c r="P398" s="342">
        <f t="shared" si="172"/>
        <v>5.4217116009368849E-2</v>
      </c>
      <c r="Q398" s="343">
        <f t="shared" si="173"/>
        <v>-15.35191903790386</v>
      </c>
      <c r="R398" s="344">
        <f t="shared" si="174"/>
        <v>-95.295474715993478</v>
      </c>
      <c r="S398" s="346">
        <f t="shared" si="175"/>
        <v>84.704525284006522</v>
      </c>
      <c r="U398" s="319">
        <f t="shared" ref="U398:U461" si="181">IF(Q398&lt;0,A398,1000000000)</f>
        <v>35687.75</v>
      </c>
      <c r="V398" s="319">
        <f t="shared" ref="V398:V461" si="182">A398^2</f>
        <v>1273615500.0625</v>
      </c>
      <c r="X398" s="345">
        <f t="shared" si="176"/>
        <v>31.516349164601458</v>
      </c>
      <c r="Y398" s="346">
        <f t="shared" si="177"/>
        <v>-7.6003844132571023</v>
      </c>
      <c r="AA398" s="345">
        <f t="shared" si="178"/>
        <v>1.879698601444326</v>
      </c>
      <c r="AB398" s="346">
        <f t="shared" si="179"/>
        <v>-87.695090302736389</v>
      </c>
      <c r="AD398">
        <f t="shared" ref="AD398:AD461" si="183">SUM((Q399&lt;0)*(Q398&gt;0))*A398</f>
        <v>0</v>
      </c>
      <c r="AE398">
        <f t="shared" si="160"/>
        <v>0</v>
      </c>
    </row>
    <row r="399" spans="1:31" x14ac:dyDescent="0.2">
      <c r="A399" s="347">
        <v>35894.5</v>
      </c>
      <c r="B399" s="364">
        <f t="shared" si="180"/>
        <v>35.894500000000001</v>
      </c>
      <c r="C399" s="337">
        <f t="shared" si="161"/>
        <v>201.49593850039159</v>
      </c>
      <c r="D399" s="338">
        <f t="shared" si="162"/>
        <v>1.5658334272321748</v>
      </c>
      <c r="E399" s="338">
        <f t="shared" si="163"/>
        <v>1.0040609216929848</v>
      </c>
      <c r="F399" s="339">
        <f t="shared" si="164"/>
        <v>8.9969178909303546E-2</v>
      </c>
      <c r="G399" s="338">
        <f t="shared" si="165"/>
        <v>1</v>
      </c>
      <c r="H399" s="339">
        <f t="shared" si="166"/>
        <v>0</v>
      </c>
      <c r="I399" s="337">
        <f t="shared" si="167"/>
        <v>118417.5256881243</v>
      </c>
      <c r="J399" s="340">
        <f t="shared" si="168"/>
        <v>1.5707878820989429</v>
      </c>
      <c r="K399" s="348">
        <f t="shared" si="158"/>
        <v>58.448353842817092</v>
      </c>
      <c r="L399" s="349">
        <f t="shared" si="159"/>
        <v>1.553686370266016</v>
      </c>
      <c r="M399" s="337">
        <f t="shared" si="169"/>
        <v>1.0067793130593505</v>
      </c>
      <c r="N399" s="340">
        <f t="shared" si="170"/>
        <v>0.11611403087680953</v>
      </c>
      <c r="O399" s="341">
        <f t="shared" si="171"/>
        <v>0.98715209175076313</v>
      </c>
      <c r="P399" s="342">
        <f t="shared" si="172"/>
        <v>5.4539670997425481E-2</v>
      </c>
      <c r="Q399" s="343">
        <f t="shared" si="173"/>
        <v>-15.401077829148711</v>
      </c>
      <c r="R399" s="344">
        <f t="shared" si="174"/>
        <v>-95.31837399906253</v>
      </c>
      <c r="S399" s="346">
        <f t="shared" si="175"/>
        <v>84.68162600093747</v>
      </c>
      <c r="U399" s="319">
        <f t="shared" si="181"/>
        <v>35894.5</v>
      </c>
      <c r="V399" s="319">
        <f t="shared" si="182"/>
        <v>1288415130.25</v>
      </c>
      <c r="X399" s="345">
        <f t="shared" si="176"/>
        <v>31.515664770398804</v>
      </c>
      <c r="Y399" s="346">
        <f t="shared" si="177"/>
        <v>-7.632688371534285</v>
      </c>
      <c r="AA399" s="345">
        <f t="shared" si="178"/>
        <v>1.831224204402129</v>
      </c>
      <c r="AB399" s="346">
        <f t="shared" si="179"/>
        <v>-87.685685627528244</v>
      </c>
      <c r="AD399">
        <f t="shared" si="183"/>
        <v>0</v>
      </c>
      <c r="AE399">
        <f t="shared" si="160"/>
        <v>0</v>
      </c>
    </row>
    <row r="400" spans="1:31" x14ac:dyDescent="0.2">
      <c r="A400" s="347">
        <v>36101.25</v>
      </c>
      <c r="B400" s="364">
        <f t="shared" si="180"/>
        <v>36.10125</v>
      </c>
      <c r="C400" s="337">
        <f t="shared" si="161"/>
        <v>202.65651357868362</v>
      </c>
      <c r="D400" s="338">
        <f t="shared" si="162"/>
        <v>1.565861849039748</v>
      </c>
      <c r="E400" s="338">
        <f t="shared" si="163"/>
        <v>1.0041077417470667</v>
      </c>
      <c r="F400" s="339">
        <f t="shared" si="164"/>
        <v>9.0484579624131006E-2</v>
      </c>
      <c r="G400" s="338">
        <f t="shared" si="165"/>
        <v>1</v>
      </c>
      <c r="H400" s="339">
        <f t="shared" si="166"/>
        <v>0</v>
      </c>
      <c r="I400" s="337">
        <f t="shared" si="167"/>
        <v>119099.6029822579</v>
      </c>
      <c r="J400" s="340">
        <f t="shared" si="168"/>
        <v>1.570787930461282</v>
      </c>
      <c r="K400" s="348">
        <f t="shared" si="158"/>
        <v>58.784914317879789</v>
      </c>
      <c r="L400" s="349">
        <f t="shared" si="159"/>
        <v>1.5537843391471557</v>
      </c>
      <c r="M400" s="337">
        <f t="shared" si="169"/>
        <v>1.006857368063885</v>
      </c>
      <c r="N400" s="340">
        <f t="shared" si="170"/>
        <v>0.11677679357692207</v>
      </c>
      <c r="O400" s="341">
        <f t="shared" si="171"/>
        <v>0.98700389530084209</v>
      </c>
      <c r="P400" s="342">
        <f t="shared" si="172"/>
        <v>5.4862375034383896E-2</v>
      </c>
      <c r="Q400" s="343">
        <f t="shared" si="173"/>
        <v>-15.449942052402829</v>
      </c>
      <c r="R400" s="344">
        <f t="shared" si="174"/>
        <v>-95.341324815420904</v>
      </c>
      <c r="S400" s="346">
        <f t="shared" si="175"/>
        <v>84.658675184579096</v>
      </c>
      <c r="U400" s="319">
        <f t="shared" si="181"/>
        <v>36101.25</v>
      </c>
      <c r="V400" s="319">
        <f t="shared" si="182"/>
        <v>1303300251.5625</v>
      </c>
      <c r="X400" s="345">
        <f t="shared" si="176"/>
        <v>31.51497686523058</v>
      </c>
      <c r="Y400" s="346">
        <f t="shared" si="177"/>
        <v>-7.6650514446513949</v>
      </c>
      <c r="AA400" s="345">
        <f t="shared" si="178"/>
        <v>1.7830478863162325</v>
      </c>
      <c r="AB400" s="346">
        <f t="shared" si="179"/>
        <v>-87.676273370769493</v>
      </c>
      <c r="AD400">
        <f t="shared" si="183"/>
        <v>0</v>
      </c>
      <c r="AE400">
        <f t="shared" si="160"/>
        <v>0</v>
      </c>
    </row>
    <row r="401" spans="1:31" x14ac:dyDescent="0.2">
      <c r="A401" s="347">
        <v>36308</v>
      </c>
      <c r="B401" s="364">
        <f t="shared" si="180"/>
        <v>36.308</v>
      </c>
      <c r="C401" s="337">
        <f t="shared" si="161"/>
        <v>203.81708881881701</v>
      </c>
      <c r="D401" s="338">
        <f t="shared" si="162"/>
        <v>1.565889947168438</v>
      </c>
      <c r="E401" s="338">
        <f t="shared" si="163"/>
        <v>1.0041548285053028</v>
      </c>
      <c r="F401" s="339">
        <f t="shared" si="164"/>
        <v>9.0999932139576134E-2</v>
      </c>
      <c r="G401" s="338">
        <f t="shared" si="165"/>
        <v>1</v>
      </c>
      <c r="H401" s="339">
        <f t="shared" si="166"/>
        <v>0</v>
      </c>
      <c r="I401" s="337">
        <f t="shared" si="167"/>
        <v>119781.68027639178</v>
      </c>
      <c r="J401" s="340">
        <f t="shared" si="168"/>
        <v>1.570787978272838</v>
      </c>
      <c r="K401" s="348">
        <f t="shared" si="158"/>
        <v>59.121475350730549</v>
      </c>
      <c r="L401" s="349">
        <f t="shared" si="159"/>
        <v>1.5538811926136207</v>
      </c>
      <c r="M401" s="337">
        <f t="shared" si="169"/>
        <v>1.0069358652662652</v>
      </c>
      <c r="N401" s="340">
        <f t="shared" si="170"/>
        <v>0.11743945323474352</v>
      </c>
      <c r="O401" s="341">
        <f t="shared" si="171"/>
        <v>0.98685485321095556</v>
      </c>
      <c r="P401" s="342">
        <f t="shared" si="172"/>
        <v>5.5185229050632313E-2</v>
      </c>
      <c r="Q401" s="343">
        <f t="shared" si="173"/>
        <v>-15.498515000576866</v>
      </c>
      <c r="R401" s="344">
        <f t="shared" si="174"/>
        <v>-95.364326414254222</v>
      </c>
      <c r="S401" s="346">
        <f t="shared" si="175"/>
        <v>84.635673585745778</v>
      </c>
      <c r="U401" s="319">
        <f t="shared" si="181"/>
        <v>36308</v>
      </c>
      <c r="V401" s="319">
        <f t="shared" si="182"/>
        <v>1318270864</v>
      </c>
      <c r="X401" s="345">
        <f t="shared" si="176"/>
        <v>31.514285445117981</v>
      </c>
      <c r="Y401" s="346">
        <f t="shared" si="177"/>
        <v>-7.6974724908759136</v>
      </c>
      <c r="AA401" s="345">
        <f t="shared" si="178"/>
        <v>1.735166358254798</v>
      </c>
      <c r="AB401" s="346">
        <f t="shared" si="179"/>
        <v>-87.666853923378284</v>
      </c>
      <c r="AD401">
        <f t="shared" si="183"/>
        <v>0</v>
      </c>
      <c r="AE401">
        <f t="shared" si="160"/>
        <v>0</v>
      </c>
    </row>
    <row r="402" spans="1:31" x14ac:dyDescent="0.2">
      <c r="A402" s="347">
        <v>36519.5</v>
      </c>
      <c r="B402" s="364">
        <f t="shared" si="180"/>
        <v>36.519500000000001</v>
      </c>
      <c r="C402" s="337">
        <f t="shared" si="161"/>
        <v>205.00432798359745</v>
      </c>
      <c r="D402" s="338">
        <f t="shared" si="162"/>
        <v>1.565918361653359</v>
      </c>
      <c r="E402" s="338">
        <f t="shared" si="163"/>
        <v>1.0042032729898629</v>
      </c>
      <c r="F402" s="339">
        <f t="shared" si="164"/>
        <v>9.1527074525063423E-2</v>
      </c>
      <c r="G402" s="338">
        <f t="shared" si="165"/>
        <v>1</v>
      </c>
      <c r="H402" s="339">
        <f t="shared" si="166"/>
        <v>0</v>
      </c>
      <c r="I402" s="337">
        <f t="shared" si="167"/>
        <v>120479.42802831138</v>
      </c>
      <c r="J402" s="340">
        <f t="shared" si="168"/>
        <v>1.5707880266226899</v>
      </c>
      <c r="K402" s="348">
        <f t="shared" si="158"/>
        <v>59.46576930833001</v>
      </c>
      <c r="L402" s="349">
        <f t="shared" si="159"/>
        <v>1.5539791368467932</v>
      </c>
      <c r="M402" s="337">
        <f t="shared" si="169"/>
        <v>1.007016623356731</v>
      </c>
      <c r="N402" s="340">
        <f t="shared" si="170"/>
        <v>0.1181172300356735</v>
      </c>
      <c r="O402" s="341">
        <f t="shared" si="171"/>
        <v>0.98670151203346734</v>
      </c>
      <c r="P402" s="342">
        <f t="shared" si="172"/>
        <v>5.5515656669881543E-2</v>
      </c>
      <c r="Q402" s="343">
        <f t="shared" si="173"/>
        <v>-15.547905877686478</v>
      </c>
      <c r="R402" s="344">
        <f t="shared" si="174"/>
        <v>-95.387908247669998</v>
      </c>
      <c r="S402" s="346">
        <f t="shared" si="175"/>
        <v>84.612091752330002</v>
      </c>
      <c r="U402" s="319">
        <f t="shared" si="181"/>
        <v>36519.5</v>
      </c>
      <c r="V402" s="319">
        <f t="shared" si="182"/>
        <v>1333673880.25</v>
      </c>
      <c r="X402" s="345">
        <f t="shared" si="176"/>
        <v>31.513574498927444</v>
      </c>
      <c r="Y402" s="346">
        <f t="shared" si="177"/>
        <v>-7.7306972201130577</v>
      </c>
      <c r="AA402" s="345">
        <f t="shared" si="178"/>
        <v>1.6864864273357192</v>
      </c>
      <c r="AB402" s="346">
        <f t="shared" si="179"/>
        <v>-87.657211027556954</v>
      </c>
      <c r="AD402">
        <f t="shared" si="183"/>
        <v>0</v>
      </c>
      <c r="AE402">
        <f t="shared" si="160"/>
        <v>0</v>
      </c>
    </row>
    <row r="403" spans="1:31" x14ac:dyDescent="0.2">
      <c r="A403" s="347">
        <v>36731</v>
      </c>
      <c r="B403" s="364">
        <f t="shared" si="180"/>
        <v>36.731000000000002</v>
      </c>
      <c r="C403" s="337">
        <f t="shared" si="161"/>
        <v>206.19156731198876</v>
      </c>
      <c r="D403" s="338">
        <f t="shared" si="162"/>
        <v>1.5659464489203234</v>
      </c>
      <c r="E403" s="338">
        <f t="shared" si="163"/>
        <v>1.004251996494552</v>
      </c>
      <c r="F403" s="339">
        <f t="shared" si="164"/>
        <v>9.2054165906051269E-2</v>
      </c>
      <c r="G403" s="338">
        <f t="shared" si="165"/>
        <v>1</v>
      </c>
      <c r="H403" s="339">
        <f t="shared" si="166"/>
        <v>0</v>
      </c>
      <c r="I403" s="337">
        <f t="shared" si="167"/>
        <v>121177.17578023122</v>
      </c>
      <c r="J403" s="340">
        <f t="shared" si="168"/>
        <v>1.5707880744157372</v>
      </c>
      <c r="K403" s="348">
        <f t="shared" si="158"/>
        <v>59.810063829821274</v>
      </c>
      <c r="L403" s="349">
        <f t="shared" si="159"/>
        <v>1.5540759534558428</v>
      </c>
      <c r="M403" s="337">
        <f t="shared" si="169"/>
        <v>1.0070978439775797</v>
      </c>
      <c r="N403" s="340">
        <f t="shared" si="170"/>
        <v>0.11879489782492181</v>
      </c>
      <c r="O403" s="341">
        <f t="shared" si="171"/>
        <v>0.98654728611963116</v>
      </c>
      <c r="P403" s="342">
        <f t="shared" si="172"/>
        <v>5.5846243212749308E-2</v>
      </c>
      <c r="Q403" s="343">
        <f t="shared" si="173"/>
        <v>-15.596998734414649</v>
      </c>
      <c r="R403" s="344">
        <f t="shared" si="174"/>
        <v>-95.411541691164416</v>
      </c>
      <c r="S403" s="346">
        <f t="shared" si="175"/>
        <v>84.588458308835584</v>
      </c>
      <c r="U403" s="319">
        <f t="shared" si="181"/>
        <v>36731</v>
      </c>
      <c r="V403" s="319">
        <f t="shared" si="182"/>
        <v>1349166361</v>
      </c>
      <c r="X403" s="345">
        <f t="shared" si="176"/>
        <v>31.512859866548194</v>
      </c>
      <c r="Y403" s="346">
        <f t="shared" si="177"/>
        <v>-7.7639802796415731</v>
      </c>
      <c r="AA403" s="345">
        <f t="shared" si="178"/>
        <v>1.638108202986801</v>
      </c>
      <c r="AB403" s="346">
        <f t="shared" si="179"/>
        <v>-87.647561411522858</v>
      </c>
      <c r="AD403">
        <f t="shared" si="183"/>
        <v>0</v>
      </c>
      <c r="AE403">
        <f t="shared" si="160"/>
        <v>0</v>
      </c>
    </row>
    <row r="404" spans="1:31" x14ac:dyDescent="0.2">
      <c r="A404" s="347">
        <v>36942.5</v>
      </c>
      <c r="B404" s="364">
        <f t="shared" si="180"/>
        <v>36.942500000000003</v>
      </c>
      <c r="C404" s="337">
        <f t="shared" si="161"/>
        <v>207.37880680118104</v>
      </c>
      <c r="D404" s="338">
        <f t="shared" si="162"/>
        <v>1.565974214589235</v>
      </c>
      <c r="E404" s="338">
        <f t="shared" si="163"/>
        <v>1.0043009989787601</v>
      </c>
      <c r="F404" s="339">
        <f t="shared" si="164"/>
        <v>9.2581205997105828E-2</v>
      </c>
      <c r="G404" s="338">
        <f t="shared" si="165"/>
        <v>1</v>
      </c>
      <c r="H404" s="339">
        <f t="shared" si="166"/>
        <v>0</v>
      </c>
      <c r="I404" s="337">
        <f t="shared" si="167"/>
        <v>121874.92353215137</v>
      </c>
      <c r="J404" s="340">
        <f t="shared" si="168"/>
        <v>1.5707881216615434</v>
      </c>
      <c r="K404" s="348">
        <f t="shared" si="158"/>
        <v>60.154358905522017</v>
      </c>
      <c r="L404" s="349">
        <f t="shared" si="159"/>
        <v>1.5541716618008987</v>
      </c>
      <c r="M404" s="337">
        <f t="shared" si="169"/>
        <v>1.0071795270169133</v>
      </c>
      <c r="N404" s="340">
        <f t="shared" si="170"/>
        <v>0.11947245600652104</v>
      </c>
      <c r="O404" s="341">
        <f t="shared" si="171"/>
        <v>0.98639217557487691</v>
      </c>
      <c r="P404" s="342">
        <f t="shared" si="172"/>
        <v>5.6176989679415625E-2</v>
      </c>
      <c r="Q404" s="343">
        <f t="shared" si="173"/>
        <v>-15.64579691737322</v>
      </c>
      <c r="R404" s="344">
        <f t="shared" si="174"/>
        <v>-95.435225997542304</v>
      </c>
      <c r="S404" s="346">
        <f t="shared" si="175"/>
        <v>84.564774002457696</v>
      </c>
      <c r="U404" s="319">
        <f t="shared" si="181"/>
        <v>36942.5</v>
      </c>
      <c r="V404" s="319">
        <f t="shared" si="182"/>
        <v>1364748306.25</v>
      </c>
      <c r="X404" s="345">
        <f t="shared" si="176"/>
        <v>31.512141544259634</v>
      </c>
      <c r="Y404" s="346">
        <f t="shared" si="177"/>
        <v>-7.7973205266092709</v>
      </c>
      <c r="AA404" s="345">
        <f t="shared" si="178"/>
        <v>1.5900283423167911</v>
      </c>
      <c r="AB404" s="346">
        <f t="shared" si="179"/>
        <v>-87.637905470933035</v>
      </c>
      <c r="AD404">
        <f t="shared" si="183"/>
        <v>0</v>
      </c>
      <c r="AE404">
        <f t="shared" si="160"/>
        <v>0</v>
      </c>
    </row>
    <row r="405" spans="1:31" x14ac:dyDescent="0.2">
      <c r="A405" s="347">
        <v>37154</v>
      </c>
      <c r="B405" s="364">
        <f t="shared" si="180"/>
        <v>37.154000000000003</v>
      </c>
      <c r="C405" s="337">
        <f t="shared" si="161"/>
        <v>208.56604644842821</v>
      </c>
      <c r="D405" s="338">
        <f t="shared" si="162"/>
        <v>1.5660016641520367</v>
      </c>
      <c r="E405" s="338">
        <f t="shared" si="163"/>
        <v>1.0043502804016531</v>
      </c>
      <c r="F405" s="339">
        <f t="shared" si="164"/>
        <v>9.3108194512962844E-2</v>
      </c>
      <c r="G405" s="338">
        <f t="shared" si="165"/>
        <v>1</v>
      </c>
      <c r="H405" s="339">
        <f t="shared" si="166"/>
        <v>0</v>
      </c>
      <c r="I405" s="337">
        <f t="shared" si="167"/>
        <v>122572.67128407177</v>
      </c>
      <c r="J405" s="340">
        <f t="shared" si="168"/>
        <v>1.5707881683694538</v>
      </c>
      <c r="K405" s="348">
        <f t="shared" si="158"/>
        <v>60.498654525970267</v>
      </c>
      <c r="L405" s="349">
        <f t="shared" si="159"/>
        <v>1.5542662808014618</v>
      </c>
      <c r="M405" s="337">
        <f t="shared" si="169"/>
        <v>1.0072616723622332</v>
      </c>
      <c r="N405" s="340">
        <f t="shared" si="170"/>
        <v>0.12014990398509913</v>
      </c>
      <c r="O405" s="341">
        <f t="shared" si="171"/>
        <v>0.98623618050532624</v>
      </c>
      <c r="P405" s="342">
        <f t="shared" si="172"/>
        <v>5.6507897071488997E-2</v>
      </c>
      <c r="Q405" s="343">
        <f t="shared" si="173"/>
        <v>-15.694303715708626</v>
      </c>
      <c r="R405" s="344">
        <f t="shared" si="174"/>
        <v>-95.458960437616781</v>
      </c>
      <c r="S405" s="346">
        <f t="shared" si="175"/>
        <v>84.541039562383219</v>
      </c>
      <c r="U405" s="319">
        <f t="shared" si="181"/>
        <v>37154</v>
      </c>
      <c r="V405" s="319">
        <f t="shared" si="182"/>
        <v>1380419716</v>
      </c>
      <c r="X405" s="345">
        <f t="shared" si="176"/>
        <v>31.511419528511308</v>
      </c>
      <c r="Y405" s="346">
        <f t="shared" si="177"/>
        <v>-7.83071684343175</v>
      </c>
      <c r="AA405" s="345">
        <f t="shared" si="178"/>
        <v>1.5422435597297075</v>
      </c>
      <c r="AB405" s="346">
        <f t="shared" si="179"/>
        <v>-87.628243594185037</v>
      </c>
      <c r="AD405">
        <f t="shared" si="183"/>
        <v>0</v>
      </c>
      <c r="AE405">
        <f t="shared" si="160"/>
        <v>0</v>
      </c>
    </row>
    <row r="406" spans="1:31" x14ac:dyDescent="0.2">
      <c r="A406" s="347">
        <v>37370.25</v>
      </c>
      <c r="B406" s="364">
        <f t="shared" si="180"/>
        <v>37.370249999999999</v>
      </c>
      <c r="C406" s="337">
        <f t="shared" si="161"/>
        <v>209.77995003088287</v>
      </c>
      <c r="D406" s="338">
        <f t="shared" si="162"/>
        <v>1.5660294089502038</v>
      </c>
      <c r="E406" s="338">
        <f t="shared" si="163"/>
        <v>1.0044009569808618</v>
      </c>
      <c r="F406" s="339">
        <f t="shared" si="164"/>
        <v>9.3646964845658626E-2</v>
      </c>
      <c r="G406" s="338">
        <f t="shared" si="165"/>
        <v>1</v>
      </c>
      <c r="H406" s="339">
        <f t="shared" si="166"/>
        <v>0</v>
      </c>
      <c r="I406" s="337">
        <f t="shared" si="167"/>
        <v>123286.08949377789</v>
      </c>
      <c r="J406" s="340">
        <f t="shared" si="168"/>
        <v>1.5707882155797213</v>
      </c>
      <c r="K406" s="348">
        <f t="shared" si="158"/>
        <v>60.850683107574284</v>
      </c>
      <c r="L406" s="349">
        <f t="shared" si="159"/>
        <v>1.5543619177576586</v>
      </c>
      <c r="M406" s="337">
        <f t="shared" si="169"/>
        <v>1.0073461404582751</v>
      </c>
      <c r="N406" s="340">
        <f t="shared" si="170"/>
        <v>0.12084245195349995</v>
      </c>
      <c r="O406" s="341">
        <f t="shared" si="171"/>
        <v>0.98607576756598814</v>
      </c>
      <c r="P406" s="342">
        <f t="shared" si="172"/>
        <v>5.684640362196202E-2</v>
      </c>
      <c r="Q406" s="343">
        <f t="shared" si="173"/>
        <v>-15.743602003383367</v>
      </c>
      <c r="R406" s="344">
        <f t="shared" si="174"/>
        <v>-95.483279014665555</v>
      </c>
      <c r="S406" s="346">
        <f t="shared" si="175"/>
        <v>84.516720985334445</v>
      </c>
      <c r="U406" s="319">
        <f t="shared" si="181"/>
        <v>37370.25</v>
      </c>
      <c r="V406" s="319">
        <f t="shared" si="182"/>
        <v>1396535585.0625</v>
      </c>
      <c r="X406" s="345">
        <f t="shared" si="176"/>
        <v>31.510677474937015</v>
      </c>
      <c r="Y406" s="346">
        <f t="shared" si="177"/>
        <v>-7.8649200301640771</v>
      </c>
      <c r="AA406" s="345">
        <f t="shared" si="178"/>
        <v>1.4936873256292591</v>
      </c>
      <c r="AB406" s="346">
        <f t="shared" si="179"/>
        <v>-87.618358984501469</v>
      </c>
      <c r="AD406">
        <f t="shared" si="183"/>
        <v>0</v>
      </c>
      <c r="AE406">
        <f t="shared" si="160"/>
        <v>0</v>
      </c>
    </row>
    <row r="407" spans="1:31" x14ac:dyDescent="0.2">
      <c r="A407" s="347">
        <v>37586.5</v>
      </c>
      <c r="B407" s="364">
        <f t="shared" si="180"/>
        <v>37.586500000000001</v>
      </c>
      <c r="C407" s="337">
        <f t="shared" si="161"/>
        <v>210.99385377296252</v>
      </c>
      <c r="D407" s="338">
        <f t="shared" si="162"/>
        <v>1.5660568345019898</v>
      </c>
      <c r="E407" s="338">
        <f t="shared" si="163"/>
        <v>1.0044519250815553</v>
      </c>
      <c r="F407" s="339">
        <f t="shared" si="164"/>
        <v>9.4185680657931939E-2</v>
      </c>
      <c r="G407" s="338">
        <f t="shared" si="165"/>
        <v>1</v>
      </c>
      <c r="H407" s="339">
        <f t="shared" si="166"/>
        <v>0</v>
      </c>
      <c r="I407" s="337">
        <f t="shared" si="167"/>
        <v>123999.5077034843</v>
      </c>
      <c r="J407" s="340">
        <f t="shared" si="168"/>
        <v>1.5707882622467502</v>
      </c>
      <c r="K407" s="348">
        <f t="shared" ref="K407:K470" si="184">SQRT(1+(A407/Zero2)^2)</f>
        <v>61.202712239342084</v>
      </c>
      <c r="L407" s="349">
        <f t="shared" ref="L407:L470" si="185">ATAN(A407/Zero2)</f>
        <v>1.554456454534886</v>
      </c>
      <c r="M407" s="337">
        <f t="shared" si="169"/>
        <v>1.0074310916192268</v>
      </c>
      <c r="N407" s="340">
        <f t="shared" si="170"/>
        <v>0.12153488345638569</v>
      </c>
      <c r="O407" s="341">
        <f t="shared" si="171"/>
        <v>0.98591443015187374</v>
      </c>
      <c r="P407" s="342">
        <f t="shared" si="172"/>
        <v>5.7185080529673478E-2</v>
      </c>
      <c r="Q407" s="343">
        <f t="shared" si="173"/>
        <v>-15.792602447307322</v>
      </c>
      <c r="R407" s="344">
        <f t="shared" si="174"/>
        <v>-95.507648516288896</v>
      </c>
      <c r="S407" s="346">
        <f t="shared" si="175"/>
        <v>84.492351483711104</v>
      </c>
      <c r="U407" s="319">
        <f t="shared" si="181"/>
        <v>37586.5</v>
      </c>
      <c r="V407" s="319">
        <f t="shared" si="182"/>
        <v>1412744982.25</v>
      </c>
      <c r="X407" s="345">
        <f t="shared" si="176"/>
        <v>31.509931553154253</v>
      </c>
      <c r="Y407" s="346">
        <f t="shared" si="177"/>
        <v>-7.8991795484003822</v>
      </c>
      <c r="AA407" s="345">
        <f t="shared" si="178"/>
        <v>1.4454328034880715</v>
      </c>
      <c r="AB407" s="346">
        <f t="shared" si="179"/>
        <v>-87.608468967888498</v>
      </c>
      <c r="AD407">
        <f t="shared" si="183"/>
        <v>0</v>
      </c>
      <c r="AE407">
        <f t="shared" si="160"/>
        <v>0</v>
      </c>
    </row>
    <row r="408" spans="1:31" x14ac:dyDescent="0.2">
      <c r="A408" s="347">
        <v>37802.75</v>
      </c>
      <c r="B408" s="364">
        <f t="shared" si="180"/>
        <v>37.802750000000003</v>
      </c>
      <c r="C408" s="337">
        <f t="shared" si="161"/>
        <v>212.20775767192785</v>
      </c>
      <c r="D408" s="338">
        <f t="shared" si="162"/>
        <v>1.5660839462859619</v>
      </c>
      <c r="E408" s="338">
        <f t="shared" si="163"/>
        <v>1.0045031846593582</v>
      </c>
      <c r="F408" s="339">
        <f t="shared" si="164"/>
        <v>9.4724341645419208E-2</v>
      </c>
      <c r="G408" s="338">
        <f t="shared" si="165"/>
        <v>1</v>
      </c>
      <c r="H408" s="339">
        <f t="shared" si="166"/>
        <v>0</v>
      </c>
      <c r="I408" s="337">
        <f t="shared" si="167"/>
        <v>124712.92591319096</v>
      </c>
      <c r="J408" s="340">
        <f t="shared" si="168"/>
        <v>1.5707883083798631</v>
      </c>
      <c r="K408" s="348">
        <f t="shared" si="184"/>
        <v>61.554741911834576</v>
      </c>
      <c r="L408" s="349">
        <f t="shared" si="185"/>
        <v>1.5545499100071081</v>
      </c>
      <c r="M408" s="337">
        <f t="shared" si="169"/>
        <v>1.0075165257228968</v>
      </c>
      <c r="N408" s="340">
        <f t="shared" si="170"/>
        <v>0.12222719785931258</v>
      </c>
      <c r="O408" s="341">
        <f t="shared" si="171"/>
        <v>0.98575216837866864</v>
      </c>
      <c r="P408" s="342">
        <f t="shared" si="172"/>
        <v>5.7523928869938269E-2</v>
      </c>
      <c r="Q408" s="343">
        <f t="shared" si="173"/>
        <v>-15.841308385292539</v>
      </c>
      <c r="R408" s="344">
        <f t="shared" si="174"/>
        <v>-95.532068218220019</v>
      </c>
      <c r="S408" s="346">
        <f t="shared" si="175"/>
        <v>84.467931781779981</v>
      </c>
      <c r="U408" s="319">
        <f t="shared" si="181"/>
        <v>37802.75</v>
      </c>
      <c r="V408" s="319">
        <f t="shared" si="182"/>
        <v>1429047907.5625</v>
      </c>
      <c r="X408" s="345">
        <f t="shared" si="176"/>
        <v>31.509181759884939</v>
      </c>
      <c r="Y408" s="346">
        <f t="shared" si="177"/>
        <v>-7.9334942809253635</v>
      </c>
      <c r="AA408" s="345">
        <f t="shared" si="178"/>
        <v>1.3974766587721652</v>
      </c>
      <c r="AB408" s="346">
        <f t="shared" si="179"/>
        <v>-87.598573937294688</v>
      </c>
      <c r="AD408">
        <f t="shared" si="183"/>
        <v>0</v>
      </c>
      <c r="AE408">
        <f t="shared" si="160"/>
        <v>0</v>
      </c>
    </row>
    <row r="409" spans="1:31" x14ac:dyDescent="0.2">
      <c r="A409" s="347">
        <v>38019</v>
      </c>
      <c r="B409" s="364">
        <f t="shared" si="180"/>
        <v>38.018999999999998</v>
      </c>
      <c r="C409" s="337">
        <f t="shared" si="161"/>
        <v>213.42166172510187</v>
      </c>
      <c r="D409" s="338">
        <f t="shared" si="162"/>
        <v>1.5661107496560449</v>
      </c>
      <c r="E409" s="338">
        <f t="shared" si="163"/>
        <v>1.0045547356696507</v>
      </c>
      <c r="F409" s="339">
        <f t="shared" si="164"/>
        <v>9.5262947503946052E-2</v>
      </c>
      <c r="G409" s="338">
        <f t="shared" si="165"/>
        <v>1</v>
      </c>
      <c r="H409" s="339">
        <f t="shared" si="166"/>
        <v>0</v>
      </c>
      <c r="I409" s="337">
        <f t="shared" si="167"/>
        <v>125426.34412289788</v>
      </c>
      <c r="J409" s="340">
        <f t="shared" si="168"/>
        <v>1.5707883539881708</v>
      </c>
      <c r="K409" s="348">
        <f t="shared" si="184"/>
        <v>61.906772115827344</v>
      </c>
      <c r="L409" s="349">
        <f t="shared" si="185"/>
        <v>1.5546423026190617</v>
      </c>
      <c r="M409" s="337">
        <f t="shared" si="169"/>
        <v>1.0076024426464392</v>
      </c>
      <c r="N409" s="340">
        <f t="shared" si="170"/>
        <v>0.12291939452850041</v>
      </c>
      <c r="O409" s="341">
        <f t="shared" si="171"/>
        <v>0.98558898236282044</v>
      </c>
      <c r="P409" s="342">
        <f t="shared" si="172"/>
        <v>5.7862949719675039E-2</v>
      </c>
      <c r="Q409" s="343">
        <f t="shared" si="173"/>
        <v>-15.889723097876796</v>
      </c>
      <c r="R409" s="344">
        <f t="shared" si="174"/>
        <v>-95.556537413750618</v>
      </c>
      <c r="S409" s="346">
        <f t="shared" si="175"/>
        <v>84.443462586249382</v>
      </c>
      <c r="U409" s="319">
        <f t="shared" si="181"/>
        <v>38019</v>
      </c>
      <c r="V409" s="319">
        <f t="shared" si="182"/>
        <v>1445444361</v>
      </c>
      <c r="X409" s="345">
        <f t="shared" si="176"/>
        <v>31.508428092014299</v>
      </c>
      <c r="Y409" s="346">
        <f t="shared" si="177"/>
        <v>-7.9678631351425224</v>
      </c>
      <c r="AA409" s="345">
        <f t="shared" si="178"/>
        <v>1.349815614058548</v>
      </c>
      <c r="AB409" s="346">
        <f t="shared" si="179"/>
        <v>-87.588674278608096</v>
      </c>
      <c r="AD409">
        <f t="shared" si="183"/>
        <v>0</v>
      </c>
      <c r="AE409">
        <f t="shared" si="160"/>
        <v>0</v>
      </c>
    </row>
    <row r="410" spans="1:31" x14ac:dyDescent="0.2">
      <c r="A410" s="347">
        <v>38240.5</v>
      </c>
      <c r="B410" s="364">
        <f t="shared" si="180"/>
        <v>38.240499999999997</v>
      </c>
      <c r="C410" s="337">
        <f t="shared" si="161"/>
        <v>214.6650364384366</v>
      </c>
      <c r="D410" s="338">
        <f t="shared" si="162"/>
        <v>1.5661378894758056</v>
      </c>
      <c r="E410" s="338">
        <f t="shared" si="163"/>
        <v>1.0046078402917049</v>
      </c>
      <c r="F410" s="339">
        <f t="shared" si="164"/>
        <v>9.5814571872367332E-2</v>
      </c>
      <c r="G410" s="338">
        <f t="shared" si="165"/>
        <v>1</v>
      </c>
      <c r="H410" s="339">
        <f t="shared" si="166"/>
        <v>0</v>
      </c>
      <c r="I410" s="337">
        <f t="shared" si="167"/>
        <v>126157.0823122627</v>
      </c>
      <c r="J410" s="340">
        <f t="shared" si="168"/>
        <v>1.5707884001689658</v>
      </c>
      <c r="K410" s="348">
        <f t="shared" si="184"/>
        <v>62.267349259427142</v>
      </c>
      <c r="L410" s="349">
        <f t="shared" si="185"/>
        <v>1.5547358552479507</v>
      </c>
      <c r="M410" s="337">
        <f t="shared" si="169"/>
        <v>1.0076909458299124</v>
      </c>
      <c r="N410" s="340">
        <f t="shared" si="170"/>
        <v>0.12362827325480462</v>
      </c>
      <c r="O410" s="341">
        <f t="shared" si="171"/>
        <v>0.98542087655564414</v>
      </c>
      <c r="P410" s="342">
        <f t="shared" si="172"/>
        <v>5.821038110302669E-2</v>
      </c>
      <c r="Q410" s="343">
        <f t="shared" si="173"/>
        <v>-15.939014649649145</v>
      </c>
      <c r="R410" s="344">
        <f t="shared" si="174"/>
        <v>-95.581651249028482</v>
      </c>
      <c r="S410" s="346">
        <f t="shared" si="175"/>
        <v>84.418348750971518</v>
      </c>
      <c r="U410" s="319">
        <f t="shared" si="181"/>
        <v>38240.5</v>
      </c>
      <c r="V410" s="319">
        <f t="shared" si="182"/>
        <v>1462335840.25</v>
      </c>
      <c r="X410" s="345">
        <f t="shared" si="176"/>
        <v>31.5076521070742</v>
      </c>
      <c r="Y410" s="346">
        <f t="shared" si="177"/>
        <v>-8.003121369553611</v>
      </c>
      <c r="AA410" s="345">
        <f t="shared" si="178"/>
        <v>1.3013000472262961</v>
      </c>
      <c r="AB410" s="346">
        <f t="shared" si="179"/>
        <v>-87.578529879474885</v>
      </c>
      <c r="AD410">
        <f t="shared" si="183"/>
        <v>0</v>
      </c>
      <c r="AE410">
        <f t="shared" ref="AE410:AE473" si="186">IF(AD410&gt;0,S410,0)</f>
        <v>0</v>
      </c>
    </row>
    <row r="411" spans="1:31" x14ac:dyDescent="0.2">
      <c r="A411" s="347">
        <v>38462</v>
      </c>
      <c r="B411" s="364">
        <f t="shared" si="180"/>
        <v>38.462000000000003</v>
      </c>
      <c r="C411" s="337">
        <f t="shared" si="161"/>
        <v>215.90841130806604</v>
      </c>
      <c r="D411" s="338">
        <f t="shared" si="162"/>
        <v>1.566164716709618</v>
      </c>
      <c r="E411" s="338">
        <f t="shared" si="163"/>
        <v>1.0046612505729495</v>
      </c>
      <c r="F411" s="339">
        <f t="shared" si="164"/>
        <v>9.6366137757173176E-2</v>
      </c>
      <c r="G411" s="338">
        <f t="shared" si="165"/>
        <v>1</v>
      </c>
      <c r="H411" s="339">
        <f t="shared" si="166"/>
        <v>0</v>
      </c>
      <c r="I411" s="337">
        <f t="shared" si="167"/>
        <v>126887.82050162778</v>
      </c>
      <c r="J411" s="340">
        <f t="shared" si="168"/>
        <v>1.5707884458178567</v>
      </c>
      <c r="K411" s="348">
        <f t="shared" si="184"/>
        <v>62.62792694172137</v>
      </c>
      <c r="L411" s="349">
        <f t="shared" si="185"/>
        <v>1.5548283306269084</v>
      </c>
      <c r="M411" s="337">
        <f t="shared" si="169"/>
        <v>1.0077799552981166</v>
      </c>
      <c r="N411" s="340">
        <f t="shared" si="170"/>
        <v>0.12433702711757802</v>
      </c>
      <c r="O411" s="341">
        <f t="shared" si="171"/>
        <v>0.98525180133432566</v>
      </c>
      <c r="P411" s="342">
        <f t="shared" si="172"/>
        <v>5.8557995766028978E-2</v>
      </c>
      <c r="Q411" s="343">
        <f t="shared" si="173"/>
        <v>-15.988007452422114</v>
      </c>
      <c r="R411" s="344">
        <f t="shared" si="174"/>
        <v>-95.606815563710981</v>
      </c>
      <c r="S411" s="346">
        <f t="shared" si="175"/>
        <v>84.393184436289019</v>
      </c>
      <c r="U411" s="319">
        <f t="shared" si="181"/>
        <v>38462</v>
      </c>
      <c r="V411" s="319">
        <f t="shared" si="182"/>
        <v>1479325444</v>
      </c>
      <c r="X411" s="345">
        <f t="shared" si="176"/>
        <v>31.506872051006066</v>
      </c>
      <c r="Y411" s="346">
        <f t="shared" si="177"/>
        <v>-8.0384341412101126</v>
      </c>
      <c r="AA411" s="345">
        <f t="shared" si="178"/>
        <v>1.2530873005214627</v>
      </c>
      <c r="AB411" s="346">
        <f t="shared" si="179"/>
        <v>-87.568381422500863</v>
      </c>
      <c r="AD411">
        <f t="shared" si="183"/>
        <v>0</v>
      </c>
      <c r="AE411">
        <f t="shared" si="186"/>
        <v>0</v>
      </c>
    </row>
    <row r="412" spans="1:31" x14ac:dyDescent="0.2">
      <c r="A412" s="347">
        <v>38683.5</v>
      </c>
      <c r="B412" s="364">
        <f t="shared" si="180"/>
        <v>38.683500000000002</v>
      </c>
      <c r="C412" s="337">
        <f t="shared" si="161"/>
        <v>217.15178633130535</v>
      </c>
      <c r="D412" s="338">
        <f t="shared" si="162"/>
        <v>1.5661912367268886</v>
      </c>
      <c r="E412" s="338">
        <f t="shared" si="163"/>
        <v>1.0047149664646378</v>
      </c>
      <c r="F412" s="339">
        <f t="shared" si="164"/>
        <v>9.6917644832117206E-2</v>
      </c>
      <c r="G412" s="338">
        <f t="shared" si="165"/>
        <v>1</v>
      </c>
      <c r="H412" s="339">
        <f t="shared" si="166"/>
        <v>0</v>
      </c>
      <c r="I412" s="337">
        <f t="shared" si="167"/>
        <v>127618.55869099313</v>
      </c>
      <c r="J412" s="340">
        <f t="shared" si="168"/>
        <v>1.5707884909439807</v>
      </c>
      <c r="K412" s="348">
        <f t="shared" si="184"/>
        <v>62.988505153458775</v>
      </c>
      <c r="L412" s="349">
        <f t="shared" si="185"/>
        <v>1.5549197472545175</v>
      </c>
      <c r="M412" s="337">
        <f t="shared" si="169"/>
        <v>1.0078694709169143</v>
      </c>
      <c r="N412" s="340">
        <f t="shared" si="170"/>
        <v>0.12504565543793761</v>
      </c>
      <c r="O412" s="341">
        <f t="shared" si="171"/>
        <v>0.98508175682650023</v>
      </c>
      <c r="P412" s="342">
        <f t="shared" si="172"/>
        <v>5.8905794871259326E-2</v>
      </c>
      <c r="Q412" s="343">
        <f t="shared" si="173"/>
        <v>-16.036704853034514</v>
      </c>
      <c r="R412" s="344">
        <f t="shared" si="174"/>
        <v>-95.632029652481421</v>
      </c>
      <c r="S412" s="346">
        <f t="shared" si="175"/>
        <v>84.367970347518579</v>
      </c>
      <c r="U412" s="319">
        <f t="shared" si="181"/>
        <v>38683.5</v>
      </c>
      <c r="V412" s="319">
        <f t="shared" si="182"/>
        <v>1496413172.25</v>
      </c>
      <c r="X412" s="345">
        <f t="shared" si="176"/>
        <v>31.506087920962305</v>
      </c>
      <c r="Y412" s="346">
        <f t="shared" si="177"/>
        <v>-8.0738003518476908</v>
      </c>
      <c r="AA412" s="345">
        <f t="shared" si="178"/>
        <v>1.2051740299528202</v>
      </c>
      <c r="AB412" s="346">
        <f t="shared" si="179"/>
        <v>-87.558229300633712</v>
      </c>
      <c r="AD412">
        <f t="shared" si="183"/>
        <v>0</v>
      </c>
      <c r="AE412">
        <f t="shared" si="186"/>
        <v>0</v>
      </c>
    </row>
    <row r="413" spans="1:31" x14ac:dyDescent="0.2">
      <c r="A413" s="347">
        <v>38905</v>
      </c>
      <c r="B413" s="364">
        <f t="shared" si="180"/>
        <v>38.905000000000001</v>
      </c>
      <c r="C413" s="337">
        <f t="shared" si="161"/>
        <v>218.39516150553098</v>
      </c>
      <c r="D413" s="338">
        <f t="shared" si="162"/>
        <v>1.5662174547747487</v>
      </c>
      <c r="E413" s="338">
        <f t="shared" si="163"/>
        <v>1.0047689879177553</v>
      </c>
      <c r="F413" s="339">
        <f t="shared" si="164"/>
        <v>9.746909277116568E-2</v>
      </c>
      <c r="G413" s="338">
        <f t="shared" si="165"/>
        <v>1</v>
      </c>
      <c r="H413" s="339">
        <f t="shared" si="166"/>
        <v>0</v>
      </c>
      <c r="I413" s="337">
        <f t="shared" si="167"/>
        <v>128349.29688035873</v>
      </c>
      <c r="J413" s="340">
        <f t="shared" si="168"/>
        <v>1.5707885355562665</v>
      </c>
      <c r="K413" s="348">
        <f t="shared" si="184"/>
        <v>63.349083885598695</v>
      </c>
      <c r="L413" s="349">
        <f t="shared" si="185"/>
        <v>1.5550101232082618</v>
      </c>
      <c r="M413" s="337">
        <f t="shared" si="169"/>
        <v>1.0079594925514541</v>
      </c>
      <c r="N413" s="340">
        <f t="shared" si="170"/>
        <v>0.12575415753774516</v>
      </c>
      <c r="O413" s="341">
        <f t="shared" si="171"/>
        <v>0.98491074316065041</v>
      </c>
      <c r="P413" s="342">
        <f t="shared" si="172"/>
        <v>5.9253779583108908E-2</v>
      </c>
      <c r="Q413" s="343">
        <f t="shared" si="173"/>
        <v>-16.08511014083409</v>
      </c>
      <c r="R413" s="344">
        <f t="shared" si="174"/>
        <v>-95.657292827266915</v>
      </c>
      <c r="S413" s="346">
        <f t="shared" si="175"/>
        <v>84.342707172733085</v>
      </c>
      <c r="U413" s="319">
        <f t="shared" si="181"/>
        <v>38905</v>
      </c>
      <c r="V413" s="319">
        <f t="shared" si="182"/>
        <v>1513599025</v>
      </c>
      <c r="X413" s="345">
        <f t="shared" si="176"/>
        <v>31.505299714253322</v>
      </c>
      <c r="Y413" s="346">
        <f t="shared" si="177"/>
        <v>-8.1092189273599757</v>
      </c>
      <c r="AA413" s="345">
        <f t="shared" si="178"/>
        <v>1.1575569488622293</v>
      </c>
      <c r="AB413" s="346">
        <f t="shared" si="179"/>
        <v>-87.548073899906953</v>
      </c>
      <c r="AD413">
        <f t="shared" si="183"/>
        <v>0</v>
      </c>
      <c r="AE413">
        <f t="shared" si="186"/>
        <v>0</v>
      </c>
    </row>
    <row r="414" spans="1:31" x14ac:dyDescent="0.2">
      <c r="A414" s="347">
        <v>39131.5</v>
      </c>
      <c r="B414" s="364">
        <f t="shared" si="180"/>
        <v>39.131500000000003</v>
      </c>
      <c r="C414" s="337">
        <f t="shared" si="161"/>
        <v>219.66660399291158</v>
      </c>
      <c r="D414" s="338">
        <f t="shared" si="162"/>
        <v>1.5662439577235774</v>
      </c>
      <c r="E414" s="338">
        <f t="shared" si="163"/>
        <v>1.0048245447510213</v>
      </c>
      <c r="F414" s="339">
        <f t="shared" si="164"/>
        <v>9.8032927252180241E-2</v>
      </c>
      <c r="G414" s="338">
        <f t="shared" si="165"/>
        <v>1</v>
      </c>
      <c r="H414" s="339">
        <f t="shared" si="166"/>
        <v>0</v>
      </c>
      <c r="I414" s="337">
        <f t="shared" si="167"/>
        <v>129096.53028844616</v>
      </c>
      <c r="J414" s="340">
        <f t="shared" si="168"/>
        <v>1.5707885806533251</v>
      </c>
      <c r="K414" s="348">
        <f t="shared" si="184"/>
        <v>63.717802621455711</v>
      </c>
      <c r="L414" s="349">
        <f t="shared" si="185"/>
        <v>1.5551014814811628</v>
      </c>
      <c r="M414" s="337">
        <f t="shared" si="169"/>
        <v>1.0080520694141972</v>
      </c>
      <c r="N414" s="340">
        <f t="shared" si="170"/>
        <v>0.12647852168063425</v>
      </c>
      <c r="O414" s="341">
        <f t="shared" si="171"/>
        <v>0.98473486705524504</v>
      </c>
      <c r="P414" s="342">
        <f t="shared" si="172"/>
        <v>5.9609812633971651E-2</v>
      </c>
      <c r="Q414" s="343">
        <f t="shared" si="173"/>
        <v>-16.134309388892543</v>
      </c>
      <c r="R414" s="344">
        <f t="shared" si="174"/>
        <v>-95.683176338113014</v>
      </c>
      <c r="S414" s="346">
        <f t="shared" si="175"/>
        <v>84.316823661886986</v>
      </c>
      <c r="U414" s="319">
        <f t="shared" si="181"/>
        <v>39131.5</v>
      </c>
      <c r="V414" s="319">
        <f t="shared" si="182"/>
        <v>1531274292.25</v>
      </c>
      <c r="X414" s="345">
        <f t="shared" si="176"/>
        <v>31.504489496685952</v>
      </c>
      <c r="Y414" s="346">
        <f t="shared" si="177"/>
        <v>-8.145490076029871</v>
      </c>
      <c r="AA414" s="345">
        <f t="shared" si="178"/>
        <v>1.1091679183711465</v>
      </c>
      <c r="AB414" s="346">
        <f t="shared" si="179"/>
        <v>-87.537686262083142</v>
      </c>
      <c r="AD414">
        <f t="shared" si="183"/>
        <v>0</v>
      </c>
      <c r="AE414">
        <f t="shared" si="186"/>
        <v>0</v>
      </c>
    </row>
    <row r="415" spans="1:31" x14ac:dyDescent="0.2">
      <c r="A415" s="347">
        <v>39358</v>
      </c>
      <c r="B415" s="364">
        <f t="shared" si="180"/>
        <v>39.357999999999997</v>
      </c>
      <c r="C415" s="337">
        <f t="shared" si="161"/>
        <v>220.93804663281151</v>
      </c>
      <c r="D415" s="338">
        <f t="shared" si="162"/>
        <v>1.566270155636875</v>
      </c>
      <c r="E415" s="338">
        <f t="shared" si="163"/>
        <v>1.0048804209919959</v>
      </c>
      <c r="F415" s="339">
        <f t="shared" si="164"/>
        <v>9.8596699208525276E-2</v>
      </c>
      <c r="G415" s="338">
        <f t="shared" si="165"/>
        <v>1</v>
      </c>
      <c r="H415" s="339">
        <f t="shared" si="166"/>
        <v>0</v>
      </c>
      <c r="I415" s="337">
        <f t="shared" si="167"/>
        <v>129843.76369653386</v>
      </c>
      <c r="J415" s="340">
        <f t="shared" si="168"/>
        <v>1.5707886252313288</v>
      </c>
      <c r="K415" s="348">
        <f t="shared" si="184"/>
        <v>64.0865218830033</v>
      </c>
      <c r="L415" s="349">
        <f t="shared" si="185"/>
        <v>1.5551917885024116</v>
      </c>
      <c r="M415" s="337">
        <f t="shared" si="169"/>
        <v>1.0081451751079962</v>
      </c>
      <c r="N415" s="340">
        <f t="shared" si="170"/>
        <v>0.12720275240840345</v>
      </c>
      <c r="O415" s="341">
        <f t="shared" si="171"/>
        <v>0.98455797781810983</v>
      </c>
      <c r="P415" s="342">
        <f t="shared" si="172"/>
        <v>5.9966042234009621E-2</v>
      </c>
      <c r="Q415" s="343">
        <f t="shared" si="173"/>
        <v>-16.183209965638191</v>
      </c>
      <c r="R415" s="344">
        <f t="shared" si="174"/>
        <v>-95.709109773968436</v>
      </c>
      <c r="S415" s="346">
        <f t="shared" si="175"/>
        <v>84.290890226031564</v>
      </c>
      <c r="U415" s="319">
        <f t="shared" si="181"/>
        <v>39358</v>
      </c>
      <c r="V415" s="319">
        <f t="shared" si="182"/>
        <v>1549052164</v>
      </c>
      <c r="X415" s="345">
        <f t="shared" si="176"/>
        <v>31.503675011124233</v>
      </c>
      <c r="Y415" s="346">
        <f t="shared" si="177"/>
        <v>-8.1818137831197522</v>
      </c>
      <c r="AA415" s="345">
        <f t="shared" si="178"/>
        <v>1.0610818271872211</v>
      </c>
      <c r="AB415" s="346">
        <f t="shared" si="179"/>
        <v>-87.527295990848671</v>
      </c>
      <c r="AD415">
        <f t="shared" si="183"/>
        <v>0</v>
      </c>
      <c r="AE415">
        <f t="shared" si="186"/>
        <v>0</v>
      </c>
    </row>
    <row r="416" spans="1:31" x14ac:dyDescent="0.2">
      <c r="A416" s="347">
        <v>39584.5</v>
      </c>
      <c r="B416" s="364">
        <f t="shared" si="180"/>
        <v>39.584499999999998</v>
      </c>
      <c r="C416" s="337">
        <f t="shared" si="161"/>
        <v>222.20948942261273</v>
      </c>
      <c r="D416" s="338">
        <f t="shared" si="162"/>
        <v>1.5662960537506807</v>
      </c>
      <c r="E416" s="338">
        <f t="shared" si="163"/>
        <v>1.0049366165873999</v>
      </c>
      <c r="F416" s="339">
        <f t="shared" si="164"/>
        <v>9.9160408292283023E-2</v>
      </c>
      <c r="G416" s="338">
        <f t="shared" si="165"/>
        <v>1</v>
      </c>
      <c r="H416" s="339">
        <f t="shared" si="166"/>
        <v>0</v>
      </c>
      <c r="I416" s="337">
        <f t="shared" si="167"/>
        <v>130590.99710462181</v>
      </c>
      <c r="J416" s="340">
        <f t="shared" si="168"/>
        <v>1.5707886692991873</v>
      </c>
      <c r="K416" s="348">
        <f t="shared" si="184"/>
        <v>64.455241661219759</v>
      </c>
      <c r="L416" s="349">
        <f t="shared" si="185"/>
        <v>1.5552810623117526</v>
      </c>
      <c r="M416" s="337">
        <f t="shared" si="169"/>
        <v>1.008238809486347</v>
      </c>
      <c r="N416" s="340">
        <f t="shared" si="170"/>
        <v>0.12792684899838633</v>
      </c>
      <c r="O416" s="341">
        <f t="shared" si="171"/>
        <v>0.98438007558938612</v>
      </c>
      <c r="P416" s="342">
        <f t="shared" si="172"/>
        <v>6.032246963422476E-2</v>
      </c>
      <c r="Q416" s="343">
        <f t="shared" si="173"/>
        <v>-16.231815210132439</v>
      </c>
      <c r="R416" s="344">
        <f t="shared" si="174"/>
        <v>-95.73509245195099</v>
      </c>
      <c r="S416" s="346">
        <f t="shared" si="175"/>
        <v>84.26490754804901</v>
      </c>
      <c r="U416" s="319">
        <f t="shared" si="181"/>
        <v>39584.5</v>
      </c>
      <c r="V416" s="319">
        <f t="shared" si="182"/>
        <v>1566932640.25</v>
      </c>
      <c r="X416" s="345">
        <f t="shared" si="176"/>
        <v>31.502856255173164</v>
      </c>
      <c r="Y416" s="346">
        <f t="shared" si="177"/>
        <v>-8.2181889741331577</v>
      </c>
      <c r="AA416" s="345">
        <f t="shared" si="178"/>
        <v>1.0132953386440411</v>
      </c>
      <c r="AB416" s="346">
        <f t="shared" si="179"/>
        <v>-87.516903477817863</v>
      </c>
      <c r="AD416">
        <f t="shared" si="183"/>
        <v>0</v>
      </c>
      <c r="AE416">
        <f t="shared" si="186"/>
        <v>0</v>
      </c>
    </row>
    <row r="417" spans="1:31" x14ac:dyDescent="0.2">
      <c r="A417" s="347">
        <v>39811</v>
      </c>
      <c r="B417" s="364">
        <f t="shared" si="180"/>
        <v>39.811</v>
      </c>
      <c r="C417" s="337">
        <f t="shared" si="161"/>
        <v>223.48093235975671</v>
      </c>
      <c r="D417" s="338">
        <f t="shared" si="162"/>
        <v>1.5663216571818785</v>
      </c>
      <c r="E417" s="338">
        <f t="shared" si="163"/>
        <v>1.004993131483662</v>
      </c>
      <c r="F417" s="339">
        <f t="shared" si="164"/>
        <v>9.9724054155773179E-2</v>
      </c>
      <c r="G417" s="338">
        <f t="shared" si="165"/>
        <v>1</v>
      </c>
      <c r="H417" s="339">
        <f t="shared" si="166"/>
        <v>0</v>
      </c>
      <c r="I417" s="337">
        <f t="shared" si="167"/>
        <v>131338.23051271</v>
      </c>
      <c r="J417" s="340">
        <f t="shared" si="168"/>
        <v>1.570788712865608</v>
      </c>
      <c r="K417" s="348">
        <f t="shared" si="184"/>
        <v>64.823961947288609</v>
      </c>
      <c r="L417" s="349">
        <f t="shared" si="185"/>
        <v>1.5553693205385544</v>
      </c>
      <c r="M417" s="337">
        <f t="shared" si="169"/>
        <v>1.0083329724019674</v>
      </c>
      <c r="N417" s="340">
        <f t="shared" si="170"/>
        <v>0.12865081072874676</v>
      </c>
      <c r="O417" s="341">
        <f t="shared" si="171"/>
        <v>0.98420116051015039</v>
      </c>
      <c r="P417" s="342">
        <f t="shared" si="172"/>
        <v>6.0679096087656891E-2</v>
      </c>
      <c r="Q417" s="343">
        <f t="shared" si="173"/>
        <v>-16.280128404111135</v>
      </c>
      <c r="R417" s="344">
        <f t="shared" si="174"/>
        <v>-95.761123706003474</v>
      </c>
      <c r="S417" s="346">
        <f t="shared" si="175"/>
        <v>84.238876293996526</v>
      </c>
      <c r="U417" s="319">
        <f t="shared" si="181"/>
        <v>39811</v>
      </c>
      <c r="V417" s="319">
        <f t="shared" si="182"/>
        <v>1584915721</v>
      </c>
      <c r="X417" s="345">
        <f t="shared" si="176"/>
        <v>31.50203322658982</v>
      </c>
      <c r="Y417" s="346">
        <f t="shared" si="177"/>
        <v>-8.2546145981224051</v>
      </c>
      <c r="AA417" s="345">
        <f t="shared" si="178"/>
        <v>0.96580517324869286</v>
      </c>
      <c r="AB417" s="346">
        <f t="shared" si="179"/>
        <v>-87.506509107881058</v>
      </c>
      <c r="AD417">
        <f t="shared" si="183"/>
        <v>0</v>
      </c>
      <c r="AE417">
        <f t="shared" si="186"/>
        <v>0</v>
      </c>
    </row>
    <row r="418" spans="1:31" x14ac:dyDescent="0.2">
      <c r="A418" s="347">
        <v>40042.75</v>
      </c>
      <c r="B418" s="364">
        <f t="shared" si="180"/>
        <v>40.042749999999998</v>
      </c>
      <c r="C418" s="337">
        <f t="shared" si="161"/>
        <v>224.78184597845373</v>
      </c>
      <c r="D418" s="338">
        <f t="shared" si="162"/>
        <v>1.5663475542783669</v>
      </c>
      <c r="E418" s="338">
        <f t="shared" si="163"/>
        <v>1.0050512867598183</v>
      </c>
      <c r="F418" s="339">
        <f t="shared" si="164"/>
        <v>0.10030069886078528</v>
      </c>
      <c r="G418" s="338">
        <f t="shared" si="165"/>
        <v>1</v>
      </c>
      <c r="H418" s="339">
        <f t="shared" si="166"/>
        <v>0</v>
      </c>
      <c r="I418" s="337">
        <f t="shared" si="167"/>
        <v>132102.78390045612</v>
      </c>
      <c r="J418" s="340">
        <f t="shared" si="168"/>
        <v>1.5707887569317152</v>
      </c>
      <c r="K418" s="348">
        <f t="shared" si="184"/>
        <v>65.201229246713694</v>
      </c>
      <c r="L418" s="349">
        <f t="shared" si="185"/>
        <v>1.5554585912902412</v>
      </c>
      <c r="M418" s="337">
        <f t="shared" si="169"/>
        <v>1.0084298648028363</v>
      </c>
      <c r="N418" s="340">
        <f t="shared" si="170"/>
        <v>0.12939141269231452</v>
      </c>
      <c r="O418" s="341">
        <f t="shared" si="171"/>
        <v>0.98401705020319108</v>
      </c>
      <c r="P418" s="342">
        <f t="shared" si="172"/>
        <v>6.1044196053690394E-2</v>
      </c>
      <c r="Q418" s="343">
        <f t="shared" si="173"/>
        <v>-16.329262521485738</v>
      </c>
      <c r="R418" s="344">
        <f t="shared" si="174"/>
        <v>-95.787807933950589</v>
      </c>
      <c r="S418" s="346">
        <f t="shared" si="175"/>
        <v>84.212192066049411</v>
      </c>
      <c r="U418" s="319">
        <f t="shared" si="181"/>
        <v>40042.75</v>
      </c>
      <c r="V418" s="319">
        <f t="shared" si="182"/>
        <v>1603421827.5625</v>
      </c>
      <c r="X418" s="345">
        <f t="shared" si="176"/>
        <v>31.501186696668263</v>
      </c>
      <c r="Y418" s="346">
        <f t="shared" si="177"/>
        <v>-8.2919356524729366</v>
      </c>
      <c r="AA418" s="345">
        <f t="shared" si="178"/>
        <v>0.91751758579564358</v>
      </c>
      <c r="AB418" s="346">
        <f t="shared" si="179"/>
        <v>-87.495872281477659</v>
      </c>
      <c r="AD418">
        <f t="shared" si="183"/>
        <v>0</v>
      </c>
      <c r="AE418">
        <f t="shared" si="186"/>
        <v>0</v>
      </c>
    </row>
    <row r="419" spans="1:31" x14ac:dyDescent="0.2">
      <c r="A419" s="347">
        <v>40274.5</v>
      </c>
      <c r="B419" s="364">
        <f t="shared" si="180"/>
        <v>40.274500000000003</v>
      </c>
      <c r="C419" s="337">
        <f t="shared" si="161"/>
        <v>226.08275974616797</v>
      </c>
      <c r="D419" s="338">
        <f t="shared" si="162"/>
        <v>1.5663731533433956</v>
      </c>
      <c r="E419" s="338">
        <f t="shared" si="163"/>
        <v>1.0051097761960019</v>
      </c>
      <c r="F419" s="339">
        <f t="shared" si="164"/>
        <v>0.10087727664518358</v>
      </c>
      <c r="G419" s="338">
        <f t="shared" si="165"/>
        <v>1</v>
      </c>
      <c r="H419" s="339">
        <f t="shared" si="166"/>
        <v>0</v>
      </c>
      <c r="I419" s="337">
        <f t="shared" si="167"/>
        <v>132867.33728820251</v>
      </c>
      <c r="J419" s="340">
        <f t="shared" si="168"/>
        <v>1.5707888004906865</v>
      </c>
      <c r="K419" s="348">
        <f t="shared" si="184"/>
        <v>65.578497059766292</v>
      </c>
      <c r="L419" s="349">
        <f t="shared" si="185"/>
        <v>1.5555468349077322</v>
      </c>
      <c r="M419" s="337">
        <f t="shared" si="169"/>
        <v>1.0085273102122247</v>
      </c>
      <c r="N419" s="340">
        <f t="shared" si="170"/>
        <v>0.13013187194582509</v>
      </c>
      <c r="O419" s="341">
        <f t="shared" si="171"/>
        <v>0.98383187985003806</v>
      </c>
      <c r="P419" s="342">
        <f t="shared" si="172"/>
        <v>6.1409507068117486E-2</v>
      </c>
      <c r="Q419" s="343">
        <f t="shared" si="173"/>
        <v>-16.378097665366059</v>
      </c>
      <c r="R419" s="344">
        <f t="shared" si="174"/>
        <v>-95.81454165711763</v>
      </c>
      <c r="S419" s="346">
        <f t="shared" si="175"/>
        <v>84.18545834288237</v>
      </c>
      <c r="U419" s="319">
        <f t="shared" si="181"/>
        <v>40274.5</v>
      </c>
      <c r="V419" s="319">
        <f t="shared" si="182"/>
        <v>1622035350.25</v>
      </c>
      <c r="X419" s="345">
        <f t="shared" si="176"/>
        <v>31.500335689466496</v>
      </c>
      <c r="Y419" s="346">
        <f t="shared" si="177"/>
        <v>-8.3293073515372189</v>
      </c>
      <c r="AA419" s="345">
        <f t="shared" si="178"/>
        <v>0.86953344911709374</v>
      </c>
      <c r="AB419" s="346">
        <f t="shared" si="179"/>
        <v>-87.48523430558042</v>
      </c>
      <c r="AD419">
        <f t="shared" si="183"/>
        <v>0</v>
      </c>
      <c r="AE419">
        <f t="shared" si="186"/>
        <v>0</v>
      </c>
    </row>
    <row r="420" spans="1:31" x14ac:dyDescent="0.2">
      <c r="A420" s="347">
        <v>40506.25</v>
      </c>
      <c r="B420" s="364">
        <f t="shared" si="180"/>
        <v>40.506250000000001</v>
      </c>
      <c r="C420" s="337">
        <f t="shared" si="161"/>
        <v>227.38367366034171</v>
      </c>
      <c r="D420" s="338">
        <f t="shared" si="162"/>
        <v>1.5663984594922489</v>
      </c>
      <c r="E420" s="338">
        <f t="shared" si="163"/>
        <v>1.0051685997338797</v>
      </c>
      <c r="F420" s="339">
        <f t="shared" si="164"/>
        <v>0.10145378713732642</v>
      </c>
      <c r="G420" s="338">
        <f t="shared" si="165"/>
        <v>1</v>
      </c>
      <c r="H420" s="339">
        <f t="shared" si="166"/>
        <v>0</v>
      </c>
      <c r="I420" s="337">
        <f t="shared" si="167"/>
        <v>133631.89067594914</v>
      </c>
      <c r="J420" s="340">
        <f t="shared" si="168"/>
        <v>1.5707888435512267</v>
      </c>
      <c r="K420" s="348">
        <f t="shared" si="184"/>
        <v>65.955765377632545</v>
      </c>
      <c r="L420" s="349">
        <f t="shared" si="185"/>
        <v>1.5556340690153263</v>
      </c>
      <c r="M420" s="337">
        <f t="shared" si="169"/>
        <v>1.0086253084698511</v>
      </c>
      <c r="N420" s="340">
        <f t="shared" si="170"/>
        <v>0.13087218771880127</v>
      </c>
      <c r="O420" s="341">
        <f t="shared" si="171"/>
        <v>0.98364564960486112</v>
      </c>
      <c r="P420" s="342">
        <f t="shared" si="172"/>
        <v>6.1775030479861763E-2</v>
      </c>
      <c r="Q420" s="343">
        <f t="shared" si="173"/>
        <v>-16.426637173050501</v>
      </c>
      <c r="R420" s="344">
        <f t="shared" si="174"/>
        <v>-95.841324213725599</v>
      </c>
      <c r="S420" s="346">
        <f t="shared" si="175"/>
        <v>84.158675786274401</v>
      </c>
      <c r="U420" s="319">
        <f t="shared" si="181"/>
        <v>40506.25</v>
      </c>
      <c r="V420" s="319">
        <f t="shared" si="182"/>
        <v>1640756289.0625</v>
      </c>
      <c r="X420" s="345">
        <f t="shared" si="176"/>
        <v>31.499480203045994</v>
      </c>
      <c r="Y420" s="346">
        <f t="shared" si="177"/>
        <v>-8.3667286418709637</v>
      </c>
      <c r="AA420" s="345">
        <f t="shared" si="178"/>
        <v>0.82184942785314519</v>
      </c>
      <c r="AB420" s="346">
        <f t="shared" si="179"/>
        <v>-87.47459557185465</v>
      </c>
      <c r="AD420">
        <f t="shared" si="183"/>
        <v>0</v>
      </c>
      <c r="AE420">
        <f t="shared" si="186"/>
        <v>0</v>
      </c>
    </row>
    <row r="421" spans="1:31" x14ac:dyDescent="0.2">
      <c r="A421" s="347">
        <v>40738</v>
      </c>
      <c r="B421" s="364">
        <f t="shared" si="180"/>
        <v>40.738</v>
      </c>
      <c r="C421" s="337">
        <f t="shared" si="161"/>
        <v>228.68458771847551</v>
      </c>
      <c r="D421" s="338">
        <f t="shared" si="162"/>
        <v>1.5664234777238155</v>
      </c>
      <c r="E421" s="338">
        <f t="shared" si="163"/>
        <v>1.0052277573147992</v>
      </c>
      <c r="F421" s="339">
        <f t="shared" si="164"/>
        <v>0.10203022996583794</v>
      </c>
      <c r="G421" s="338">
        <f t="shared" si="165"/>
        <v>1</v>
      </c>
      <c r="H421" s="339">
        <f t="shared" si="166"/>
        <v>0</v>
      </c>
      <c r="I421" s="337">
        <f t="shared" si="167"/>
        <v>134396.44406369605</v>
      </c>
      <c r="J421" s="340">
        <f t="shared" si="168"/>
        <v>1.5707888861218418</v>
      </c>
      <c r="K421" s="348">
        <f t="shared" si="184"/>
        <v>66.33303419169907</v>
      </c>
      <c r="L421" s="349">
        <f t="shared" si="185"/>
        <v>1.555720310836433</v>
      </c>
      <c r="M421" s="337">
        <f t="shared" si="169"/>
        <v>1.0087238594145864</v>
      </c>
      <c r="N421" s="340">
        <f t="shared" si="170"/>
        <v>0.13161235924169368</v>
      </c>
      <c r="O421" s="341">
        <f t="shared" si="171"/>
        <v>0.98345835962286465</v>
      </c>
      <c r="P421" s="342">
        <f t="shared" si="172"/>
        <v>6.2140767640142563E-2</v>
      </c>
      <c r="Q421" s="343">
        <f t="shared" si="173"/>
        <v>-16.474884324538891</v>
      </c>
      <c r="R421" s="344">
        <f t="shared" si="174"/>
        <v>-95.868154958453971</v>
      </c>
      <c r="S421" s="346">
        <f t="shared" si="175"/>
        <v>84.131845041546029</v>
      </c>
      <c r="U421" s="319">
        <f t="shared" si="181"/>
        <v>40738</v>
      </c>
      <c r="V421" s="319">
        <f t="shared" si="182"/>
        <v>1659584644</v>
      </c>
      <c r="X421" s="345">
        <f t="shared" si="176"/>
        <v>31.498620235615135</v>
      </c>
      <c r="Y421" s="346">
        <f t="shared" si="177"/>
        <v>-8.4041984930409139</v>
      </c>
      <c r="AA421" s="345">
        <f t="shared" si="178"/>
        <v>0.77446224379562034</v>
      </c>
      <c r="AB421" s="346">
        <f t="shared" si="179"/>
        <v>-87.463956465413048</v>
      </c>
      <c r="AD421">
        <f t="shared" si="183"/>
        <v>0</v>
      </c>
      <c r="AE421">
        <f t="shared" si="186"/>
        <v>0</v>
      </c>
    </row>
    <row r="422" spans="1:31" x14ac:dyDescent="0.2">
      <c r="A422" s="347">
        <v>40975.25</v>
      </c>
      <c r="B422" s="364">
        <f t="shared" si="180"/>
        <v>40.975250000000003</v>
      </c>
      <c r="C422" s="337">
        <f t="shared" si="161"/>
        <v>230.01637582747671</v>
      </c>
      <c r="D422" s="338">
        <f t="shared" si="162"/>
        <v>1.5664487965524114</v>
      </c>
      <c r="E422" s="338">
        <f t="shared" si="163"/>
        <v>1.0052886648182933</v>
      </c>
      <c r="F422" s="339">
        <f t="shared" si="164"/>
        <v>0.10262028272778859</v>
      </c>
      <c r="G422" s="338">
        <f t="shared" si="165"/>
        <v>1</v>
      </c>
      <c r="H422" s="339">
        <f t="shared" si="166"/>
        <v>0</v>
      </c>
      <c r="I422" s="337">
        <f t="shared" si="167"/>
        <v>135179.14219203693</v>
      </c>
      <c r="J422" s="340">
        <f t="shared" si="168"/>
        <v>1.5707889292039385</v>
      </c>
      <c r="K422" s="348">
        <f t="shared" si="184"/>
        <v>66.719257031919241</v>
      </c>
      <c r="L422" s="349">
        <f t="shared" si="185"/>
        <v>1.5558075890724012</v>
      </c>
      <c r="M422" s="337">
        <f t="shared" si="169"/>
        <v>1.0088253215652749</v>
      </c>
      <c r="N422" s="340">
        <f t="shared" si="170"/>
        <v>0.13236994663498405</v>
      </c>
      <c r="O422" s="341">
        <f t="shared" si="171"/>
        <v>0.98326552718954552</v>
      </c>
      <c r="P422" s="342">
        <f t="shared" si="172"/>
        <v>6.2515407477834628E-2</v>
      </c>
      <c r="Q422" s="343">
        <f t="shared" si="173"/>
        <v>-16.523977019847898</v>
      </c>
      <c r="R422" s="344">
        <f t="shared" si="174"/>
        <v>-95.895671723199399</v>
      </c>
      <c r="S422" s="346">
        <f t="shared" si="175"/>
        <v>84.104328276800601</v>
      </c>
      <c r="U422" s="319">
        <f t="shared" si="181"/>
        <v>40975.25</v>
      </c>
      <c r="V422" s="319">
        <f t="shared" si="182"/>
        <v>1678971112.5625</v>
      </c>
      <c r="X422" s="345">
        <f t="shared" si="176"/>
        <v>31.497735215521164</v>
      </c>
      <c r="Y422" s="346">
        <f t="shared" si="177"/>
        <v>-8.4426068471906603</v>
      </c>
      <c r="AA422" s="345">
        <f t="shared" si="178"/>
        <v>0.72625456858057857</v>
      </c>
      <c r="AB422" s="346">
        <f t="shared" si="179"/>
        <v>-87.453064876008767</v>
      </c>
      <c r="AD422">
        <f t="shared" si="183"/>
        <v>0</v>
      </c>
      <c r="AE422">
        <f t="shared" si="186"/>
        <v>0</v>
      </c>
    </row>
    <row r="423" spans="1:31" x14ac:dyDescent="0.2">
      <c r="A423" s="347">
        <v>41212.5</v>
      </c>
      <c r="B423" s="364">
        <f t="shared" si="180"/>
        <v>41.212499999999999</v>
      </c>
      <c r="C423" s="337">
        <f t="shared" si="161"/>
        <v>231.34816408223065</v>
      </c>
      <c r="D423" s="338">
        <f t="shared" si="162"/>
        <v>1.5664738238782252</v>
      </c>
      <c r="E423" s="338">
        <f t="shared" si="163"/>
        <v>1.0053499222828826</v>
      </c>
      <c r="F423" s="339">
        <f t="shared" si="164"/>
        <v>0.10321026378954452</v>
      </c>
      <c r="G423" s="338">
        <f t="shared" si="165"/>
        <v>1</v>
      </c>
      <c r="H423" s="339">
        <f t="shared" si="166"/>
        <v>0</v>
      </c>
      <c r="I423" s="337">
        <f t="shared" si="167"/>
        <v>135961.84032037808</v>
      </c>
      <c r="J423" s="340">
        <f t="shared" si="168"/>
        <v>1.5707889717900096</v>
      </c>
      <c r="K423" s="348">
        <f t="shared" si="184"/>
        <v>67.105480374522486</v>
      </c>
      <c r="L423" s="349">
        <f t="shared" si="185"/>
        <v>1.555893862655098</v>
      </c>
      <c r="M423" s="337">
        <f t="shared" si="169"/>
        <v>1.008927362603167</v>
      </c>
      <c r="N423" s="340">
        <f t="shared" si="170"/>
        <v>0.13312738122096107</v>
      </c>
      <c r="O423" s="341">
        <f t="shared" si="171"/>
        <v>0.98307158445469833</v>
      </c>
      <c r="P423" s="342">
        <f t="shared" si="172"/>
        <v>6.2890274203293642E-2</v>
      </c>
      <c r="Q423" s="343">
        <f t="shared" si="173"/>
        <v>-16.572770095871356</v>
      </c>
      <c r="R423" s="344">
        <f t="shared" si="174"/>
        <v>-95.923237672653869</v>
      </c>
      <c r="S423" s="346">
        <f t="shared" si="175"/>
        <v>84.076762327346131</v>
      </c>
      <c r="U423" s="319">
        <f t="shared" si="181"/>
        <v>41212.5</v>
      </c>
      <c r="V423" s="319">
        <f t="shared" si="182"/>
        <v>1698470156.25</v>
      </c>
      <c r="X423" s="345">
        <f t="shared" si="176"/>
        <v>31.496845495854423</v>
      </c>
      <c r="Y423" s="346">
        <f t="shared" si="177"/>
        <v>-8.4810639800984635</v>
      </c>
      <c r="AA423" s="345">
        <f t="shared" si="178"/>
        <v>0.67835121222386829</v>
      </c>
      <c r="AB423" s="346">
        <f t="shared" si="179"/>
        <v>-87.442173692555386</v>
      </c>
      <c r="AD423">
        <f t="shared" si="183"/>
        <v>0</v>
      </c>
      <c r="AE423">
        <f t="shared" si="186"/>
        <v>0</v>
      </c>
    </row>
    <row r="424" spans="1:31" x14ac:dyDescent="0.2">
      <c r="A424" s="347">
        <v>41449.75</v>
      </c>
      <c r="B424" s="364">
        <f t="shared" si="180"/>
        <v>41.449750000000002</v>
      </c>
      <c r="C424" s="337">
        <f t="shared" si="161"/>
        <v>232.67995248023462</v>
      </c>
      <c r="D424" s="338">
        <f t="shared" si="162"/>
        <v>1.5664985647066418</v>
      </c>
      <c r="E424" s="338">
        <f t="shared" si="163"/>
        <v>1.0054115296446005</v>
      </c>
      <c r="F424" s="339">
        <f t="shared" si="164"/>
        <v>0.1038001727535306</v>
      </c>
      <c r="G424" s="338">
        <f t="shared" si="165"/>
        <v>1</v>
      </c>
      <c r="H424" s="339">
        <f t="shared" si="166"/>
        <v>0</v>
      </c>
      <c r="I424" s="337">
        <f t="shared" si="167"/>
        <v>136744.53844871948</v>
      </c>
      <c r="J424" s="340">
        <f t="shared" si="168"/>
        <v>1.5707890138885725</v>
      </c>
      <c r="K424" s="348">
        <f t="shared" si="184"/>
        <v>67.491704210884095</v>
      </c>
      <c r="L424" s="349">
        <f t="shared" si="185"/>
        <v>1.5559791488307273</v>
      </c>
      <c r="M424" s="337">
        <f t="shared" si="169"/>
        <v>1.0090299823526379</v>
      </c>
      <c r="N424" s="340">
        <f t="shared" si="170"/>
        <v>0.13388466217702516</v>
      </c>
      <c r="O424" s="341">
        <f t="shared" si="171"/>
        <v>0.98287653158823063</v>
      </c>
      <c r="P424" s="342">
        <f t="shared" si="172"/>
        <v>6.326536927382484E-2</v>
      </c>
      <c r="Q424" s="343">
        <f t="shared" si="173"/>
        <v>-16.621266893500838</v>
      </c>
      <c r="R424" s="344">
        <f t="shared" si="174"/>
        <v>-95.950852165103299</v>
      </c>
      <c r="S424" s="346">
        <f t="shared" si="175"/>
        <v>84.049147834896701</v>
      </c>
      <c r="U424" s="319">
        <f t="shared" si="181"/>
        <v>41449.75</v>
      </c>
      <c r="V424" s="319">
        <f t="shared" si="182"/>
        <v>1718081775.0625</v>
      </c>
      <c r="X424" s="345">
        <f t="shared" si="176"/>
        <v>31.49595107514202</v>
      </c>
      <c r="Y424" s="346">
        <f t="shared" si="177"/>
        <v>-8.5195688569861705</v>
      </c>
      <c r="AA424" s="345">
        <f t="shared" si="178"/>
        <v>0.63074883530678227</v>
      </c>
      <c r="AB424" s="346">
        <f t="shared" si="179"/>
        <v>-87.431283308117131</v>
      </c>
      <c r="AD424">
        <f t="shared" si="183"/>
        <v>0</v>
      </c>
      <c r="AE424">
        <f t="shared" si="186"/>
        <v>0</v>
      </c>
    </row>
    <row r="425" spans="1:31" x14ac:dyDescent="0.2">
      <c r="A425" s="347">
        <v>41687</v>
      </c>
      <c r="B425" s="364">
        <f t="shared" si="180"/>
        <v>41.686999999999998</v>
      </c>
      <c r="C425" s="337">
        <f t="shared" si="161"/>
        <v>234.01174101904292</v>
      </c>
      <c r="D425" s="338">
        <f t="shared" si="162"/>
        <v>1.566523023929103</v>
      </c>
      <c r="E425" s="338">
        <f t="shared" si="163"/>
        <v>1.0054734868391302</v>
      </c>
      <c r="F425" s="339">
        <f t="shared" si="164"/>
        <v>0.10439000922246952</v>
      </c>
      <c r="G425" s="338">
        <f t="shared" si="165"/>
        <v>1</v>
      </c>
      <c r="H425" s="339">
        <f t="shared" si="166"/>
        <v>0</v>
      </c>
      <c r="I425" s="337">
        <f t="shared" si="167"/>
        <v>137527.23657706112</v>
      </c>
      <c r="J425" s="340">
        <f t="shared" si="168"/>
        <v>1.5707890555079509</v>
      </c>
      <c r="K425" s="348">
        <f t="shared" si="184"/>
        <v>67.877928532575652</v>
      </c>
      <c r="L425" s="349">
        <f t="shared" si="185"/>
        <v>1.5560634644530287</v>
      </c>
      <c r="M425" s="337">
        <f t="shared" si="169"/>
        <v>1.0091331806371382</v>
      </c>
      <c r="N425" s="340">
        <f t="shared" si="170"/>
        <v>0.13464178868161511</v>
      </c>
      <c r="O425" s="341">
        <f t="shared" si="171"/>
        <v>0.98268036876119824</v>
      </c>
      <c r="P425" s="342">
        <f t="shared" si="172"/>
        <v>6.3640694149325716E-2</v>
      </c>
      <c r="Q425" s="343">
        <f t="shared" si="173"/>
        <v>-16.669470696232565</v>
      </c>
      <c r="R425" s="344">
        <f t="shared" si="174"/>
        <v>-95.978514574971825</v>
      </c>
      <c r="S425" s="346">
        <f t="shared" si="175"/>
        <v>84.021485425028175</v>
      </c>
      <c r="U425" s="319">
        <f t="shared" si="181"/>
        <v>41687</v>
      </c>
      <c r="V425" s="319">
        <f t="shared" si="182"/>
        <v>1737805969</v>
      </c>
      <c r="X425" s="345">
        <f t="shared" si="176"/>
        <v>31.495051952053466</v>
      </c>
      <c r="Y425" s="346">
        <f t="shared" si="177"/>
        <v>-8.5581204656105623</v>
      </c>
      <c r="AA425" s="345">
        <f t="shared" si="178"/>
        <v>0.58344415566361152</v>
      </c>
      <c r="AB425" s="346">
        <f t="shared" si="179"/>
        <v>-87.420394109361268</v>
      </c>
      <c r="AD425">
        <f t="shared" si="183"/>
        <v>0</v>
      </c>
      <c r="AE425">
        <f t="shared" si="186"/>
        <v>0</v>
      </c>
    </row>
    <row r="426" spans="1:31" x14ac:dyDescent="0.2">
      <c r="A426" s="347">
        <v>41929.75</v>
      </c>
      <c r="B426" s="364">
        <f t="shared" si="180"/>
        <v>41.929749999999999</v>
      </c>
      <c r="C426" s="337">
        <f t="shared" si="161"/>
        <v>235.37440361875068</v>
      </c>
      <c r="D426" s="338">
        <f t="shared" si="162"/>
        <v>1.5665477636843237</v>
      </c>
      <c r="E426" s="338">
        <f t="shared" si="163"/>
        <v>1.0055372423680105</v>
      </c>
      <c r="F426" s="339">
        <f t="shared" si="164"/>
        <v>0.10499344400621227</v>
      </c>
      <c r="G426" s="338">
        <f t="shared" si="165"/>
        <v>1</v>
      </c>
      <c r="H426" s="339">
        <f t="shared" si="166"/>
        <v>0</v>
      </c>
      <c r="I426" s="337">
        <f t="shared" si="167"/>
        <v>138328.07944599679</v>
      </c>
      <c r="J426" s="340">
        <f t="shared" si="168"/>
        <v>1.5707890976046699</v>
      </c>
      <c r="K426" s="348">
        <f t="shared" si="184"/>
        <v>68.273106915006935</v>
      </c>
      <c r="L426" s="349">
        <f t="shared" si="185"/>
        <v>1.5561487473206324</v>
      </c>
      <c r="M426" s="337">
        <f t="shared" si="169"/>
        <v>1.0092393699179629</v>
      </c>
      <c r="N426" s="340">
        <f t="shared" si="170"/>
        <v>0.13541630639820487</v>
      </c>
      <c r="O426" s="341">
        <f t="shared" si="171"/>
        <v>0.98247850975287043</v>
      </c>
      <c r="P426" s="342">
        <f t="shared" si="172"/>
        <v>6.4024959300921752E-2</v>
      </c>
      <c r="Q426" s="343">
        <f t="shared" si="173"/>
        <v>-16.718492077752824</v>
      </c>
      <c r="R426" s="344">
        <f t="shared" si="174"/>
        <v>-96.006867223549648</v>
      </c>
      <c r="S426" s="346">
        <f t="shared" si="175"/>
        <v>83.993132776450352</v>
      </c>
      <c r="U426" s="319">
        <f t="shared" si="181"/>
        <v>41929.75</v>
      </c>
      <c r="V426" s="319">
        <f t="shared" si="182"/>
        <v>1758103935.0625</v>
      </c>
      <c r="X426" s="345">
        <f t="shared" si="176"/>
        <v>31.494127116825752</v>
      </c>
      <c r="Y426" s="346">
        <f t="shared" si="177"/>
        <v>-8.5976131255602528</v>
      </c>
      <c r="AA426" s="345">
        <f t="shared" si="178"/>
        <v>0.53534760937106618</v>
      </c>
      <c r="AB426" s="346">
        <f t="shared" si="179"/>
        <v>-87.409254097989404</v>
      </c>
      <c r="AD426">
        <f t="shared" si="183"/>
        <v>0</v>
      </c>
      <c r="AE426">
        <f t="shared" si="186"/>
        <v>0</v>
      </c>
    </row>
    <row r="427" spans="1:31" x14ac:dyDescent="0.2">
      <c r="A427" s="347">
        <v>42172.5</v>
      </c>
      <c r="B427" s="364">
        <f t="shared" si="180"/>
        <v>42.172499999999999</v>
      </c>
      <c r="C427" s="337">
        <f t="shared" si="161"/>
        <v>236.73706636086226</v>
      </c>
      <c r="D427" s="338">
        <f t="shared" si="162"/>
        <v>1.5665722186346216</v>
      </c>
      <c r="E427" s="338">
        <f t="shared" si="163"/>
        <v>1.0056013640002186</v>
      </c>
      <c r="F427" s="339">
        <f t="shared" si="164"/>
        <v>0.10559680205424327</v>
      </c>
      <c r="G427" s="338">
        <f t="shared" si="165"/>
        <v>1</v>
      </c>
      <c r="H427" s="339">
        <f t="shared" si="166"/>
        <v>0</v>
      </c>
      <c r="I427" s="337">
        <f t="shared" si="167"/>
        <v>139128.92231493272</v>
      </c>
      <c r="J427" s="340">
        <f t="shared" si="168"/>
        <v>1.5707891392167614</v>
      </c>
      <c r="K427" s="348">
        <f t="shared" si="184"/>
        <v>68.668285788284663</v>
      </c>
      <c r="L427" s="349">
        <f t="shared" si="185"/>
        <v>1.5562330486007014</v>
      </c>
      <c r="M427" s="337">
        <f t="shared" si="169"/>
        <v>1.0093461644913735</v>
      </c>
      <c r="N427" s="340">
        <f t="shared" si="170"/>
        <v>0.13619066068245872</v>
      </c>
      <c r="O427" s="341">
        <f t="shared" si="171"/>
        <v>0.98227548909059803</v>
      </c>
      <c r="P427" s="342">
        <f t="shared" si="172"/>
        <v>6.4409468136361489E-2</v>
      </c>
      <c r="Q427" s="343">
        <f t="shared" si="173"/>
        <v>-16.767213498587669</v>
      </c>
      <c r="R427" s="344">
        <f t="shared" si="174"/>
        <v>-96.035268761768492</v>
      </c>
      <c r="S427" s="346">
        <f t="shared" si="175"/>
        <v>83.964731238231508</v>
      </c>
      <c r="U427" s="319">
        <f t="shared" si="181"/>
        <v>42172.5</v>
      </c>
      <c r="V427" s="319">
        <f t="shared" si="182"/>
        <v>1778519756.25</v>
      </c>
      <c r="X427" s="345">
        <f t="shared" si="176"/>
        <v>31.493197356290779</v>
      </c>
      <c r="Y427" s="346">
        <f t="shared" si="177"/>
        <v>-8.6371526345827725</v>
      </c>
      <c r="AA427" s="345">
        <f t="shared" si="178"/>
        <v>0.48755594907119526</v>
      </c>
      <c r="AB427" s="346">
        <f t="shared" si="179"/>
        <v>-87.398116127185716</v>
      </c>
      <c r="AD427">
        <f t="shared" si="183"/>
        <v>0</v>
      </c>
      <c r="AE427">
        <f t="shared" si="186"/>
        <v>0</v>
      </c>
    </row>
    <row r="428" spans="1:31" x14ac:dyDescent="0.2">
      <c r="A428" s="347">
        <v>42415.25</v>
      </c>
      <c r="B428" s="364">
        <f t="shared" si="180"/>
        <v>42.41525</v>
      </c>
      <c r="C428" s="337">
        <f t="shared" si="161"/>
        <v>238.0997292429326</v>
      </c>
      <c r="D428" s="338">
        <f t="shared" si="162"/>
        <v>1.5665963936698484</v>
      </c>
      <c r="E428" s="338">
        <f t="shared" si="163"/>
        <v>1.0056658516657264</v>
      </c>
      <c r="F428" s="339">
        <f t="shared" si="164"/>
        <v>0.10620008294198874</v>
      </c>
      <c r="G428" s="338">
        <f t="shared" si="165"/>
        <v>1</v>
      </c>
      <c r="H428" s="339">
        <f t="shared" si="166"/>
        <v>0</v>
      </c>
      <c r="I428" s="337">
        <f t="shared" si="167"/>
        <v>139929.76518386888</v>
      </c>
      <c r="J428" s="340">
        <f t="shared" si="168"/>
        <v>1.570789180352546</v>
      </c>
      <c r="K428" s="348">
        <f t="shared" si="184"/>
        <v>69.063465143982981</v>
      </c>
      <c r="L428" s="349">
        <f t="shared" si="185"/>
        <v>1.5563163851418822</v>
      </c>
      <c r="M428" s="337">
        <f t="shared" si="169"/>
        <v>1.0094535641652602</v>
      </c>
      <c r="N428" s="340">
        <f t="shared" si="170"/>
        <v>0.13696485065775163</v>
      </c>
      <c r="O428" s="341">
        <f t="shared" si="171"/>
        <v>0.98207130696136524</v>
      </c>
      <c r="P428" s="342">
        <f t="shared" si="172"/>
        <v>6.4794222227991222E-2</v>
      </c>
      <c r="Q428" s="343">
        <f t="shared" si="173"/>
        <v>-16.815638297739188</v>
      </c>
      <c r="R428" s="344">
        <f t="shared" si="174"/>
        <v>-96.063718569104708</v>
      </c>
      <c r="S428" s="346">
        <f t="shared" si="175"/>
        <v>83.936281430895292</v>
      </c>
      <c r="U428" s="319">
        <f t="shared" si="181"/>
        <v>42415.25</v>
      </c>
      <c r="V428" s="319">
        <f t="shared" si="182"/>
        <v>1799053432.5625</v>
      </c>
      <c r="X428" s="345">
        <f t="shared" si="176"/>
        <v>31.492262669458441</v>
      </c>
      <c r="Y428" s="346">
        <f t="shared" si="177"/>
        <v>-8.6767379775715927</v>
      </c>
      <c r="AA428" s="345">
        <f t="shared" si="178"/>
        <v>0.44006583675201627</v>
      </c>
      <c r="AB428" s="346">
        <f t="shared" si="179"/>
        <v>-87.386980591533131</v>
      </c>
      <c r="AD428">
        <f t="shared" si="183"/>
        <v>0</v>
      </c>
      <c r="AE428">
        <f t="shared" si="186"/>
        <v>0</v>
      </c>
    </row>
    <row r="429" spans="1:31" x14ac:dyDescent="0.2">
      <c r="A429" s="347">
        <v>42658</v>
      </c>
      <c r="B429" s="364">
        <f t="shared" si="180"/>
        <v>42.658000000000001</v>
      </c>
      <c r="C429" s="337">
        <f t="shared" si="161"/>
        <v>239.46239226257242</v>
      </c>
      <c r="D429" s="338">
        <f t="shared" si="162"/>
        <v>1.5666202935685534</v>
      </c>
      <c r="E429" s="338">
        <f t="shared" si="163"/>
        <v>1.0057307052941229</v>
      </c>
      <c r="F429" s="339">
        <f t="shared" si="164"/>
        <v>0.1068032862452082</v>
      </c>
      <c r="G429" s="338">
        <f t="shared" si="165"/>
        <v>1</v>
      </c>
      <c r="H429" s="339">
        <f t="shared" si="166"/>
        <v>0</v>
      </c>
      <c r="I429" s="337">
        <f t="shared" si="167"/>
        <v>140730.60805280524</v>
      </c>
      <c r="J429" s="340">
        <f t="shared" si="168"/>
        <v>1.5707892210201555</v>
      </c>
      <c r="K429" s="348">
        <f t="shared" si="184"/>
        <v>69.45864497386782</v>
      </c>
      <c r="L429" s="349">
        <f t="shared" si="185"/>
        <v>1.5563987734094396</v>
      </c>
      <c r="M429" s="337">
        <f t="shared" si="169"/>
        <v>1.0095615687465063</v>
      </c>
      <c r="N429" s="340">
        <f t="shared" si="170"/>
        <v>0.13773887544861857</v>
      </c>
      <c r="O429" s="341">
        <f t="shared" si="171"/>
        <v>0.98186596355342981</v>
      </c>
      <c r="P429" s="342">
        <f t="shared" si="172"/>
        <v>6.517922315107863E-2</v>
      </c>
      <c r="Q429" s="343">
        <f t="shared" si="173"/>
        <v>-16.863769756840959</v>
      </c>
      <c r="R429" s="344">
        <f t="shared" si="174"/>
        <v>-96.092216040827722</v>
      </c>
      <c r="S429" s="346">
        <f t="shared" si="175"/>
        <v>83.907783959172278</v>
      </c>
      <c r="U429" s="319">
        <f t="shared" si="181"/>
        <v>42658</v>
      </c>
      <c r="V429" s="319">
        <f t="shared" si="182"/>
        <v>1819704964</v>
      </c>
      <c r="X429" s="345">
        <f t="shared" si="176"/>
        <v>31.491323055476563</v>
      </c>
      <c r="Y429" s="346">
        <f t="shared" si="177"/>
        <v>-8.7163681614420057</v>
      </c>
      <c r="AA429" s="345">
        <f t="shared" si="178"/>
        <v>0.39287399163211728</v>
      </c>
      <c r="AB429" s="346">
        <f t="shared" si="179"/>
        <v>-87.375847879385717</v>
      </c>
      <c r="AD429">
        <f t="shared" si="183"/>
        <v>0</v>
      </c>
      <c r="AE429">
        <f t="shared" si="186"/>
        <v>0</v>
      </c>
    </row>
    <row r="430" spans="1:31" x14ac:dyDescent="0.2">
      <c r="A430" s="347">
        <v>42906.5</v>
      </c>
      <c r="B430" s="364">
        <f t="shared" si="180"/>
        <v>42.906500000000001</v>
      </c>
      <c r="C430" s="337">
        <f t="shared" si="161"/>
        <v>240.857332713158</v>
      </c>
      <c r="D430" s="338">
        <f t="shared" si="162"/>
        <v>1.5666444794680419</v>
      </c>
      <c r="E430" s="338">
        <f t="shared" si="163"/>
        <v>1.0057974740997198</v>
      </c>
      <c r="F430" s="339">
        <f t="shared" si="164"/>
        <v>0.10742069677178741</v>
      </c>
      <c r="G430" s="338">
        <f t="shared" si="165"/>
        <v>1</v>
      </c>
      <c r="H430" s="339">
        <f t="shared" si="166"/>
        <v>0</v>
      </c>
      <c r="I430" s="337">
        <f t="shared" si="167"/>
        <v>141550.42042327177</v>
      </c>
      <c r="J430" s="340">
        <f t="shared" si="168"/>
        <v>1.57078926217441</v>
      </c>
      <c r="K430" s="348">
        <f t="shared" si="184"/>
        <v>69.863185879812434</v>
      </c>
      <c r="L430" s="349">
        <f t="shared" si="185"/>
        <v>1.5564821477675674</v>
      </c>
      <c r="M430" s="337">
        <f t="shared" si="169"/>
        <v>1.0096727579906837</v>
      </c>
      <c r="N430" s="340">
        <f t="shared" si="170"/>
        <v>0.13853106249074268</v>
      </c>
      <c r="O430" s="341">
        <f t="shared" si="171"/>
        <v>0.98165455352519637</v>
      </c>
      <c r="P430" s="342">
        <f t="shared" si="172"/>
        <v>6.5573600878871457E-2</v>
      </c>
      <c r="Q430" s="343">
        <f t="shared" si="173"/>
        <v>-16.912740824289774</v>
      </c>
      <c r="R430" s="344">
        <f t="shared" si="174"/>
        <v>-96.121437285985522</v>
      </c>
      <c r="S430" s="346">
        <f t="shared" si="175"/>
        <v>83.878562714014478</v>
      </c>
      <c r="U430" s="319">
        <f t="shared" si="181"/>
        <v>42906.5</v>
      </c>
      <c r="V430" s="319">
        <f t="shared" si="182"/>
        <v>1840967742.25</v>
      </c>
      <c r="X430" s="345">
        <f t="shared" si="176"/>
        <v>31.490356080588327</v>
      </c>
      <c r="Y430" s="346">
        <f t="shared" si="177"/>
        <v>-8.7569824947118295</v>
      </c>
      <c r="AA430" s="345">
        <f t="shared" si="178"/>
        <v>0.34486989907154553</v>
      </c>
      <c r="AB430" s="346">
        <f t="shared" si="179"/>
        <v>-87.364454791273658</v>
      </c>
      <c r="AD430">
        <f t="shared" si="183"/>
        <v>0</v>
      </c>
      <c r="AE430">
        <f t="shared" si="186"/>
        <v>0</v>
      </c>
    </row>
    <row r="431" spans="1:31" x14ac:dyDescent="0.2">
      <c r="A431" s="347">
        <v>43155</v>
      </c>
      <c r="B431" s="364">
        <f t="shared" si="180"/>
        <v>43.155000000000001</v>
      </c>
      <c r="C431" s="337">
        <f t="shared" si="161"/>
        <v>242.25227330301243</v>
      </c>
      <c r="D431" s="338">
        <f t="shared" si="162"/>
        <v>1.5666683868323428</v>
      </c>
      <c r="E431" s="338">
        <f t="shared" si="163"/>
        <v>1.0058646262600615</v>
      </c>
      <c r="F431" s="339">
        <f t="shared" si="164"/>
        <v>0.10803802509622684</v>
      </c>
      <c r="G431" s="338">
        <f t="shared" si="165"/>
        <v>1</v>
      </c>
      <c r="H431" s="339">
        <f t="shared" si="166"/>
        <v>0</v>
      </c>
      <c r="I431" s="337">
        <f t="shared" si="167"/>
        <v>142370.23279373854</v>
      </c>
      <c r="J431" s="340">
        <f t="shared" si="168"/>
        <v>1.5707893028547064</v>
      </c>
      <c r="K431" s="348">
        <f t="shared" si="184"/>
        <v>70.267727265804083</v>
      </c>
      <c r="L431" s="349">
        <f t="shared" si="185"/>
        <v>1.5565645621299826</v>
      </c>
      <c r="M431" s="337">
        <f t="shared" si="169"/>
        <v>1.0097845807256371</v>
      </c>
      <c r="N431" s="340">
        <f t="shared" si="170"/>
        <v>0.13932307457749471</v>
      </c>
      <c r="O431" s="341">
        <f t="shared" si="171"/>
        <v>0.98144192695580523</v>
      </c>
      <c r="P431" s="342">
        <f t="shared" si="172"/>
        <v>6.5968240620091434E-2</v>
      </c>
      <c r="Q431" s="343">
        <f t="shared" si="173"/>
        <v>-16.961411271198262</v>
      </c>
      <c r="R431" s="344">
        <f t="shared" si="174"/>
        <v>-96.150707246694324</v>
      </c>
      <c r="S431" s="346">
        <f t="shared" si="175"/>
        <v>83.849292753305676</v>
      </c>
      <c r="U431" s="319">
        <f t="shared" si="181"/>
        <v>43155</v>
      </c>
      <c r="V431" s="319">
        <f t="shared" si="182"/>
        <v>1862354025</v>
      </c>
      <c r="X431" s="345">
        <f t="shared" si="176"/>
        <v>31.489383940985938</v>
      </c>
      <c r="Y431" s="346">
        <f t="shared" si="177"/>
        <v>-8.7976417803241702</v>
      </c>
      <c r="AA431" s="345">
        <f t="shared" si="178"/>
        <v>0.29717159176543922</v>
      </c>
      <c r="AB431" s="346">
        <f t="shared" si="179"/>
        <v>-87.35306546637014</v>
      </c>
      <c r="AD431">
        <f t="shared" si="183"/>
        <v>0</v>
      </c>
      <c r="AE431">
        <f t="shared" si="186"/>
        <v>0</v>
      </c>
    </row>
    <row r="432" spans="1:31" x14ac:dyDescent="0.2">
      <c r="A432" s="347">
        <v>43403.5</v>
      </c>
      <c r="B432" s="364">
        <f t="shared" si="180"/>
        <v>43.403500000000001</v>
      </c>
      <c r="C432" s="337">
        <f t="shared" si="161"/>
        <v>243.64721402974357</v>
      </c>
      <c r="D432" s="338">
        <f t="shared" si="162"/>
        <v>1.5666920204454773</v>
      </c>
      <c r="E432" s="338">
        <f t="shared" si="163"/>
        <v>1.0059321616983743</v>
      </c>
      <c r="F432" s="339">
        <f t="shared" si="164"/>
        <v>0.10865527076451577</v>
      </c>
      <c r="G432" s="338">
        <f t="shared" si="165"/>
        <v>1</v>
      </c>
      <c r="H432" s="339">
        <f t="shared" si="166"/>
        <v>0</v>
      </c>
      <c r="I432" s="337">
        <f t="shared" si="167"/>
        <v>143190.0451642056</v>
      </c>
      <c r="J432" s="340">
        <f t="shared" si="168"/>
        <v>1.5707893430691853</v>
      </c>
      <c r="K432" s="348">
        <f t="shared" si="184"/>
        <v>70.672269123599136</v>
      </c>
      <c r="L432" s="349">
        <f t="shared" si="185"/>
        <v>1.5566460329811642</v>
      </c>
      <c r="M432" s="337">
        <f t="shared" si="169"/>
        <v>1.0098970367409337</v>
      </c>
      <c r="N432" s="340">
        <f t="shared" si="170"/>
        <v>0.14011491077352556</v>
      </c>
      <c r="O432" s="341">
        <f t="shared" si="171"/>
        <v>0.98122808405137918</v>
      </c>
      <c r="P432" s="342">
        <f t="shared" si="172"/>
        <v>6.6363144074266911E-2</v>
      </c>
      <c r="Q432" s="343">
        <f t="shared" si="173"/>
        <v>-17.009784439552035</v>
      </c>
      <c r="R432" s="344">
        <f t="shared" si="174"/>
        <v>-96.1800253228309</v>
      </c>
      <c r="S432" s="346">
        <f t="shared" si="175"/>
        <v>83.8199746771691</v>
      </c>
      <c r="U432" s="319">
        <f t="shared" si="181"/>
        <v>43403.5</v>
      </c>
      <c r="V432" s="319">
        <f t="shared" si="182"/>
        <v>1883863812.25</v>
      </c>
      <c r="X432" s="345">
        <f t="shared" si="176"/>
        <v>31.488406636177796</v>
      </c>
      <c r="Y432" s="346">
        <f t="shared" si="177"/>
        <v>-8.8383450206628122</v>
      </c>
      <c r="AA432" s="345">
        <f t="shared" si="178"/>
        <v>0.2497757282198117</v>
      </c>
      <c r="AB432" s="346">
        <f t="shared" si="179"/>
        <v>-87.341680302168101</v>
      </c>
      <c r="AD432">
        <f t="shared" si="183"/>
        <v>0</v>
      </c>
      <c r="AE432">
        <f t="shared" si="186"/>
        <v>0</v>
      </c>
    </row>
    <row r="433" spans="1:31" x14ac:dyDescent="0.2">
      <c r="A433" s="347">
        <v>43652</v>
      </c>
      <c r="B433" s="364">
        <f t="shared" si="180"/>
        <v>43.652000000000001</v>
      </c>
      <c r="C433" s="337">
        <f t="shared" si="161"/>
        <v>245.04215489101387</v>
      </c>
      <c r="D433" s="338">
        <f t="shared" si="162"/>
        <v>1.566715384982533</v>
      </c>
      <c r="E433" s="338">
        <f t="shared" si="163"/>
        <v>1.0060000803374671</v>
      </c>
      <c r="F433" s="339">
        <f t="shared" si="164"/>
        <v>0.10927243332301695</v>
      </c>
      <c r="G433" s="338">
        <f t="shared" si="165"/>
        <v>1</v>
      </c>
      <c r="H433" s="339">
        <f t="shared" si="166"/>
        <v>0</v>
      </c>
      <c r="I433" s="337">
        <f t="shared" si="167"/>
        <v>144009.8575346728</v>
      </c>
      <c r="J433" s="340">
        <f t="shared" si="168"/>
        <v>1.5707893828258022</v>
      </c>
      <c r="K433" s="348">
        <f t="shared" si="184"/>
        <v>71.076811445141615</v>
      </c>
      <c r="L433" s="349">
        <f t="shared" si="185"/>
        <v>1.5567265764303484</v>
      </c>
      <c r="M433" s="337">
        <f t="shared" si="169"/>
        <v>1.0100101258250422</v>
      </c>
      <c r="N433" s="340">
        <f t="shared" si="170"/>
        <v>0.14090657014478375</v>
      </c>
      <c r="O433" s="341">
        <f t="shared" si="171"/>
        <v>0.98101302501945409</v>
      </c>
      <c r="P433" s="342">
        <f t="shared" si="172"/>
        <v>6.67583129442261E-2</v>
      </c>
      <c r="Q433" s="343">
        <f t="shared" si="173"/>
        <v>-17.057863613881938</v>
      </c>
      <c r="R433" s="344">
        <f t="shared" si="174"/>
        <v>-96.209390929761767</v>
      </c>
      <c r="S433" s="346">
        <f t="shared" si="175"/>
        <v>83.790609070238233</v>
      </c>
      <c r="U433" s="319">
        <f t="shared" si="181"/>
        <v>43652</v>
      </c>
      <c r="V433" s="319">
        <f t="shared" si="182"/>
        <v>1905497104</v>
      </c>
      <c r="X433" s="345">
        <f t="shared" si="176"/>
        <v>31.487424165806416</v>
      </c>
      <c r="Y433" s="346">
        <f t="shared" si="177"/>
        <v>-8.8790912396751249</v>
      </c>
      <c r="AA433" s="345">
        <f t="shared" si="178"/>
        <v>0.20267902426129358</v>
      </c>
      <c r="AB433" s="346">
        <f t="shared" si="179"/>
        <v>-87.330299690086662</v>
      </c>
      <c r="AD433">
        <f t="shared" si="183"/>
        <v>0</v>
      </c>
      <c r="AE433">
        <f t="shared" si="186"/>
        <v>0</v>
      </c>
    </row>
    <row r="434" spans="1:31" x14ac:dyDescent="0.2">
      <c r="A434" s="347">
        <v>43906</v>
      </c>
      <c r="B434" s="364">
        <f t="shared" si="180"/>
        <v>43.905999999999999</v>
      </c>
      <c r="C434" s="337">
        <f t="shared" si="161"/>
        <v>246.46796983154829</v>
      </c>
      <c r="D434" s="338">
        <f t="shared" si="162"/>
        <v>1.5667389933233389</v>
      </c>
      <c r="E434" s="338">
        <f t="shared" si="163"/>
        <v>1.006069898141793</v>
      </c>
      <c r="F434" s="339">
        <f t="shared" si="164"/>
        <v>0.10990316905380974</v>
      </c>
      <c r="G434" s="338">
        <f t="shared" si="165"/>
        <v>1</v>
      </c>
      <c r="H434" s="339">
        <f t="shared" si="166"/>
        <v>0</v>
      </c>
      <c r="I434" s="337">
        <f t="shared" si="167"/>
        <v>144847.81464573409</v>
      </c>
      <c r="J434" s="340">
        <f t="shared" si="168"/>
        <v>1.5707894229972628</v>
      </c>
      <c r="K434" s="348">
        <f t="shared" si="184"/>
        <v>71.4903078907371</v>
      </c>
      <c r="L434" s="349">
        <f t="shared" si="185"/>
        <v>1.5568079605023426</v>
      </c>
      <c r="M434" s="337">
        <f t="shared" si="169"/>
        <v>1.0101263719067466</v>
      </c>
      <c r="N434" s="340">
        <f t="shared" si="170"/>
        <v>0.14171556744245625</v>
      </c>
      <c r="O434" s="341">
        <f t="shared" si="171"/>
        <v>0.98079194954740334</v>
      </c>
      <c r="P434" s="342">
        <f t="shared" si="172"/>
        <v>6.7162504075100132E-2</v>
      </c>
      <c r="Q434" s="343">
        <f t="shared" si="173"/>
        <v>-17.106706449057839</v>
      </c>
      <c r="R434" s="344">
        <f t="shared" si="174"/>
        <v>-96.239455007243208</v>
      </c>
      <c r="S434" s="346">
        <f t="shared" si="175"/>
        <v>83.760544992756792</v>
      </c>
      <c r="U434" s="319">
        <f t="shared" si="181"/>
        <v>43906</v>
      </c>
      <c r="V434" s="319">
        <f t="shared" si="182"/>
        <v>1927736836</v>
      </c>
      <c r="X434" s="345">
        <f t="shared" si="176"/>
        <v>31.48641461206099</v>
      </c>
      <c r="Y434" s="346">
        <f t="shared" si="177"/>
        <v>-8.920782708327172</v>
      </c>
      <c r="AA434" s="345">
        <f t="shared" si="178"/>
        <v>0.15484574283081312</v>
      </c>
      <c r="AB434" s="346">
        <f t="shared" si="179"/>
        <v>-87.318672298916042</v>
      </c>
      <c r="AD434">
        <f t="shared" si="183"/>
        <v>0</v>
      </c>
      <c r="AE434">
        <f t="shared" si="186"/>
        <v>0</v>
      </c>
    </row>
    <row r="435" spans="1:31" x14ac:dyDescent="0.2">
      <c r="A435" s="347">
        <v>44160</v>
      </c>
      <c r="B435" s="364">
        <f t="shared" si="180"/>
        <v>44.16</v>
      </c>
      <c r="C435" s="337">
        <f t="shared" si="161"/>
        <v>247.89378490787237</v>
      </c>
      <c r="D435" s="338">
        <f t="shared" si="162"/>
        <v>1.5667623300871332</v>
      </c>
      <c r="E435" s="338">
        <f t="shared" si="163"/>
        <v>1.0061401161328141</v>
      </c>
      <c r="F435" s="339">
        <f t="shared" si="164"/>
        <v>0.11053381699803086</v>
      </c>
      <c r="G435" s="338">
        <f t="shared" si="165"/>
        <v>1</v>
      </c>
      <c r="H435" s="339">
        <f t="shared" si="166"/>
        <v>0</v>
      </c>
      <c r="I435" s="337">
        <f t="shared" si="167"/>
        <v>145685.77175679564</v>
      </c>
      <c r="J435" s="340">
        <f t="shared" si="168"/>
        <v>1.5707894627066061</v>
      </c>
      <c r="K435" s="348">
        <f t="shared" si="184"/>
        <v>71.903804804393161</v>
      </c>
      <c r="L435" s="349">
        <f t="shared" si="185"/>
        <v>1.5568884085447703</v>
      </c>
      <c r="M435" s="337">
        <f t="shared" si="169"/>
        <v>1.010243278940157</v>
      </c>
      <c r="N435" s="340">
        <f t="shared" si="170"/>
        <v>0.14252437803234747</v>
      </c>
      <c r="O435" s="341">
        <f t="shared" si="171"/>
        <v>0.9805696039624987</v>
      </c>
      <c r="P435" s="342">
        <f t="shared" si="172"/>
        <v>6.7566976108661955E-2</v>
      </c>
      <c r="Q435" s="343">
        <f t="shared" si="173"/>
        <v>-17.155248893307199</v>
      </c>
      <c r="R435" s="344">
        <f t="shared" si="174"/>
        <v>-96.269567555345077</v>
      </c>
      <c r="S435" s="346">
        <f t="shared" si="175"/>
        <v>83.730432444654923</v>
      </c>
      <c r="U435" s="319">
        <f t="shared" si="181"/>
        <v>44160</v>
      </c>
      <c r="V435" s="319">
        <f t="shared" si="182"/>
        <v>1950105600</v>
      </c>
      <c r="X435" s="345">
        <f t="shared" si="176"/>
        <v>31.485399661221678</v>
      </c>
      <c r="Y435" s="346">
        <f t="shared" si="177"/>
        <v>-8.9625170834777084</v>
      </c>
      <c r="AA435" s="345">
        <f t="shared" si="178"/>
        <v>0.10731824942076898</v>
      </c>
      <c r="AB435" s="346">
        <f t="shared" si="179"/>
        <v>-87.30705047186737</v>
      </c>
      <c r="AD435">
        <f t="shared" si="183"/>
        <v>0</v>
      </c>
      <c r="AE435">
        <f t="shared" si="186"/>
        <v>0</v>
      </c>
    </row>
    <row r="436" spans="1:31" x14ac:dyDescent="0.2">
      <c r="A436" s="347">
        <v>44414</v>
      </c>
      <c r="B436" s="364">
        <f t="shared" si="180"/>
        <v>44.414000000000001</v>
      </c>
      <c r="C436" s="337">
        <f t="shared" si="161"/>
        <v>249.31960011765634</v>
      </c>
      <c r="D436" s="338">
        <f t="shared" si="162"/>
        <v>1.5667853999331944</v>
      </c>
      <c r="E436" s="338">
        <f t="shared" si="163"/>
        <v>1.0062107342267494</v>
      </c>
      <c r="F436" s="339">
        <f t="shared" si="164"/>
        <v>0.11116437667247288</v>
      </c>
      <c r="G436" s="338">
        <f t="shared" si="165"/>
        <v>1</v>
      </c>
      <c r="H436" s="339">
        <f t="shared" si="166"/>
        <v>0</v>
      </c>
      <c r="I436" s="337">
        <f t="shared" si="167"/>
        <v>146523.72886785743</v>
      </c>
      <c r="J436" s="340">
        <f t="shared" si="168"/>
        <v>1.5707895019617606</v>
      </c>
      <c r="K436" s="348">
        <f t="shared" si="184"/>
        <v>72.317302178080951</v>
      </c>
      <c r="L436" s="349">
        <f t="shared" si="185"/>
        <v>1.5569679366127291</v>
      </c>
      <c r="M436" s="337">
        <f t="shared" si="169"/>
        <v>1.0103608466958407</v>
      </c>
      <c r="N436" s="340">
        <f t="shared" si="170"/>
        <v>0.14333300092124601</v>
      </c>
      <c r="O436" s="341">
        <f t="shared" si="171"/>
        <v>0.98034598849096954</v>
      </c>
      <c r="P436" s="342">
        <f t="shared" si="172"/>
        <v>6.7971730874166775E-2</v>
      </c>
      <c r="Q436" s="343">
        <f t="shared" si="173"/>
        <v>-17.20349427637839</v>
      </c>
      <c r="R436" s="344">
        <f t="shared" si="174"/>
        <v>-96.299727997176788</v>
      </c>
      <c r="S436" s="346">
        <f t="shared" si="175"/>
        <v>83.700272002823212</v>
      </c>
      <c r="U436" s="319">
        <f t="shared" si="181"/>
        <v>44414</v>
      </c>
      <c r="V436" s="319">
        <f t="shared" si="182"/>
        <v>1972603396</v>
      </c>
      <c r="X436" s="345">
        <f t="shared" si="176"/>
        <v>31.484379313315788</v>
      </c>
      <c r="Y436" s="346">
        <f t="shared" si="177"/>
        <v>-9.0042933887848005</v>
      </c>
      <c r="AA436" s="345">
        <f t="shared" si="178"/>
        <v>6.0093214255467195E-2</v>
      </c>
      <c r="AB436" s="346">
        <f t="shared" si="179"/>
        <v>-87.295434608391986</v>
      </c>
      <c r="AD436">
        <f t="shared" si="183"/>
        <v>0</v>
      </c>
      <c r="AE436">
        <f t="shared" si="186"/>
        <v>0</v>
      </c>
    </row>
    <row r="437" spans="1:31" x14ac:dyDescent="0.2">
      <c r="A437" s="347">
        <v>44668</v>
      </c>
      <c r="B437" s="364">
        <f t="shared" si="180"/>
        <v>44.667999999999999</v>
      </c>
      <c r="C437" s="337">
        <f t="shared" si="161"/>
        <v>250.7454154586236</v>
      </c>
      <c r="D437" s="338">
        <f t="shared" si="162"/>
        <v>1.5668082074148264</v>
      </c>
      <c r="E437" s="338">
        <f t="shared" si="163"/>
        <v>1.006281752339365</v>
      </c>
      <c r="F437" s="339">
        <f t="shared" si="164"/>
        <v>0.11179484759434445</v>
      </c>
      <c r="G437" s="338">
        <f t="shared" si="165"/>
        <v>1</v>
      </c>
      <c r="H437" s="339">
        <f t="shared" si="166"/>
        <v>0</v>
      </c>
      <c r="I437" s="337">
        <f t="shared" si="167"/>
        <v>147361.68597891941</v>
      </c>
      <c r="J437" s="340">
        <f t="shared" si="168"/>
        <v>1.5707895407704739</v>
      </c>
      <c r="K437" s="348">
        <f t="shared" si="184"/>
        <v>72.730800003954187</v>
      </c>
      <c r="L437" s="349">
        <f t="shared" si="185"/>
        <v>1.5570465603962507</v>
      </c>
      <c r="M437" s="337">
        <f t="shared" si="169"/>
        <v>1.0104790749431753</v>
      </c>
      <c r="N437" s="340">
        <f t="shared" si="170"/>
        <v>0.1441414351173835</v>
      </c>
      <c r="O437" s="341">
        <f t="shared" si="171"/>
        <v>0.98012110336060665</v>
      </c>
      <c r="P437" s="342">
        <f t="shared" si="172"/>
        <v>6.8376770204575138E-2</v>
      </c>
      <c r="Q437" s="343">
        <f t="shared" si="173"/>
        <v>-17.25144587082481</v>
      </c>
      <c r="R437" s="344">
        <f t="shared" si="174"/>
        <v>-96.329935770953441</v>
      </c>
      <c r="S437" s="346">
        <f t="shared" si="175"/>
        <v>83.670064229046559</v>
      </c>
      <c r="U437" s="319">
        <f t="shared" si="181"/>
        <v>44668</v>
      </c>
      <c r="V437" s="319">
        <f t="shared" si="182"/>
        <v>1995230224</v>
      </c>
      <c r="X437" s="345">
        <f t="shared" si="176"/>
        <v>31.48335356850048</v>
      </c>
      <c r="Y437" s="346">
        <f t="shared" si="177"/>
        <v>-9.0461106688956701</v>
      </c>
      <c r="AA437" s="345">
        <f t="shared" si="178"/>
        <v>1.3167364624352347E-2</v>
      </c>
      <c r="AB437" s="346">
        <f t="shared" si="179"/>
        <v>-87.28382510205779</v>
      </c>
      <c r="AD437">
        <f t="shared" si="183"/>
        <v>0</v>
      </c>
      <c r="AE437">
        <f t="shared" si="186"/>
        <v>0</v>
      </c>
    </row>
    <row r="438" spans="1:31" x14ac:dyDescent="0.2">
      <c r="A438" s="347">
        <v>44928.25</v>
      </c>
      <c r="B438" s="364">
        <f t="shared" si="180"/>
        <v>44.928249999999998</v>
      </c>
      <c r="C438" s="337">
        <f t="shared" si="161"/>
        <v>252.20631497223093</v>
      </c>
      <c r="D438" s="338">
        <f t="shared" si="162"/>
        <v>1.5668313086297365</v>
      </c>
      <c r="E438" s="338">
        <f t="shared" si="163"/>
        <v>1.0063549327605952</v>
      </c>
      <c r="F438" s="339">
        <f t="shared" si="164"/>
        <v>0.11244073951269259</v>
      </c>
      <c r="G438" s="338">
        <f t="shared" si="165"/>
        <v>1</v>
      </c>
      <c r="H438" s="339">
        <f t="shared" si="166"/>
        <v>0</v>
      </c>
      <c r="I438" s="337">
        <f t="shared" si="167"/>
        <v>148220.26211338374</v>
      </c>
      <c r="J438" s="340">
        <f t="shared" si="168"/>
        <v>1.5707895800789906</v>
      </c>
      <c r="K438" s="348">
        <f t="shared" si="184"/>
        <v>73.154472942048528</v>
      </c>
      <c r="L438" s="349">
        <f t="shared" si="185"/>
        <v>1.5571261969194519</v>
      </c>
      <c r="M438" s="337">
        <f t="shared" si="169"/>
        <v>1.0106008971777118</v>
      </c>
      <c r="N438" s="340">
        <f t="shared" si="170"/>
        <v>0.14496956513722736</v>
      </c>
      <c r="O438" s="341">
        <f t="shared" si="171"/>
        <v>0.97988936797367887</v>
      </c>
      <c r="P438" s="342">
        <f t="shared" si="172"/>
        <v>6.8792073128814357E-2</v>
      </c>
      <c r="Q438" s="343">
        <f t="shared" si="173"/>
        <v>-17.300276018777431</v>
      </c>
      <c r="R438" s="344">
        <f t="shared" si="174"/>
        <v>-96.360935367502961</v>
      </c>
      <c r="S438" s="346">
        <f t="shared" si="175"/>
        <v>83.639064632497039</v>
      </c>
      <c r="U438" s="319">
        <f t="shared" si="181"/>
        <v>44928.25</v>
      </c>
      <c r="V438" s="319">
        <f t="shared" si="182"/>
        <v>2018547648.0625</v>
      </c>
      <c r="X438" s="345">
        <f t="shared" si="176"/>
        <v>31.482296986458106</v>
      </c>
      <c r="Y438" s="346">
        <f t="shared" si="177"/>
        <v>-9.0889984395073924</v>
      </c>
      <c r="AA438" s="345">
        <f t="shared" si="178"/>
        <v>-3.4606201285893257E-2</v>
      </c>
      <c r="AB438" s="346">
        <f t="shared" si="179"/>
        <v>-87.271936927995569</v>
      </c>
      <c r="AD438">
        <f t="shared" si="183"/>
        <v>0</v>
      </c>
      <c r="AE438">
        <f t="shared" si="186"/>
        <v>0</v>
      </c>
    </row>
    <row r="439" spans="1:31" x14ac:dyDescent="0.2">
      <c r="A439" s="347">
        <v>45188.5</v>
      </c>
      <c r="B439" s="364">
        <f t="shared" si="180"/>
        <v>45.188499999999998</v>
      </c>
      <c r="C439" s="337">
        <f t="shared" si="161"/>
        <v>253.6672146188819</v>
      </c>
      <c r="D439" s="338">
        <f t="shared" si="162"/>
        <v>1.5668541437593726</v>
      </c>
      <c r="E439" s="338">
        <f t="shared" si="163"/>
        <v>1.0064285329481675</v>
      </c>
      <c r="F439" s="339">
        <f t="shared" si="164"/>
        <v>0.11308653723217904</v>
      </c>
      <c r="G439" s="338">
        <f t="shared" si="165"/>
        <v>1</v>
      </c>
      <c r="H439" s="339">
        <f t="shared" si="166"/>
        <v>0</v>
      </c>
      <c r="I439" s="337">
        <f t="shared" si="167"/>
        <v>149078.8382478483</v>
      </c>
      <c r="J439" s="340">
        <f t="shared" si="168"/>
        <v>1.570789618934735</v>
      </c>
      <c r="K439" s="348">
        <f t="shared" si="184"/>
        <v>73.578146338743863</v>
      </c>
      <c r="L439" s="349">
        <f t="shared" si="185"/>
        <v>1.5572049163263686</v>
      </c>
      <c r="M439" s="337">
        <f t="shared" si="169"/>
        <v>1.0107234123143181</v>
      </c>
      <c r="N439" s="340">
        <f t="shared" si="170"/>
        <v>0.14579749496070118</v>
      </c>
      <c r="O439" s="341">
        <f t="shared" si="171"/>
        <v>0.97965630016517458</v>
      </c>
      <c r="P439" s="342">
        <f t="shared" si="172"/>
        <v>6.9207678702370823E-2</v>
      </c>
      <c r="Q439" s="343">
        <f t="shared" si="173"/>
        <v>-17.348804519308281</v>
      </c>
      <c r="R439" s="344">
        <f t="shared" si="174"/>
        <v>-96.391983506758507</v>
      </c>
      <c r="S439" s="346">
        <f t="shared" si="175"/>
        <v>83.608016493241493</v>
      </c>
      <c r="U439" s="319">
        <f t="shared" si="181"/>
        <v>45188.5</v>
      </c>
      <c r="V439" s="319">
        <f t="shared" si="182"/>
        <v>2042000532.25</v>
      </c>
      <c r="X439" s="345">
        <f t="shared" si="176"/>
        <v>31.481234739378504</v>
      </c>
      <c r="Y439" s="346">
        <f t="shared" si="177"/>
        <v>-9.1319272606625752</v>
      </c>
      <c r="AA439" s="345">
        <f t="shared" si="178"/>
        <v>-8.2072454737144113E-2</v>
      </c>
      <c r="AB439" s="346">
        <f t="shared" si="179"/>
        <v>-87.260056246095928</v>
      </c>
      <c r="AD439">
        <f t="shared" si="183"/>
        <v>0</v>
      </c>
      <c r="AE439">
        <f t="shared" si="186"/>
        <v>0</v>
      </c>
    </row>
    <row r="440" spans="1:31" x14ac:dyDescent="0.2">
      <c r="A440" s="347">
        <v>45448.75</v>
      </c>
      <c r="B440" s="364">
        <f t="shared" si="180"/>
        <v>45.448749999999997</v>
      </c>
      <c r="C440" s="337">
        <f t="shared" si="161"/>
        <v>255.1281143962911</v>
      </c>
      <c r="D440" s="338">
        <f t="shared" si="162"/>
        <v>1.5668767173746365</v>
      </c>
      <c r="E440" s="338">
        <f t="shared" si="163"/>
        <v>1.0065025528099958</v>
      </c>
      <c r="F440" s="339">
        <f t="shared" si="164"/>
        <v>0.11373224023486202</v>
      </c>
      <c r="G440" s="338">
        <f t="shared" si="165"/>
        <v>1</v>
      </c>
      <c r="H440" s="339">
        <f t="shared" si="166"/>
        <v>0</v>
      </c>
      <c r="I440" s="337">
        <f t="shared" si="167"/>
        <v>149937.41438231309</v>
      </c>
      <c r="J440" s="340">
        <f t="shared" si="168"/>
        <v>1.5707896573454858</v>
      </c>
      <c r="K440" s="348">
        <f t="shared" si="184"/>
        <v>74.001820186163485</v>
      </c>
      <c r="L440" s="349">
        <f t="shared" si="185"/>
        <v>1.5572827343679883</v>
      </c>
      <c r="M440" s="337">
        <f t="shared" si="169"/>
        <v>1.0108466201010537</v>
      </c>
      <c r="N440" s="340">
        <f t="shared" si="170"/>
        <v>0.14662522352576551</v>
      </c>
      <c r="O440" s="341">
        <f t="shared" si="171"/>
        <v>0.97942190018524877</v>
      </c>
      <c r="P440" s="342">
        <f t="shared" si="172"/>
        <v>6.9623588909147341E-2</v>
      </c>
      <c r="Q440" s="343">
        <f t="shared" si="173"/>
        <v>-17.397034714103551</v>
      </c>
      <c r="R440" s="344">
        <f t="shared" si="174"/>
        <v>-96.423079631088797</v>
      </c>
      <c r="S440" s="346">
        <f t="shared" si="175"/>
        <v>83.576920368911203</v>
      </c>
      <c r="U440" s="319">
        <f t="shared" si="181"/>
        <v>45448.75</v>
      </c>
      <c r="V440" s="319">
        <f t="shared" si="182"/>
        <v>2065588876.5625</v>
      </c>
      <c r="X440" s="345">
        <f t="shared" si="176"/>
        <v>31.480166827830587</v>
      </c>
      <c r="Y440" s="346">
        <f t="shared" si="177"/>
        <v>-9.1748961694914009</v>
      </c>
      <c r="AA440" s="345">
        <f t="shared" si="178"/>
        <v>-0.12923473798449453</v>
      </c>
      <c r="AB440" s="346">
        <f t="shared" si="179"/>
        <v>-87.248183461597392</v>
      </c>
      <c r="AD440">
        <f t="shared" si="183"/>
        <v>0</v>
      </c>
      <c r="AE440">
        <f t="shared" si="186"/>
        <v>0</v>
      </c>
    </row>
    <row r="441" spans="1:31" x14ac:dyDescent="0.2">
      <c r="A441" s="347">
        <v>45709</v>
      </c>
      <c r="B441" s="364">
        <f t="shared" si="180"/>
        <v>45.709000000000003</v>
      </c>
      <c r="C441" s="337">
        <f t="shared" si="161"/>
        <v>256.58901430222505</v>
      </c>
      <c r="D441" s="338">
        <f t="shared" si="162"/>
        <v>1.566899033942333</v>
      </c>
      <c r="E441" s="338">
        <f t="shared" si="163"/>
        <v>1.0065769922534964</v>
      </c>
      <c r="F441" s="339">
        <f t="shared" si="164"/>
        <v>0.11437784800326754</v>
      </c>
      <c r="G441" s="338">
        <f t="shared" si="165"/>
        <v>1</v>
      </c>
      <c r="H441" s="339">
        <f t="shared" si="166"/>
        <v>0</v>
      </c>
      <c r="I441" s="337">
        <f t="shared" si="167"/>
        <v>150795.99051677808</v>
      </c>
      <c r="J441" s="340">
        <f t="shared" si="168"/>
        <v>1.5707896953188436</v>
      </c>
      <c r="K441" s="348">
        <f t="shared" si="184"/>
        <v>74.425494476610012</v>
      </c>
      <c r="L441" s="349">
        <f t="shared" si="185"/>
        <v>1.557359666436686</v>
      </c>
      <c r="M441" s="337">
        <f t="shared" si="169"/>
        <v>1.0109705202846777</v>
      </c>
      <c r="N441" s="340">
        <f t="shared" si="170"/>
        <v>0.14745274977200024</v>
      </c>
      <c r="O441" s="341">
        <f t="shared" si="171"/>
        <v>0.97918616828579863</v>
      </c>
      <c r="P441" s="342">
        <f t="shared" si="172"/>
        <v>7.00398057372488E-2</v>
      </c>
      <c r="Q441" s="343">
        <f t="shared" si="173"/>
        <v>-17.44496988735969</v>
      </c>
      <c r="R441" s="344">
        <f t="shared" si="174"/>
        <v>-96.454223197741754</v>
      </c>
      <c r="S441" s="346">
        <f t="shared" si="175"/>
        <v>83.545776802258246</v>
      </c>
      <c r="U441" s="319">
        <f t="shared" si="181"/>
        <v>45709</v>
      </c>
      <c r="V441" s="319">
        <f t="shared" si="182"/>
        <v>2089312681</v>
      </c>
      <c r="X441" s="345">
        <f t="shared" si="176"/>
        <v>31.479093252510467</v>
      </c>
      <c r="Y441" s="346">
        <f t="shared" si="177"/>
        <v>-9.2179042237536422</v>
      </c>
      <c r="AA441" s="345">
        <f t="shared" si="178"/>
        <v>-0.1760963359205116</v>
      </c>
      <c r="AB441" s="346">
        <f t="shared" si="179"/>
        <v>-87.236318973988091</v>
      </c>
      <c r="AD441">
        <f t="shared" si="183"/>
        <v>0</v>
      </c>
      <c r="AE441">
        <f t="shared" si="186"/>
        <v>0</v>
      </c>
    </row>
    <row r="442" spans="1:31" x14ac:dyDescent="0.2">
      <c r="A442" s="347">
        <v>45975.25</v>
      </c>
      <c r="B442" s="364">
        <f t="shared" si="180"/>
        <v>45.975250000000003</v>
      </c>
      <c r="C442" s="337">
        <f t="shared" si="161"/>
        <v>258.08359502836066</v>
      </c>
      <c r="D442" s="338">
        <f t="shared" si="162"/>
        <v>1.5669216035598099</v>
      </c>
      <c r="E442" s="338">
        <f t="shared" si="163"/>
        <v>1.0066535819862743</v>
      </c>
      <c r="F442" s="339">
        <f t="shared" si="164"/>
        <v>0.11503824100850726</v>
      </c>
      <c r="G442" s="338">
        <f t="shared" si="165"/>
        <v>1</v>
      </c>
      <c r="H442" s="339">
        <f t="shared" si="166"/>
        <v>0</v>
      </c>
      <c r="I442" s="337">
        <f t="shared" si="167"/>
        <v>151674.36091370936</v>
      </c>
      <c r="J442" s="340">
        <f t="shared" si="168"/>
        <v>1.5707897337227783</v>
      </c>
      <c r="K442" s="348">
        <f t="shared" si="184"/>
        <v>74.858936924662302</v>
      </c>
      <c r="L442" s="349">
        <f t="shared" si="185"/>
        <v>1.5574374709939243</v>
      </c>
      <c r="M442" s="337">
        <f t="shared" si="169"/>
        <v>1.0110979932167032</v>
      </c>
      <c r="N442" s="340">
        <f t="shared" si="170"/>
        <v>0.14829914395981858</v>
      </c>
      <c r="O442" s="341">
        <f t="shared" si="171"/>
        <v>0.97894362357554832</v>
      </c>
      <c r="P442" s="342">
        <f t="shared" si="172"/>
        <v>7.0465937726435335E-2</v>
      </c>
      <c r="Q442" s="343">
        <f t="shared" si="173"/>
        <v>-17.493708257716566</v>
      </c>
      <c r="R442" s="344">
        <f t="shared" si="174"/>
        <v>-96.486133316473655</v>
      </c>
      <c r="S442" s="346">
        <f t="shared" si="175"/>
        <v>83.513866683526345</v>
      </c>
      <c r="U442" s="319">
        <f t="shared" si="181"/>
        <v>45975.25</v>
      </c>
      <c r="V442" s="319">
        <f t="shared" si="182"/>
        <v>2113723612.5625</v>
      </c>
      <c r="X442" s="345">
        <f t="shared" si="176"/>
        <v>31.477989065887073</v>
      </c>
      <c r="Y442" s="346">
        <f t="shared" si="177"/>
        <v>-9.2619433661971069</v>
      </c>
      <c r="AA442" s="345">
        <f t="shared" si="178"/>
        <v>-0.22373051965399252</v>
      </c>
      <c r="AB442" s="346">
        <f t="shared" si="179"/>
        <v>-87.224189950276596</v>
      </c>
      <c r="AD442">
        <f t="shared" si="183"/>
        <v>0</v>
      </c>
      <c r="AE442">
        <f t="shared" si="186"/>
        <v>0</v>
      </c>
    </row>
    <row r="443" spans="1:31" x14ac:dyDescent="0.2">
      <c r="A443" s="347">
        <v>46241.5</v>
      </c>
      <c r="B443" s="364">
        <f t="shared" si="180"/>
        <v>46.241500000000002</v>
      </c>
      <c r="C443" s="337">
        <f t="shared" si="161"/>
        <v>259.57817588444686</v>
      </c>
      <c r="D443" s="338">
        <f t="shared" si="162"/>
        <v>1.5669439132778049</v>
      </c>
      <c r="E443" s="338">
        <f t="shared" si="163"/>
        <v>1.0067306106728156</v>
      </c>
      <c r="F443" s="339">
        <f t="shared" si="164"/>
        <v>0.1156985332434483</v>
      </c>
      <c r="G443" s="338">
        <f t="shared" si="165"/>
        <v>1</v>
      </c>
      <c r="H443" s="339">
        <f t="shared" si="166"/>
        <v>0</v>
      </c>
      <c r="I443" s="337">
        <f t="shared" si="167"/>
        <v>152552.73131064087</v>
      </c>
      <c r="J443" s="340">
        <f t="shared" si="168"/>
        <v>1.5707897716844674</v>
      </c>
      <c r="K443" s="348">
        <f t="shared" si="184"/>
        <v>75.29237982065932</v>
      </c>
      <c r="L443" s="349">
        <f t="shared" si="185"/>
        <v>1.557514379741644</v>
      </c>
      <c r="M443" s="337">
        <f t="shared" si="169"/>
        <v>1.0112261902993467</v>
      </c>
      <c r="N443" s="340">
        <f t="shared" si="170"/>
        <v>0.14914532415232296</v>
      </c>
      <c r="O443" s="341">
        <f t="shared" si="171"/>
        <v>0.97869968536264962</v>
      </c>
      <c r="P443" s="342">
        <f t="shared" si="172"/>
        <v>7.0892394861315489E-2</v>
      </c>
      <c r="Q443" s="343">
        <f t="shared" si="173"/>
        <v>-17.54214462176985</v>
      </c>
      <c r="R443" s="344">
        <f t="shared" si="174"/>
        <v>-96.518091986988608</v>
      </c>
      <c r="S443" s="346">
        <f t="shared" si="175"/>
        <v>83.481908013011392</v>
      </c>
      <c r="U443" s="319">
        <f t="shared" si="181"/>
        <v>46241.5</v>
      </c>
      <c r="V443" s="319">
        <f t="shared" si="182"/>
        <v>2138276322.25</v>
      </c>
      <c r="X443" s="345">
        <f t="shared" si="176"/>
        <v>31.47687895319336</v>
      </c>
      <c r="Y443" s="346">
        <f t="shared" si="177"/>
        <v>-9.3060215483781352</v>
      </c>
      <c r="AA443" s="345">
        <f t="shared" si="178"/>
        <v>-0.2710567710135659</v>
      </c>
      <c r="AB443" s="346">
        <f t="shared" si="179"/>
        <v>-87.212070438610482</v>
      </c>
      <c r="AD443">
        <f t="shared" si="183"/>
        <v>0</v>
      </c>
      <c r="AE443">
        <f t="shared" si="186"/>
        <v>0</v>
      </c>
    </row>
    <row r="444" spans="1:31" x14ac:dyDescent="0.2">
      <c r="A444" s="347">
        <v>46507.75</v>
      </c>
      <c r="B444" s="364">
        <f t="shared" si="180"/>
        <v>46.507750000000001</v>
      </c>
      <c r="C444" s="337">
        <f t="shared" si="161"/>
        <v>261.07275686825204</v>
      </c>
      <c r="D444" s="338">
        <f t="shared" si="162"/>
        <v>1.5669659675598879</v>
      </c>
      <c r="E444" s="338">
        <f t="shared" si="163"/>
        <v>1.0068080782123701</v>
      </c>
      <c r="F444" s="339">
        <f t="shared" si="164"/>
        <v>0.11635872415553002</v>
      </c>
      <c r="G444" s="338">
        <f t="shared" si="165"/>
        <v>1</v>
      </c>
      <c r="H444" s="339">
        <f t="shared" si="166"/>
        <v>0</v>
      </c>
      <c r="I444" s="337">
        <f t="shared" si="167"/>
        <v>153431.10170757255</v>
      </c>
      <c r="J444" s="340">
        <f t="shared" si="168"/>
        <v>1.5707898092115065</v>
      </c>
      <c r="K444" s="348">
        <f t="shared" si="184"/>
        <v>75.725823156909186</v>
      </c>
      <c r="L444" s="349">
        <f t="shared" si="185"/>
        <v>1.5575904080613685</v>
      </c>
      <c r="M444" s="337">
        <f t="shared" si="169"/>
        <v>1.0113551112572325</v>
      </c>
      <c r="N444" s="340">
        <f t="shared" si="170"/>
        <v>0.14999128921935606</v>
      </c>
      <c r="O444" s="341">
        <f t="shared" si="171"/>
        <v>0.978454353922524</v>
      </c>
      <c r="P444" s="342">
        <f t="shared" si="172"/>
        <v>7.1319179284547479E-2</v>
      </c>
      <c r="Q444" s="343">
        <f t="shared" si="173"/>
        <v>-17.590282317740797</v>
      </c>
      <c r="R444" s="344">
        <f t="shared" si="174"/>
        <v>-96.550098673840424</v>
      </c>
      <c r="S444" s="346">
        <f t="shared" si="175"/>
        <v>83.449901326159576</v>
      </c>
      <c r="U444" s="319">
        <f t="shared" si="181"/>
        <v>46507.75</v>
      </c>
      <c r="V444" s="319">
        <f t="shared" si="182"/>
        <v>2162970810.0625</v>
      </c>
      <c r="X444" s="345">
        <f t="shared" si="176"/>
        <v>31.475762915564758</v>
      </c>
      <c r="Y444" s="346">
        <f t="shared" si="177"/>
        <v>-9.350137824682303</v>
      </c>
      <c r="AA444" s="345">
        <f t="shared" si="178"/>
        <v>-0.31807842935591324</v>
      </c>
      <c r="AB444" s="346">
        <f t="shared" si="179"/>
        <v>-87.199960849158131</v>
      </c>
      <c r="AD444">
        <f t="shared" si="183"/>
        <v>0</v>
      </c>
      <c r="AE444">
        <f t="shared" si="186"/>
        <v>0</v>
      </c>
    </row>
    <row r="445" spans="1:31" x14ac:dyDescent="0.2">
      <c r="A445" s="347">
        <v>46774</v>
      </c>
      <c r="B445" s="364">
        <f t="shared" si="180"/>
        <v>46.774000000000001</v>
      </c>
      <c r="C445" s="337">
        <f t="shared" si="161"/>
        <v>262.56733797759512</v>
      </c>
      <c r="D445" s="338">
        <f t="shared" si="162"/>
        <v>1.5669877707680007</v>
      </c>
      <c r="E445" s="338">
        <f t="shared" si="163"/>
        <v>1.0068859845036444</v>
      </c>
      <c r="F445" s="339">
        <f t="shared" si="164"/>
        <v>0.11701881319271473</v>
      </c>
      <c r="G445" s="338">
        <f t="shared" si="165"/>
        <v>1</v>
      </c>
      <c r="H445" s="339">
        <f t="shared" si="166"/>
        <v>0</v>
      </c>
      <c r="I445" s="337">
        <f t="shared" si="167"/>
        <v>154309.4721045045</v>
      </c>
      <c r="J445" s="340">
        <f t="shared" si="168"/>
        <v>1.5707898463113179</v>
      </c>
      <c r="K445" s="348">
        <f t="shared" si="184"/>
        <v>76.159266925895082</v>
      </c>
      <c r="L445" s="349">
        <f t="shared" si="185"/>
        <v>1.5576655709845</v>
      </c>
      <c r="M445" s="337">
        <f t="shared" si="169"/>
        <v>1.0114847558135722</v>
      </c>
      <c r="N445" s="340">
        <f t="shared" si="170"/>
        <v>0.15083703803256676</v>
      </c>
      <c r="O445" s="341">
        <f t="shared" si="171"/>
        <v>0.97820762953252627</v>
      </c>
      <c r="P445" s="342">
        <f t="shared" si="172"/>
        <v>7.1746293143527512E-2</v>
      </c>
      <c r="Q445" s="343">
        <f t="shared" si="173"/>
        <v>-17.638124626416047</v>
      </c>
      <c r="R445" s="344">
        <f t="shared" si="174"/>
        <v>-96.582152856155815</v>
      </c>
      <c r="S445" s="346">
        <f t="shared" si="175"/>
        <v>83.417847143844185</v>
      </c>
      <c r="U445" s="319">
        <f t="shared" si="181"/>
        <v>46774</v>
      </c>
      <c r="V445" s="319">
        <f t="shared" si="182"/>
        <v>2187807076</v>
      </c>
      <c r="X445" s="345">
        <f t="shared" si="176"/>
        <v>31.474640954260803</v>
      </c>
      <c r="Y445" s="346">
        <f t="shared" si="177"/>
        <v>-9.394291269649246</v>
      </c>
      <c r="AA445" s="345">
        <f t="shared" si="178"/>
        <v>-0.36479877672720662</v>
      </c>
      <c r="AB445" s="346">
        <f t="shared" si="179"/>
        <v>-87.187861586506571</v>
      </c>
      <c r="AD445">
        <f t="shared" si="183"/>
        <v>0</v>
      </c>
      <c r="AE445">
        <f t="shared" si="186"/>
        <v>0</v>
      </c>
    </row>
    <row r="446" spans="1:31" x14ac:dyDescent="0.2">
      <c r="A446" s="347">
        <v>47046.25</v>
      </c>
      <c r="B446" s="364">
        <f t="shared" si="180"/>
        <v>47.046250000000001</v>
      </c>
      <c r="C446" s="337">
        <f t="shared" si="161"/>
        <v>264.0955999155866</v>
      </c>
      <c r="D446" s="338">
        <f t="shared" si="162"/>
        <v>1.5670098101322119</v>
      </c>
      <c r="E446" s="338">
        <f t="shared" si="163"/>
        <v>1.0069661000177252</v>
      </c>
      <c r="F446" s="339">
        <f t="shared" si="164"/>
        <v>0.11769367155680868</v>
      </c>
      <c r="G446" s="338">
        <f t="shared" si="165"/>
        <v>1</v>
      </c>
      <c r="H446" s="339">
        <f t="shared" si="166"/>
        <v>0</v>
      </c>
      <c r="I446" s="337">
        <f t="shared" si="167"/>
        <v>155207.63676390273</v>
      </c>
      <c r="J446" s="340">
        <f t="shared" si="168"/>
        <v>1.5707898838129606</v>
      </c>
      <c r="K446" s="348">
        <f t="shared" si="184"/>
        <v>76.602478881608349</v>
      </c>
      <c r="L446" s="349">
        <f t="shared" si="185"/>
        <v>1.5577415481544918</v>
      </c>
      <c r="M446" s="337">
        <f t="shared" si="169"/>
        <v>1.0116180698893884</v>
      </c>
      <c r="N446" s="340">
        <f t="shared" si="170"/>
        <v>0.15170162118159827</v>
      </c>
      <c r="O446" s="341">
        <f t="shared" si="171"/>
        <v>0.97795390505806545</v>
      </c>
      <c r="P446" s="342">
        <f t="shared" si="172"/>
        <v>7.2183375001018693E-2</v>
      </c>
      <c r="Q446" s="343">
        <f t="shared" si="173"/>
        <v>-17.686742983603633</v>
      </c>
      <c r="R446" s="344">
        <f t="shared" si="174"/>
        <v>-96.614977971433689</v>
      </c>
      <c r="S446" s="346">
        <f t="shared" si="175"/>
        <v>83.385022028566311</v>
      </c>
      <c r="U446" s="319">
        <f t="shared" si="181"/>
        <v>47046.25</v>
      </c>
      <c r="V446" s="319">
        <f t="shared" si="182"/>
        <v>2213349639.0625</v>
      </c>
      <c r="X446" s="345">
        <f t="shared" si="176"/>
        <v>31.473487585344021</v>
      </c>
      <c r="Y446" s="346">
        <f t="shared" si="177"/>
        <v>-9.4394772126844817</v>
      </c>
      <c r="AA446" s="345">
        <f t="shared" si="178"/>
        <v>-0.41226376499801198</v>
      </c>
      <c r="AB446" s="346">
        <f t="shared" si="179"/>
        <v>-87.175500758749209</v>
      </c>
      <c r="AD446">
        <f t="shared" si="183"/>
        <v>0</v>
      </c>
      <c r="AE446">
        <f t="shared" si="186"/>
        <v>0</v>
      </c>
    </row>
    <row r="447" spans="1:31" x14ac:dyDescent="0.2">
      <c r="A447" s="347">
        <v>47318.5</v>
      </c>
      <c r="B447" s="364">
        <f t="shared" si="180"/>
        <v>47.3185</v>
      </c>
      <c r="C447" s="337">
        <f t="shared" si="161"/>
        <v>265.62386198038217</v>
      </c>
      <c r="D447" s="338">
        <f t="shared" si="162"/>
        <v>1.5670315958902705</v>
      </c>
      <c r="E447" s="338">
        <f t="shared" si="163"/>
        <v>1.0070466740651245</v>
      </c>
      <c r="F447" s="339">
        <f t="shared" si="164"/>
        <v>0.1183684222370049</v>
      </c>
      <c r="G447" s="338">
        <f t="shared" si="165"/>
        <v>1</v>
      </c>
      <c r="H447" s="339">
        <f t="shared" si="166"/>
        <v>0</v>
      </c>
      <c r="I447" s="337">
        <f t="shared" si="167"/>
        <v>156105.80142330113</v>
      </c>
      <c r="J447" s="340">
        <f t="shared" si="168"/>
        <v>1.5707899208830671</v>
      </c>
      <c r="K447" s="348">
        <f t="shared" si="184"/>
        <v>77.045691274424286</v>
      </c>
      <c r="L447" s="349">
        <f t="shared" si="185"/>
        <v>1.5578166511936604</v>
      </c>
      <c r="M447" s="337">
        <f t="shared" si="169"/>
        <v>1.0117521399541713</v>
      </c>
      <c r="N447" s="340">
        <f t="shared" si="170"/>
        <v>0.15256597584000375</v>
      </c>
      <c r="O447" s="341">
        <f t="shared" si="171"/>
        <v>0.97769872473824437</v>
      </c>
      <c r="P447" s="342">
        <f t="shared" si="172"/>
        <v>7.2620805865813834E-2</v>
      </c>
      <c r="Q447" s="343">
        <f t="shared" si="173"/>
        <v>-17.735059249976526</v>
      </c>
      <c r="R447" s="344">
        <f t="shared" si="174"/>
        <v>-96.647851690360966</v>
      </c>
      <c r="S447" s="346">
        <f t="shared" si="175"/>
        <v>83.352148309639034</v>
      </c>
      <c r="U447" s="319">
        <f t="shared" si="181"/>
        <v>47318.5</v>
      </c>
      <c r="V447" s="319">
        <f t="shared" si="182"/>
        <v>2239040442.25</v>
      </c>
      <c r="X447" s="345">
        <f t="shared" si="176"/>
        <v>31.472328025806995</v>
      </c>
      <c r="Y447" s="346">
        <f t="shared" si="177"/>
        <v>-9.4847001234529493</v>
      </c>
      <c r="AA447" s="345">
        <f t="shared" si="178"/>
        <v>-0.45942047183388102</v>
      </c>
      <c r="AB447" s="346">
        <f t="shared" si="179"/>
        <v>-87.163151566908027</v>
      </c>
      <c r="AD447">
        <f t="shared" si="183"/>
        <v>0</v>
      </c>
      <c r="AE447">
        <f t="shared" si="186"/>
        <v>0</v>
      </c>
    </row>
    <row r="448" spans="1:31" x14ac:dyDescent="0.2">
      <c r="A448" s="347">
        <v>47590.75</v>
      </c>
      <c r="B448" s="364">
        <f t="shared" si="180"/>
        <v>47.59075</v>
      </c>
      <c r="C448" s="337">
        <f t="shared" si="161"/>
        <v>267.15212416980546</v>
      </c>
      <c r="D448" s="338">
        <f t="shared" si="162"/>
        <v>1.5670531323944699</v>
      </c>
      <c r="E448" s="338">
        <f t="shared" si="163"/>
        <v>1.0071277065357889</v>
      </c>
      <c r="F448" s="339">
        <f t="shared" si="164"/>
        <v>0.11904306464481042</v>
      </c>
      <c r="G448" s="338">
        <f t="shared" si="165"/>
        <v>1</v>
      </c>
      <c r="H448" s="339">
        <f t="shared" si="166"/>
        <v>0</v>
      </c>
      <c r="I448" s="337">
        <f t="shared" si="167"/>
        <v>157003.96608269977</v>
      </c>
      <c r="J448" s="340">
        <f t="shared" si="168"/>
        <v>1.5707899575290434</v>
      </c>
      <c r="K448" s="348">
        <f t="shared" si="184"/>
        <v>77.488904096842603</v>
      </c>
      <c r="L448" s="349">
        <f t="shared" si="185"/>
        <v>1.5578908951004338</v>
      </c>
      <c r="M448" s="337">
        <f t="shared" si="169"/>
        <v>1.0118869657074263</v>
      </c>
      <c r="N448" s="340">
        <f t="shared" si="170"/>
        <v>0.15343010080732841</v>
      </c>
      <c r="O448" s="341">
        <f t="shared" si="171"/>
        <v>0.97744208887590656</v>
      </c>
      <c r="P448" s="342">
        <f t="shared" si="172"/>
        <v>7.3058588049375289E-2</v>
      </c>
      <c r="Q448" s="343">
        <f t="shared" si="173"/>
        <v>-17.783076755238845</v>
      </c>
      <c r="R448" s="344">
        <f t="shared" si="174"/>
        <v>-96.680773500757681</v>
      </c>
      <c r="S448" s="346">
        <f t="shared" si="175"/>
        <v>83.319226499242319</v>
      </c>
      <c r="U448" s="319">
        <f t="shared" si="181"/>
        <v>47590.75</v>
      </c>
      <c r="V448" s="319">
        <f t="shared" si="182"/>
        <v>2264879485.5625</v>
      </c>
      <c r="X448" s="345">
        <f t="shared" si="176"/>
        <v>31.471162277376713</v>
      </c>
      <c r="Y448" s="346">
        <f t="shared" si="177"/>
        <v>-9.5299590742513498</v>
      </c>
      <c r="AA448" s="345">
        <f t="shared" si="178"/>
        <v>-0.50627222866591637</v>
      </c>
      <c r="AB448" s="346">
        <f t="shared" si="179"/>
        <v>-87.150814426506315</v>
      </c>
      <c r="AD448">
        <f t="shared" si="183"/>
        <v>0</v>
      </c>
      <c r="AE448">
        <f t="shared" si="186"/>
        <v>0</v>
      </c>
    </row>
    <row r="449" spans="1:31" x14ac:dyDescent="0.2">
      <c r="A449" s="347">
        <v>47863</v>
      </c>
      <c r="B449" s="364">
        <f t="shared" si="180"/>
        <v>47.863</v>
      </c>
      <c r="C449" s="337">
        <f t="shared" si="161"/>
        <v>268.68038648172995</v>
      </c>
      <c r="D449" s="338">
        <f t="shared" si="162"/>
        <v>1.5670744238980809</v>
      </c>
      <c r="E449" s="338">
        <f t="shared" si="163"/>
        <v>1.0072091973190747</v>
      </c>
      <c r="F449" s="339">
        <f t="shared" si="164"/>
        <v>0.11971759819231532</v>
      </c>
      <c r="G449" s="338">
        <f t="shared" si="165"/>
        <v>1</v>
      </c>
      <c r="H449" s="339">
        <f t="shared" si="166"/>
        <v>0</v>
      </c>
      <c r="I449" s="337">
        <f t="shared" si="167"/>
        <v>157902.13074209864</v>
      </c>
      <c r="J449" s="340">
        <f t="shared" si="168"/>
        <v>1.5707899937581269</v>
      </c>
      <c r="K449" s="348">
        <f t="shared" si="184"/>
        <v>77.93211734153364</v>
      </c>
      <c r="L449" s="349">
        <f t="shared" si="185"/>
        <v>1.5579642945320837</v>
      </c>
      <c r="M449" s="337">
        <f t="shared" si="169"/>
        <v>1.0120225468471258</v>
      </c>
      <c r="N449" s="340">
        <f t="shared" si="170"/>
        <v>0.15429399488512757</v>
      </c>
      <c r="O449" s="341">
        <f t="shared" si="171"/>
        <v>0.9771839977760377</v>
      </c>
      <c r="P449" s="342">
        <f t="shared" si="172"/>
        <v>7.3496723868498287E-2</v>
      </c>
      <c r="Q449" s="343">
        <f t="shared" si="173"/>
        <v>-17.830798771828341</v>
      </c>
      <c r="R449" s="344">
        <f t="shared" si="174"/>
        <v>-96.713742904694612</v>
      </c>
      <c r="S449" s="346">
        <f t="shared" si="175"/>
        <v>83.286257095305388</v>
      </c>
      <c r="U449" s="319">
        <f t="shared" si="181"/>
        <v>47863</v>
      </c>
      <c r="V449" s="319">
        <f t="shared" si="182"/>
        <v>2290866769</v>
      </c>
      <c r="X449" s="345">
        <f t="shared" si="176"/>
        <v>31.469990341901312</v>
      </c>
      <c r="Y449" s="346">
        <f t="shared" si="177"/>
        <v>-9.5752531570287243</v>
      </c>
      <c r="AA449" s="345">
        <f t="shared" si="178"/>
        <v>-0.55282230978000635</v>
      </c>
      <c r="AB449" s="346">
        <f t="shared" si="179"/>
        <v>-87.138489747665872</v>
      </c>
      <c r="AD449">
        <f t="shared" si="183"/>
        <v>0</v>
      </c>
      <c r="AE449">
        <f t="shared" si="186"/>
        <v>0</v>
      </c>
    </row>
    <row r="450" spans="1:31" x14ac:dyDescent="0.2">
      <c r="A450" s="347">
        <v>48141.75</v>
      </c>
      <c r="B450" s="364">
        <f t="shared" si="180"/>
        <v>48.141750000000002</v>
      </c>
      <c r="C450" s="337">
        <f t="shared" si="161"/>
        <v>270.24513635652471</v>
      </c>
      <c r="D450" s="338">
        <f t="shared" si="162"/>
        <v>1.5670959742350419</v>
      </c>
      <c r="E450" s="338">
        <f t="shared" si="163"/>
        <v>1.0072931084446404</v>
      </c>
      <c r="F450" s="339">
        <f t="shared" si="164"/>
        <v>0.12040812290242332</v>
      </c>
      <c r="G450" s="338">
        <f t="shared" si="165"/>
        <v>1</v>
      </c>
      <c r="H450" s="339">
        <f t="shared" si="166"/>
        <v>0</v>
      </c>
      <c r="I450" s="337">
        <f t="shared" si="167"/>
        <v>158821.73918583596</v>
      </c>
      <c r="J450" s="340">
        <f t="shared" si="168"/>
        <v>1.570790030427629</v>
      </c>
      <c r="K450" s="348">
        <f t="shared" si="184"/>
        <v>78.385912783350847</v>
      </c>
      <c r="L450" s="349">
        <f t="shared" si="185"/>
        <v>1.5580385863838639</v>
      </c>
      <c r="M450" s="337">
        <f t="shared" si="169"/>
        <v>1.0121621473392151</v>
      </c>
      <c r="N450" s="340">
        <f t="shared" si="170"/>
        <v>0.15517827405962642</v>
      </c>
      <c r="O450" s="341">
        <f t="shared" si="171"/>
        <v>0.9769182372740689</v>
      </c>
      <c r="P450" s="342">
        <f t="shared" si="172"/>
        <v>7.3945689056753167E-2</v>
      </c>
      <c r="Q450" s="343">
        <f t="shared" si="173"/>
        <v>-17.879357360669164</v>
      </c>
      <c r="R450" s="344">
        <f t="shared" si="174"/>
        <v>-96.747548263043385</v>
      </c>
      <c r="S450" s="346">
        <f t="shared" si="175"/>
        <v>83.252451736956615</v>
      </c>
      <c r="U450" s="319">
        <f t="shared" si="181"/>
        <v>48141.75</v>
      </c>
      <c r="V450" s="319">
        <f t="shared" si="182"/>
        <v>2317628093.0625</v>
      </c>
      <c r="X450" s="345">
        <f t="shared" si="176"/>
        <v>31.46878401800268</v>
      </c>
      <c r="Y450" s="346">
        <f t="shared" si="177"/>
        <v>-9.6216641131403371</v>
      </c>
      <c r="AA450" s="345">
        <f t="shared" si="178"/>
        <v>-0.60017457472220259</v>
      </c>
      <c r="AB450" s="346">
        <f t="shared" si="179"/>
        <v>-87.12588414990303</v>
      </c>
      <c r="AD450">
        <f t="shared" si="183"/>
        <v>0</v>
      </c>
      <c r="AE450">
        <f t="shared" si="186"/>
        <v>0</v>
      </c>
    </row>
    <row r="451" spans="1:31" x14ac:dyDescent="0.2">
      <c r="A451" s="347">
        <v>48420.5</v>
      </c>
      <c r="B451" s="364">
        <f t="shared" si="180"/>
        <v>48.420499999999997</v>
      </c>
      <c r="C451" s="337">
        <f t="shared" si="161"/>
        <v>271.80988635538085</v>
      </c>
      <c r="D451" s="338">
        <f t="shared" si="162"/>
        <v>1.5671172764508705</v>
      </c>
      <c r="E451" s="338">
        <f t="shared" si="163"/>
        <v>1.0073774997919644</v>
      </c>
      <c r="F451" s="339">
        <f t="shared" si="164"/>
        <v>0.12109853224660862</v>
      </c>
      <c r="G451" s="338">
        <f t="shared" si="165"/>
        <v>1</v>
      </c>
      <c r="H451" s="339">
        <f t="shared" si="166"/>
        <v>0</v>
      </c>
      <c r="I451" s="337">
        <f t="shared" si="167"/>
        <v>159741.34762957352</v>
      </c>
      <c r="J451" s="340">
        <f t="shared" si="168"/>
        <v>1.5707900666749286</v>
      </c>
      <c r="K451" s="348">
        <f t="shared" si="184"/>
        <v>78.839708652821358</v>
      </c>
      <c r="L451" s="349">
        <f t="shared" si="185"/>
        <v>1.5581120229986012</v>
      </c>
      <c r="M451" s="337">
        <f t="shared" si="169"/>
        <v>1.0123025390724982</v>
      </c>
      <c r="N451" s="340">
        <f t="shared" si="170"/>
        <v>0.15606230865175105</v>
      </c>
      <c r="O451" s="341">
        <f t="shared" si="171"/>
        <v>0.97665095187111761</v>
      </c>
      <c r="P451" s="342">
        <f t="shared" si="172"/>
        <v>7.439502990109978E-2</v>
      </c>
      <c r="Q451" s="343">
        <f t="shared" si="173"/>
        <v>-17.927612947402686</v>
      </c>
      <c r="R451" s="344">
        <f t="shared" si="174"/>
        <v>-96.78140250233244</v>
      </c>
      <c r="S451" s="346">
        <f t="shared" si="175"/>
        <v>83.21859749766756</v>
      </c>
      <c r="U451" s="319">
        <f t="shared" si="181"/>
        <v>48420.5</v>
      </c>
      <c r="V451" s="319">
        <f t="shared" si="182"/>
        <v>2344544820.25</v>
      </c>
      <c r="X451" s="345">
        <f t="shared" si="176"/>
        <v>31.467571212395441</v>
      </c>
      <c r="Y451" s="346">
        <f t="shared" si="177"/>
        <v>-9.6681100329968324</v>
      </c>
      <c r="AA451" s="345">
        <f t="shared" si="178"/>
        <v>-0.64721735584848705</v>
      </c>
      <c r="AB451" s="346">
        <f t="shared" si="179"/>
        <v>-87.11329246933559</v>
      </c>
      <c r="AD451">
        <f t="shared" si="183"/>
        <v>0</v>
      </c>
      <c r="AE451">
        <f t="shared" si="186"/>
        <v>0</v>
      </c>
    </row>
    <row r="452" spans="1:31" x14ac:dyDescent="0.2">
      <c r="A452" s="347">
        <v>48699.25</v>
      </c>
      <c r="B452" s="364">
        <f t="shared" si="180"/>
        <v>48.699249999999999</v>
      </c>
      <c r="C452" s="337">
        <f t="shared" si="161"/>
        <v>273.37463647616818</v>
      </c>
      <c r="D452" s="338">
        <f t="shared" si="162"/>
        <v>1.5671383348061572</v>
      </c>
      <c r="E452" s="338">
        <f t="shared" si="163"/>
        <v>1.0074623712403681</v>
      </c>
      <c r="F452" s="339">
        <f t="shared" si="164"/>
        <v>0.12178882559575759</v>
      </c>
      <c r="G452" s="338">
        <f t="shared" si="165"/>
        <v>1</v>
      </c>
      <c r="H452" s="339">
        <f t="shared" si="166"/>
        <v>0</v>
      </c>
      <c r="I452" s="337">
        <f t="shared" si="167"/>
        <v>160660.95607331124</v>
      </c>
      <c r="J452" s="340">
        <f t="shared" si="168"/>
        <v>1.5707901025072759</v>
      </c>
      <c r="K452" s="348">
        <f t="shared" si="184"/>
        <v>79.293504942602837</v>
      </c>
      <c r="L452" s="349">
        <f t="shared" si="185"/>
        <v>1.5581846190590469</v>
      </c>
      <c r="M452" s="337">
        <f t="shared" si="169"/>
        <v>1.0124437217178195</v>
      </c>
      <c r="N452" s="340">
        <f t="shared" si="170"/>
        <v>0.15694609738175969</v>
      </c>
      <c r="O452" s="341">
        <f t="shared" si="171"/>
        <v>0.97638214190156847</v>
      </c>
      <c r="P452" s="342">
        <f t="shared" si="172"/>
        <v>7.48447489059028E-2</v>
      </c>
      <c r="Q452" s="343">
        <f t="shared" si="173"/>
        <v>-17.975568866281055</v>
      </c>
      <c r="R452" s="344">
        <f t="shared" si="174"/>
        <v>-96.81530513204261</v>
      </c>
      <c r="S452" s="346">
        <f t="shared" si="175"/>
        <v>83.18469486795739</v>
      </c>
      <c r="U452" s="319">
        <f t="shared" si="181"/>
        <v>48699.25</v>
      </c>
      <c r="V452" s="319">
        <f t="shared" si="182"/>
        <v>2371616950.5625</v>
      </c>
      <c r="X452" s="345">
        <f t="shared" si="176"/>
        <v>31.466351927436765</v>
      </c>
      <c r="Y452" s="346">
        <f t="shared" si="177"/>
        <v>-9.7145900024301302</v>
      </c>
      <c r="AA452" s="345">
        <f t="shared" si="178"/>
        <v>-0.69395398976817568</v>
      </c>
      <c r="AB452" s="346">
        <f t="shared" si="179"/>
        <v>-87.100715129612496</v>
      </c>
      <c r="AD452">
        <f t="shared" si="183"/>
        <v>0</v>
      </c>
      <c r="AE452">
        <f t="shared" si="186"/>
        <v>0</v>
      </c>
    </row>
    <row r="453" spans="1:31" x14ac:dyDescent="0.2">
      <c r="A453" s="347">
        <v>48978</v>
      </c>
      <c r="B453" s="364">
        <f t="shared" si="180"/>
        <v>48.978000000000002</v>
      </c>
      <c r="C453" s="337">
        <f t="shared" si="161"/>
        <v>274.93938671680479</v>
      </c>
      <c r="D453" s="338">
        <f t="shared" si="162"/>
        <v>1.5671591534645009</v>
      </c>
      <c r="E453" s="338">
        <f t="shared" si="163"/>
        <v>1.0075477226685263</v>
      </c>
      <c r="F453" s="339">
        <f t="shared" si="164"/>
        <v>0.12247900232141014</v>
      </c>
      <c r="G453" s="338">
        <f t="shared" si="165"/>
        <v>1</v>
      </c>
      <c r="H453" s="339">
        <f t="shared" si="166"/>
        <v>0</v>
      </c>
      <c r="I453" s="337">
        <f t="shared" si="167"/>
        <v>161580.56451704921</v>
      </c>
      <c r="J453" s="340">
        <f t="shared" si="168"/>
        <v>1.5707901379317559</v>
      </c>
      <c r="K453" s="348">
        <f t="shared" si="184"/>
        <v>79.747301645520039</v>
      </c>
      <c r="L453" s="349">
        <f t="shared" si="185"/>
        <v>1.5582563889137842</v>
      </c>
      <c r="M453" s="337">
        <f t="shared" si="169"/>
        <v>1.0125856949443537</v>
      </c>
      <c r="N453" s="340">
        <f t="shared" si="170"/>
        <v>0.15782963897215857</v>
      </c>
      <c r="O453" s="341">
        <f t="shared" si="171"/>
        <v>0.97611180770219275</v>
      </c>
      <c r="P453" s="342">
        <f t="shared" si="172"/>
        <v>7.5294848581562338E-2</v>
      </c>
      <c r="Q453" s="343">
        <f t="shared" si="173"/>
        <v>-18.023228394156813</v>
      </c>
      <c r="R453" s="344">
        <f t="shared" si="174"/>
        <v>-96.849255675671699</v>
      </c>
      <c r="S453" s="346">
        <f t="shared" si="175"/>
        <v>83.150744324328301</v>
      </c>
      <c r="U453" s="319">
        <f t="shared" si="181"/>
        <v>48978</v>
      </c>
      <c r="V453" s="319">
        <f t="shared" si="182"/>
        <v>2398844484</v>
      </c>
      <c r="X453" s="345">
        <f t="shared" si="176"/>
        <v>31.465126165602967</v>
      </c>
      <c r="Y453" s="346">
        <f t="shared" si="177"/>
        <v>-9.761103126537888</v>
      </c>
      <c r="AA453" s="345">
        <f t="shared" si="178"/>
        <v>-0.74038775581013561</v>
      </c>
      <c r="AB453" s="346">
        <f t="shared" si="179"/>
        <v>-87.088152549133795</v>
      </c>
      <c r="AD453">
        <f t="shared" si="183"/>
        <v>0</v>
      </c>
      <c r="AE453">
        <f t="shared" si="186"/>
        <v>0</v>
      </c>
    </row>
    <row r="454" spans="1:31" x14ac:dyDescent="0.2">
      <c r="A454" s="347">
        <v>49263.25</v>
      </c>
      <c r="B454" s="364">
        <f t="shared" si="180"/>
        <v>49.263249999999999</v>
      </c>
      <c r="C454" s="337">
        <f t="shared" si="161"/>
        <v>276.54062452895016</v>
      </c>
      <c r="D454" s="338">
        <f t="shared" si="162"/>
        <v>1.567180213679199</v>
      </c>
      <c r="E454" s="338">
        <f t="shared" si="163"/>
        <v>1.0076355611257253</v>
      </c>
      <c r="F454" s="339">
        <f t="shared" si="164"/>
        <v>0.12318515146472668</v>
      </c>
      <c r="G454" s="338">
        <f t="shared" si="165"/>
        <v>1</v>
      </c>
      <c r="H454" s="339">
        <f t="shared" si="166"/>
        <v>0</v>
      </c>
      <c r="I454" s="337">
        <f t="shared" si="167"/>
        <v>162521.61674512565</v>
      </c>
      <c r="J454" s="340">
        <f t="shared" si="168"/>
        <v>1.570790173767256</v>
      </c>
      <c r="K454" s="348">
        <f t="shared" si="184"/>
        <v>80.211680575345639</v>
      </c>
      <c r="L454" s="349">
        <f t="shared" si="185"/>
        <v>1.5583289916257816</v>
      </c>
      <c r="M454" s="337">
        <f t="shared" si="169"/>
        <v>1.0127317968592058</v>
      </c>
      <c r="N454" s="340">
        <f t="shared" si="170"/>
        <v>0.15873352614451969</v>
      </c>
      <c r="O454" s="341">
        <f t="shared" si="171"/>
        <v>0.97583359214147569</v>
      </c>
      <c r="P454" s="342">
        <f t="shared" si="172"/>
        <v>7.5755840569807248E-2</v>
      </c>
      <c r="Q454" s="343">
        <f t="shared" si="173"/>
        <v>-18.071695786527467</v>
      </c>
      <c r="R454" s="344">
        <f t="shared" si="174"/>
        <v>-96.88404701120281</v>
      </c>
      <c r="S454" s="346">
        <f t="shared" si="175"/>
        <v>83.11595298879719</v>
      </c>
      <c r="U454" s="319">
        <f t="shared" si="181"/>
        <v>49263.25</v>
      </c>
      <c r="V454" s="319">
        <f t="shared" si="182"/>
        <v>2426867800.5625</v>
      </c>
      <c r="X454" s="345">
        <f t="shared" si="176"/>
        <v>31.463865118505829</v>
      </c>
      <c r="Y454" s="346">
        <f t="shared" si="177"/>
        <v>-9.8087342709688805</v>
      </c>
      <c r="AA454" s="345">
        <f t="shared" si="178"/>
        <v>-0.78759410108365624</v>
      </c>
      <c r="AB454" s="346">
        <f t="shared" si="179"/>
        <v>-87.07531274023394</v>
      </c>
      <c r="AD454">
        <f t="shared" si="183"/>
        <v>0</v>
      </c>
      <c r="AE454">
        <f t="shared" si="186"/>
        <v>0</v>
      </c>
    </row>
    <row r="455" spans="1:31" x14ac:dyDescent="0.2">
      <c r="A455" s="347">
        <v>49548.5</v>
      </c>
      <c r="B455" s="364">
        <f t="shared" si="180"/>
        <v>49.548499999999997</v>
      </c>
      <c r="C455" s="337">
        <f t="shared" si="161"/>
        <v>278.14186246233811</v>
      </c>
      <c r="D455" s="338">
        <f t="shared" si="162"/>
        <v>1.5672010314103451</v>
      </c>
      <c r="E455" s="338">
        <f t="shared" si="163"/>
        <v>1.0077239019492443</v>
      </c>
      <c r="F455" s="339">
        <f t="shared" si="164"/>
        <v>0.12389117715273111</v>
      </c>
      <c r="G455" s="338">
        <f t="shared" si="165"/>
        <v>1</v>
      </c>
      <c r="H455" s="339">
        <f t="shared" si="166"/>
        <v>0</v>
      </c>
      <c r="I455" s="337">
        <f t="shared" si="167"/>
        <v>163462.66897320229</v>
      </c>
      <c r="J455" s="340">
        <f t="shared" si="168"/>
        <v>1.5707902091901476</v>
      </c>
      <c r="K455" s="348">
        <f t="shared" si="184"/>
        <v>80.676059923111907</v>
      </c>
      <c r="L455" s="349">
        <f t="shared" si="185"/>
        <v>1.5584007585214303</v>
      </c>
      <c r="M455" s="337">
        <f t="shared" si="169"/>
        <v>1.0128787259490157</v>
      </c>
      <c r="N455" s="340">
        <f t="shared" si="170"/>
        <v>0.15963715181761978</v>
      </c>
      <c r="O455" s="341">
        <f t="shared" si="171"/>
        <v>0.975553781158216</v>
      </c>
      <c r="P455" s="342">
        <f t="shared" si="172"/>
        <v>7.6217236527690163E-2</v>
      </c>
      <c r="Q455" s="343">
        <f t="shared" si="173"/>
        <v>-18.119859568432631</v>
      </c>
      <c r="R455" s="344">
        <f t="shared" si="174"/>
        <v>-96.918887554978014</v>
      </c>
      <c r="S455" s="346">
        <f t="shared" si="175"/>
        <v>83.081112445021986</v>
      </c>
      <c r="U455" s="319">
        <f t="shared" si="181"/>
        <v>49548.5</v>
      </c>
      <c r="V455" s="319">
        <f t="shared" si="182"/>
        <v>2455053852.25</v>
      </c>
      <c r="X455" s="345">
        <f t="shared" si="176"/>
        <v>31.462597294566621</v>
      </c>
      <c r="Y455" s="346">
        <f t="shared" si="177"/>
        <v>-9.8563982977044038</v>
      </c>
      <c r="AA455" s="345">
        <f t="shared" si="178"/>
        <v>-0.83449005904960472</v>
      </c>
      <c r="AB455" s="346">
        <f t="shared" si="179"/>
        <v>-87.062489257273597</v>
      </c>
      <c r="AD455">
        <f t="shared" si="183"/>
        <v>0</v>
      </c>
      <c r="AE455">
        <f t="shared" si="186"/>
        <v>0</v>
      </c>
    </row>
    <row r="456" spans="1:31" x14ac:dyDescent="0.2">
      <c r="A456" s="347">
        <v>49833.75</v>
      </c>
      <c r="B456" s="364">
        <f t="shared" si="180"/>
        <v>49.833750000000002</v>
      </c>
      <c r="C456" s="337">
        <f t="shared" si="161"/>
        <v>279.74310051488663</v>
      </c>
      <c r="D456" s="338">
        <f t="shared" si="162"/>
        <v>1.5672216108218187</v>
      </c>
      <c r="E456" s="338">
        <f t="shared" si="163"/>
        <v>1.0078127450069774</v>
      </c>
      <c r="F456" s="339">
        <f t="shared" si="164"/>
        <v>0.12459707871411276</v>
      </c>
      <c r="G456" s="338">
        <f t="shared" si="165"/>
        <v>1</v>
      </c>
      <c r="H456" s="339">
        <f t="shared" si="166"/>
        <v>0</v>
      </c>
      <c r="I456" s="337">
        <f t="shared" si="167"/>
        <v>164403.72120127914</v>
      </c>
      <c r="J456" s="340">
        <f t="shared" si="168"/>
        <v>1.5707902442075155</v>
      </c>
      <c r="K456" s="348">
        <f t="shared" si="184"/>
        <v>81.140439681643002</v>
      </c>
      <c r="L456" s="349">
        <f t="shared" si="185"/>
        <v>1.5584717039505174</v>
      </c>
      <c r="M456" s="337">
        <f t="shared" si="169"/>
        <v>1.0130264818538637</v>
      </c>
      <c r="N456" s="340">
        <f t="shared" si="170"/>
        <v>0.16054051462987284</v>
      </c>
      <c r="O456" s="341">
        <f t="shared" si="171"/>
        <v>0.97527237512111786</v>
      </c>
      <c r="P456" s="342">
        <f t="shared" si="172"/>
        <v>7.6679039165277088E-2</v>
      </c>
      <c r="Q456" s="343">
        <f t="shared" si="173"/>
        <v>-18.16772307305618</v>
      </c>
      <c r="R456" s="344">
        <f t="shared" si="174"/>
        <v>-96.953776839519165</v>
      </c>
      <c r="S456" s="346">
        <f t="shared" si="175"/>
        <v>83.046223160480835</v>
      </c>
      <c r="U456" s="319">
        <f t="shared" si="181"/>
        <v>49833.75</v>
      </c>
      <c r="V456" s="319">
        <f t="shared" si="182"/>
        <v>2483402639.0625</v>
      </c>
      <c r="X456" s="345">
        <f t="shared" si="176"/>
        <v>31.461322696806082</v>
      </c>
      <c r="Y456" s="346">
        <f t="shared" si="177"/>
        <v>-9.9040943069550291</v>
      </c>
      <c r="AA456" s="345">
        <f t="shared" si="178"/>
        <v>-0.88107896591261836</v>
      </c>
      <c r="AB456" s="346">
        <f t="shared" si="179"/>
        <v>-87.049682532564148</v>
      </c>
      <c r="AD456">
        <f t="shared" si="183"/>
        <v>0</v>
      </c>
      <c r="AE456">
        <f t="shared" si="186"/>
        <v>0</v>
      </c>
    </row>
    <row r="457" spans="1:31" x14ac:dyDescent="0.2">
      <c r="A457" s="347">
        <v>50119</v>
      </c>
      <c r="B457" s="364">
        <f t="shared" si="180"/>
        <v>50.119</v>
      </c>
      <c r="C457" s="337">
        <f t="shared" si="161"/>
        <v>281.34433868456125</v>
      </c>
      <c r="D457" s="338">
        <f t="shared" si="162"/>
        <v>1.5672419559827073</v>
      </c>
      <c r="E457" s="338">
        <f t="shared" si="163"/>
        <v>1.0079020901661135</v>
      </c>
      <c r="F457" s="339">
        <f t="shared" si="164"/>
        <v>0.12530285547829176</v>
      </c>
      <c r="G457" s="338">
        <f t="shared" si="165"/>
        <v>1</v>
      </c>
      <c r="H457" s="339">
        <f t="shared" si="166"/>
        <v>0</v>
      </c>
      <c r="I457" s="337">
        <f t="shared" si="167"/>
        <v>165344.7734293562</v>
      </c>
      <c r="J457" s="340">
        <f t="shared" si="168"/>
        <v>1.5707902788262837</v>
      </c>
      <c r="K457" s="348">
        <f t="shared" si="184"/>
        <v>81.604819843926464</v>
      </c>
      <c r="L457" s="349">
        <f t="shared" si="185"/>
        <v>1.5585418419362289</v>
      </c>
      <c r="M457" s="337">
        <f t="shared" si="169"/>
        <v>1.0131750642120152</v>
      </c>
      <c r="N457" s="340">
        <f t="shared" si="170"/>
        <v>0.16144361322220094</v>
      </c>
      <c r="O457" s="341">
        <f t="shared" si="171"/>
        <v>0.97498937440154165</v>
      </c>
      <c r="P457" s="342">
        <f t="shared" si="172"/>
        <v>7.7141251199452004E-2</v>
      </c>
      <c r="Q457" s="343">
        <f t="shared" si="173"/>
        <v>-18.215289576174719</v>
      </c>
      <c r="R457" s="344">
        <f t="shared" si="174"/>
        <v>-96.988714411113136</v>
      </c>
      <c r="S457" s="346">
        <f t="shared" si="175"/>
        <v>83.011285588886864</v>
      </c>
      <c r="U457" s="319">
        <f t="shared" si="181"/>
        <v>50119</v>
      </c>
      <c r="V457" s="319">
        <f t="shared" si="182"/>
        <v>2511914161</v>
      </c>
      <c r="X457" s="345">
        <f t="shared" si="176"/>
        <v>31.460041328362284</v>
      </c>
      <c r="Y457" s="346">
        <f t="shared" si="177"/>
        <v>-9.951821417778671</v>
      </c>
      <c r="AA457" s="345">
        <f t="shared" si="178"/>
        <v>-0.92736410058735996</v>
      </c>
      <c r="AB457" s="346">
        <f t="shared" si="179"/>
        <v>-87.03689299333449</v>
      </c>
      <c r="AD457">
        <f t="shared" si="183"/>
        <v>0</v>
      </c>
      <c r="AE457">
        <f t="shared" si="186"/>
        <v>0</v>
      </c>
    </row>
    <row r="458" spans="1:31" x14ac:dyDescent="0.2">
      <c r="A458" s="347">
        <v>50410.75</v>
      </c>
      <c r="B458" s="364">
        <f t="shared" si="180"/>
        <v>50.41075</v>
      </c>
      <c r="C458" s="337">
        <f t="shared" si="161"/>
        <v>282.98206443380678</v>
      </c>
      <c r="D458" s="338">
        <f t="shared" si="162"/>
        <v>1.5672625265758102</v>
      </c>
      <c r="E458" s="338">
        <f t="shared" si="163"/>
        <v>1.0079939904906696</v>
      </c>
      <c r="F458" s="339">
        <f t="shared" si="164"/>
        <v>0.12602458500459551</v>
      </c>
      <c r="G458" s="338">
        <f t="shared" si="165"/>
        <v>1</v>
      </c>
      <c r="H458" s="339">
        <f t="shared" si="166"/>
        <v>0</v>
      </c>
      <c r="I458" s="337">
        <f t="shared" si="167"/>
        <v>166307.26944177176</v>
      </c>
      <c r="J458" s="340">
        <f t="shared" si="168"/>
        <v>1.5707903138286363</v>
      </c>
      <c r="K458" s="348">
        <f t="shared" si="184"/>
        <v>82.079782260913575</v>
      </c>
      <c r="L458" s="349">
        <f t="shared" si="185"/>
        <v>1.5586127571900905</v>
      </c>
      <c r="M458" s="337">
        <f t="shared" si="169"/>
        <v>1.0133278868582203</v>
      </c>
      <c r="N458" s="340">
        <f t="shared" si="170"/>
        <v>0.16236701601464534</v>
      </c>
      <c r="O458" s="341">
        <f t="shared" si="171"/>
        <v>0.97469827572263601</v>
      </c>
      <c r="P458" s="342">
        <f t="shared" si="172"/>
        <v>7.7614422007894784E-2</v>
      </c>
      <c r="Q458" s="343">
        <f t="shared" si="173"/>
        <v>-18.263636103817504</v>
      </c>
      <c r="R458" s="344">
        <f t="shared" si="174"/>
        <v>-97.024497597361673</v>
      </c>
      <c r="S458" s="346">
        <f t="shared" si="175"/>
        <v>82.975502402638327</v>
      </c>
      <c r="U458" s="319">
        <f t="shared" si="181"/>
        <v>50410.75</v>
      </c>
      <c r="V458" s="319">
        <f t="shared" si="182"/>
        <v>2541243715.5625</v>
      </c>
      <c r="X458" s="345">
        <f t="shared" si="176"/>
        <v>31.458723760862458</v>
      </c>
      <c r="Y458" s="346">
        <f t="shared" si="177"/>
        <v>-10.000667361369844</v>
      </c>
      <c r="AA458" s="345">
        <f t="shared" si="178"/>
        <v>-0.97439306073031484</v>
      </c>
      <c r="AB458" s="346">
        <f t="shared" si="179"/>
        <v>-87.023830235991809</v>
      </c>
      <c r="AD458">
        <f t="shared" si="183"/>
        <v>0</v>
      </c>
      <c r="AE458">
        <f t="shared" si="186"/>
        <v>0</v>
      </c>
    </row>
    <row r="459" spans="1:31" x14ac:dyDescent="0.2">
      <c r="A459" s="347">
        <v>50702.5</v>
      </c>
      <c r="B459" s="364">
        <f t="shared" si="180"/>
        <v>50.702500000000001</v>
      </c>
      <c r="C459" s="337">
        <f t="shared" si="161"/>
        <v>284.61979030141788</v>
      </c>
      <c r="D459" s="338">
        <f t="shared" si="162"/>
        <v>1.5672828604391258</v>
      </c>
      <c r="E459" s="338">
        <f t="shared" si="163"/>
        <v>1.0080864157768612</v>
      </c>
      <c r="F459" s="339">
        <f t="shared" si="164"/>
        <v>0.12674618256477341</v>
      </c>
      <c r="G459" s="338">
        <f t="shared" si="165"/>
        <v>1</v>
      </c>
      <c r="H459" s="339">
        <f t="shared" si="166"/>
        <v>0</v>
      </c>
      <c r="I459" s="337">
        <f t="shared" si="167"/>
        <v>167269.76545418749</v>
      </c>
      <c r="J459" s="340">
        <f t="shared" si="168"/>
        <v>1.5707903484281709</v>
      </c>
      <c r="K459" s="348">
        <f t="shared" si="184"/>
        <v>82.554745085928047</v>
      </c>
      <c r="L459" s="349">
        <f t="shared" si="185"/>
        <v>1.558682856449793</v>
      </c>
      <c r="M459" s="337">
        <f t="shared" si="169"/>
        <v>1.0134815732804625</v>
      </c>
      <c r="N459" s="340">
        <f t="shared" si="170"/>
        <v>0.16329013954063085</v>
      </c>
      <c r="O459" s="341">
        <f t="shared" si="171"/>
        <v>0.97440550965141925</v>
      </c>
      <c r="P459" s="342">
        <f t="shared" si="172"/>
        <v>7.8088026854411727E-2</v>
      </c>
      <c r="Q459" s="343">
        <f t="shared" si="173"/>
        <v>-18.31167869352894</v>
      </c>
      <c r="R459" s="344">
        <f t="shared" si="174"/>
        <v>-97.060330378796607</v>
      </c>
      <c r="S459" s="346">
        <f t="shared" si="175"/>
        <v>82.939669621203393</v>
      </c>
      <c r="U459" s="319">
        <f t="shared" si="181"/>
        <v>50702.5</v>
      </c>
      <c r="V459" s="319">
        <f t="shared" si="182"/>
        <v>2570743506.25</v>
      </c>
      <c r="X459" s="345">
        <f t="shared" si="176"/>
        <v>31.457399117598868</v>
      </c>
      <c r="Y459" s="346">
        <f t="shared" si="177"/>
        <v>-10.049544034113257</v>
      </c>
      <c r="AA459" s="345">
        <f t="shared" si="178"/>
        <v>-1.0211110071781691</v>
      </c>
      <c r="AB459" s="346">
        <f t="shared" si="179"/>
        <v>-87.010786344683339</v>
      </c>
      <c r="AD459">
        <f t="shared" si="183"/>
        <v>0</v>
      </c>
      <c r="AE459">
        <f t="shared" si="186"/>
        <v>0</v>
      </c>
    </row>
    <row r="460" spans="1:31" x14ac:dyDescent="0.2">
      <c r="A460" s="347">
        <v>50994.25</v>
      </c>
      <c r="B460" s="364">
        <f t="shared" si="180"/>
        <v>50.994250000000001</v>
      </c>
      <c r="C460" s="337">
        <f t="shared" si="161"/>
        <v>286.25751628536318</v>
      </c>
      <c r="D460" s="338">
        <f t="shared" si="162"/>
        <v>1.5673029616357461</v>
      </c>
      <c r="E460" s="338">
        <f t="shared" si="163"/>
        <v>1.0081793658803102</v>
      </c>
      <c r="F460" s="339">
        <f t="shared" si="164"/>
        <v>0.12746764744374731</v>
      </c>
      <c r="G460" s="338">
        <f t="shared" si="165"/>
        <v>1</v>
      </c>
      <c r="H460" s="339">
        <f t="shared" si="166"/>
        <v>0</v>
      </c>
      <c r="I460" s="337">
        <f t="shared" si="167"/>
        <v>168232.26146660346</v>
      </c>
      <c r="J460" s="340">
        <f t="shared" si="168"/>
        <v>1.5707903826318015</v>
      </c>
      <c r="K460" s="348">
        <f t="shared" si="184"/>
        <v>83.029708311967653</v>
      </c>
      <c r="L460" s="349">
        <f t="shared" si="185"/>
        <v>1.5587521537180828</v>
      </c>
      <c r="M460" s="337">
        <f t="shared" si="169"/>
        <v>1.0136361230858471</v>
      </c>
      <c r="N460" s="340">
        <f t="shared" si="170"/>
        <v>0.16421298235425064</v>
      </c>
      <c r="O460" s="341">
        <f t="shared" si="171"/>
        <v>0.97411107659390916</v>
      </c>
      <c r="P460" s="342">
        <f t="shared" si="172"/>
        <v>7.8562068668349458E-2</v>
      </c>
      <c r="Q460" s="343">
        <f t="shared" si="173"/>
        <v>-18.359420672172405</v>
      </c>
      <c r="R460" s="344">
        <f t="shared" si="174"/>
        <v>-97.096212312279604</v>
      </c>
      <c r="S460" s="346">
        <f t="shared" si="175"/>
        <v>82.903787687720396</v>
      </c>
      <c r="U460" s="319">
        <f t="shared" si="181"/>
        <v>50994.25</v>
      </c>
      <c r="V460" s="319">
        <f t="shared" si="182"/>
        <v>2600413533.0625</v>
      </c>
      <c r="X460" s="345">
        <f t="shared" si="176"/>
        <v>31.456067402290167</v>
      </c>
      <c r="Y460" s="346">
        <f t="shared" si="177"/>
        <v>-10.09845055126242</v>
      </c>
      <c r="AA460" s="345">
        <f t="shared" si="178"/>
        <v>-1.0675212705129287</v>
      </c>
      <c r="AB460" s="346">
        <f t="shared" si="179"/>
        <v>-86.997761761017188</v>
      </c>
      <c r="AD460">
        <f t="shared" si="183"/>
        <v>0</v>
      </c>
      <c r="AE460">
        <f t="shared" si="186"/>
        <v>0</v>
      </c>
    </row>
    <row r="461" spans="1:31" x14ac:dyDescent="0.2">
      <c r="A461" s="347">
        <v>51286</v>
      </c>
      <c r="B461" s="364">
        <f t="shared" si="180"/>
        <v>51.286000000000001</v>
      </c>
      <c r="C461" s="337">
        <f t="shared" ref="C461:C524" si="187">SQRT(1+(A461/pole1)^2)</f>
        <v>287.89524238365709</v>
      </c>
      <c r="D461" s="338">
        <f t="shared" ref="D461:D524" si="188">ATAN(A461/pole1)</f>
        <v>1.567322834136311</v>
      </c>
      <c r="E461" s="338">
        <f t="shared" ref="E461:E524" si="189">SQRT(1+(A461/Zero1)^2)</f>
        <v>1.0082728406558716</v>
      </c>
      <c r="F461" s="339">
        <f t="shared" ref="F461:F524" si="190">ATAN(A461/Zero1)</f>
        <v>0.12818897892725456</v>
      </c>
      <c r="G461" s="338">
        <f t="shared" ref="G461:G524" si="191">IF(VIN_nom&gt;Vout, 1, SQRT(1+(A461/z_RHP)^2))</f>
        <v>1</v>
      </c>
      <c r="H461" s="339">
        <f t="shared" ref="H461:H524" si="192">IF(VIN_nom&gt;Vout, 0, -ATAN(A461/z_RHP))</f>
        <v>0</v>
      </c>
      <c r="I461" s="337">
        <f t="shared" ref="I461:I524" si="193">SQRT(1+(A461/Pole2)^2)</f>
        <v>169194.75747901961</v>
      </c>
      <c r="J461" s="340">
        <f t="shared" ref="J461:J524" si="194">ATAN(A461/Pole2)</f>
        <v>1.5707904164462847</v>
      </c>
      <c r="K461" s="348">
        <f t="shared" si="184"/>
        <v>83.504671932189467</v>
      </c>
      <c r="L461" s="349">
        <f t="shared" si="185"/>
        <v>1.5588206626791548</v>
      </c>
      <c r="M461" s="337">
        <f t="shared" ref="M461:M524" si="195">SQRT(1+(A461/pole4)^2)</f>
        <v>1.0137915358795131</v>
      </c>
      <c r="N461" s="340">
        <f t="shared" ref="N461:N524" si="196">ATAN(A461/pole4)</f>
        <v>0.1651355430123897</v>
      </c>
      <c r="O461" s="341">
        <f t="shared" ref="O461:O524" si="197">SQRT((1-(V461/pterm2))^2+(A461/pterm1)^2)</f>
        <v>0.9738149769590746</v>
      </c>
      <c r="P461" s="342">
        <f t="shared" ref="P461:P524" si="198">IF((ATAN((A461/pterm1)/(1-A461^2/pterm2))&gt;0),ATAN((A461/pterm1)/(1-A461^2/pterm2)),PI()+ATAN((A461/pterm1)/(1-A461^2/pterm2)))</f>
        <v>7.9036550386742926E-2</v>
      </c>
      <c r="Q461" s="343">
        <f t="shared" ref="Q461:Q524" si="199">20*LOG10(((E461*K461*G461)/(C461*I461*O461*M461))*Adc)</f>
        <v>-18.406865309313464</v>
      </c>
      <c r="R461" s="344">
        <f t="shared" ref="R461:R524" si="200">((F461+L461+H461)-(D461+J461+P461+N461))*radconv</f>
        <v>-97.132142968171678</v>
      </c>
      <c r="S461" s="346">
        <f t="shared" ref="S461:S524" si="201">IF(R461&gt;0,R461,R461+180)</f>
        <v>82.867857031828322</v>
      </c>
      <c r="U461" s="319">
        <f t="shared" si="181"/>
        <v>51286</v>
      </c>
      <c r="V461" s="319">
        <f t="shared" si="182"/>
        <v>2630253796</v>
      </c>
      <c r="X461" s="345">
        <f t="shared" ref="X461:X524" si="202">20*LOG10((K461/(I461*M461))*AEA)</f>
        <v>31.454728618770481</v>
      </c>
      <c r="Y461" s="346">
        <f t="shared" ref="Y461:Y524" si="203">(L461-(J461+N461))*radconv</f>
        <v>-10.147386046473448</v>
      </c>
      <c r="AA461" s="345">
        <f t="shared" ref="AA461:AA524" si="204">20*LOG10((E461*G461/(C461*O461))*Acs*Am)</f>
        <v>-1.1136271241343003</v>
      </c>
      <c r="AB461" s="346">
        <f t="shared" ref="AB461:AB524" si="205">(F461+H461-(D461+P461))*radconv</f>
        <v>-86.984756921698249</v>
      </c>
      <c r="AD461">
        <f t="shared" si="183"/>
        <v>0</v>
      </c>
      <c r="AE461">
        <f t="shared" si="186"/>
        <v>0</v>
      </c>
    </row>
    <row r="462" spans="1:31" x14ac:dyDescent="0.2">
      <c r="A462" s="347">
        <v>51584.75</v>
      </c>
      <c r="B462" s="364">
        <f t="shared" ref="B462:B525" si="206">A462/1000</f>
        <v>51.58475</v>
      </c>
      <c r="C462" s="337">
        <f t="shared" si="187"/>
        <v>289.57226279786636</v>
      </c>
      <c r="D462" s="338">
        <f t="shared" si="188"/>
        <v>1.5673429505012719</v>
      </c>
      <c r="E462" s="338">
        <f t="shared" si="189"/>
        <v>1.0083691017387753</v>
      </c>
      <c r="F462" s="339">
        <f t="shared" si="190"/>
        <v>0.12892747844154498</v>
      </c>
      <c r="G462" s="338">
        <f t="shared" si="191"/>
        <v>1</v>
      </c>
      <c r="H462" s="339">
        <f t="shared" si="192"/>
        <v>0</v>
      </c>
      <c r="I462" s="337">
        <f t="shared" si="193"/>
        <v>170180.34679764646</v>
      </c>
      <c r="J462" s="340">
        <f t="shared" si="194"/>
        <v>1.5707904506757158</v>
      </c>
      <c r="K462" s="348">
        <f t="shared" si="184"/>
        <v>83.991031824830401</v>
      </c>
      <c r="L462" s="349">
        <f t="shared" si="185"/>
        <v>1.558890012449377</v>
      </c>
      <c r="M462" s="337">
        <f t="shared" si="195"/>
        <v>1.0139515713957077</v>
      </c>
      <c r="N462" s="340">
        <f t="shared" si="196"/>
        <v>0.16607994490612771</v>
      </c>
      <c r="O462" s="341">
        <f t="shared" si="197"/>
        <v>0.9735100463564581</v>
      </c>
      <c r="P462" s="342">
        <f t="shared" si="198"/>
        <v>7.9522875352896719E-2</v>
      </c>
      <c r="Q462" s="343">
        <f t="shared" si="199"/>
        <v>-18.455143520616122</v>
      </c>
      <c r="R462" s="344">
        <f t="shared" si="200"/>
        <v>-97.168985768449701</v>
      </c>
      <c r="S462" s="346">
        <f t="shared" si="201"/>
        <v>82.831014231550299</v>
      </c>
      <c r="U462" s="319">
        <f t="shared" ref="U462:U525" si="207">IF(Q462&lt;0,A462,1000000000)</f>
        <v>51584.75</v>
      </c>
      <c r="V462" s="319">
        <f t="shared" ref="V462:V525" si="208">A462^2</f>
        <v>2660986432.5625</v>
      </c>
      <c r="X462" s="345">
        <f t="shared" si="202"/>
        <v>31.453350393118846</v>
      </c>
      <c r="Y462" s="346">
        <f t="shared" si="203"/>
        <v>-10.197524801264084</v>
      </c>
      <c r="AA462" s="345">
        <f t="shared" si="204"/>
        <v>-1.1605271097853225</v>
      </c>
      <c r="AB462" s="346">
        <f t="shared" si="205"/>
        <v>-86.971460967185607</v>
      </c>
      <c r="AD462">
        <f t="shared" ref="AD462:AD525" si="209">SUM((Q463&lt;0)*(Q462&gt;0))*A462</f>
        <v>0</v>
      </c>
      <c r="AE462">
        <f t="shared" si="186"/>
        <v>0</v>
      </c>
    </row>
    <row r="463" spans="1:31" x14ac:dyDescent="0.2">
      <c r="A463" s="347">
        <v>51883.5</v>
      </c>
      <c r="B463" s="364">
        <f t="shared" si="206"/>
        <v>51.883499999999998</v>
      </c>
      <c r="C463" s="337">
        <f t="shared" si="187"/>
        <v>291.24928332790682</v>
      </c>
      <c r="D463" s="338">
        <f t="shared" si="188"/>
        <v>1.5673628352051934</v>
      </c>
      <c r="E463" s="338">
        <f t="shared" si="189"/>
        <v>1.0084659126624023</v>
      </c>
      <c r="F463" s="339">
        <f t="shared" si="190"/>
        <v>0.12966583656919342</v>
      </c>
      <c r="G463" s="338">
        <f t="shared" si="191"/>
        <v>1</v>
      </c>
      <c r="H463" s="339">
        <f t="shared" si="192"/>
        <v>0</v>
      </c>
      <c r="I463" s="337">
        <f t="shared" si="193"/>
        <v>171165.93611627351</v>
      </c>
      <c r="J463" s="340">
        <f t="shared" si="194"/>
        <v>1.5707904845109546</v>
      </c>
      <c r="K463" s="348">
        <f t="shared" si="184"/>
        <v>84.477392116765756</v>
      </c>
      <c r="L463" s="349">
        <f t="shared" si="185"/>
        <v>1.5589585636873562</v>
      </c>
      <c r="M463" s="337">
        <f t="shared" si="195"/>
        <v>1.0141125109642799</v>
      </c>
      <c r="N463" s="340">
        <f t="shared" si="196"/>
        <v>0.16702404788868505</v>
      </c>
      <c r="O463" s="341">
        <f t="shared" si="197"/>
        <v>0.97320336912173355</v>
      </c>
      <c r="P463" s="342">
        <f t="shared" si="198"/>
        <v>8.0009667844300997E-2</v>
      </c>
      <c r="Q463" s="343">
        <f t="shared" si="199"/>
        <v>-18.503116711333483</v>
      </c>
      <c r="R463" s="344">
        <f t="shared" si="200"/>
        <v>-97.205878787202138</v>
      </c>
      <c r="S463" s="346">
        <f t="shared" si="201"/>
        <v>82.794121212797862</v>
      </c>
      <c r="U463" s="319">
        <f t="shared" si="207"/>
        <v>51883.5</v>
      </c>
      <c r="V463" s="319">
        <f t="shared" si="208"/>
        <v>2691897572.25</v>
      </c>
      <c r="X463" s="345">
        <f t="shared" si="202"/>
        <v>31.451964764505746</v>
      </c>
      <c r="Y463" s="346">
        <f t="shared" si="203"/>
        <v>-10.247692159647439</v>
      </c>
      <c r="AA463" s="345">
        <f t="shared" si="204"/>
        <v>-1.2071146718895838</v>
      </c>
      <c r="AB463" s="346">
        <f t="shared" si="205"/>
        <v>-86.958186627554696</v>
      </c>
      <c r="AD463">
        <f t="shared" si="209"/>
        <v>0</v>
      </c>
      <c r="AE463">
        <f t="shared" si="186"/>
        <v>0</v>
      </c>
    </row>
    <row r="464" spans="1:31" x14ac:dyDescent="0.2">
      <c r="A464" s="347">
        <v>52182.25</v>
      </c>
      <c r="B464" s="364">
        <f t="shared" si="206"/>
        <v>52.182250000000003</v>
      </c>
      <c r="C464" s="337">
        <f t="shared" si="187"/>
        <v>292.92630397178908</v>
      </c>
      <c r="D464" s="338">
        <f t="shared" si="188"/>
        <v>1.5673824922268795</v>
      </c>
      <c r="E464" s="338">
        <f t="shared" si="189"/>
        <v>1.0085632732684167</v>
      </c>
      <c r="F464" s="339">
        <f t="shared" si="190"/>
        <v>0.13040405254596552</v>
      </c>
      <c r="G464" s="338">
        <f t="shared" si="191"/>
        <v>1</v>
      </c>
      <c r="H464" s="339">
        <f t="shared" si="192"/>
        <v>0</v>
      </c>
      <c r="I464" s="337">
        <f t="shared" si="193"/>
        <v>172151.52543490074</v>
      </c>
      <c r="J464" s="340">
        <f t="shared" si="194"/>
        <v>1.5707905179587711</v>
      </c>
      <c r="K464" s="348">
        <f t="shared" si="184"/>
        <v>84.963752801138469</v>
      </c>
      <c r="L464" s="349">
        <f t="shared" si="185"/>
        <v>1.5590263301056326</v>
      </c>
      <c r="M464" s="337">
        <f t="shared" si="195"/>
        <v>1.01427435415488</v>
      </c>
      <c r="N464" s="340">
        <f t="shared" si="196"/>
        <v>0.16796785041973744</v>
      </c>
      <c r="O464" s="341">
        <f t="shared" si="197"/>
        <v>0.9728949457037146</v>
      </c>
      <c r="P464" s="342">
        <f t="shared" si="198"/>
        <v>8.0496931039955977E-2</v>
      </c>
      <c r="Q464" s="343">
        <f t="shared" si="199"/>
        <v>-18.550788213676555</v>
      </c>
      <c r="R464" s="344">
        <f t="shared" si="200"/>
        <v>-97.242821604791501</v>
      </c>
      <c r="S464" s="346">
        <f t="shared" si="201"/>
        <v>82.757178395208499</v>
      </c>
      <c r="U464" s="319">
        <f t="shared" si="207"/>
        <v>52182.25</v>
      </c>
      <c r="V464" s="319">
        <f t="shared" si="208"/>
        <v>2722987215.0625</v>
      </c>
      <c r="X464" s="345">
        <f t="shared" si="202"/>
        <v>31.450571737405607</v>
      </c>
      <c r="Y464" s="346">
        <f t="shared" si="203"/>
        <v>-10.297887248086626</v>
      </c>
      <c r="AA464" s="345">
        <f t="shared" si="204"/>
        <v>-1.2533931471325177</v>
      </c>
      <c r="AB464" s="346">
        <f t="shared" si="205"/>
        <v>-86.944934356704891</v>
      </c>
      <c r="AD464">
        <f t="shared" si="209"/>
        <v>0</v>
      </c>
      <c r="AE464">
        <f t="shared" si="186"/>
        <v>0</v>
      </c>
    </row>
    <row r="465" spans="1:31" x14ac:dyDescent="0.2">
      <c r="A465" s="347">
        <v>52481</v>
      </c>
      <c r="B465" s="364">
        <f t="shared" si="206"/>
        <v>52.481000000000002</v>
      </c>
      <c r="C465" s="337">
        <f t="shared" si="187"/>
        <v>294.60332472756903</v>
      </c>
      <c r="D465" s="338">
        <f t="shared" si="188"/>
        <v>1.5674019254545382</v>
      </c>
      <c r="E465" s="338">
        <f t="shared" si="189"/>
        <v>1.0086611833976447</v>
      </c>
      <c r="F465" s="339">
        <f t="shared" si="190"/>
        <v>0.13114212560854097</v>
      </c>
      <c r="G465" s="338">
        <f t="shared" si="191"/>
        <v>1</v>
      </c>
      <c r="H465" s="339">
        <f t="shared" si="192"/>
        <v>0</v>
      </c>
      <c r="I465" s="337">
        <f t="shared" si="193"/>
        <v>173137.11475352818</v>
      </c>
      <c r="J465" s="340">
        <f t="shared" si="194"/>
        <v>1.5707905510257818</v>
      </c>
      <c r="K465" s="348">
        <f t="shared" si="184"/>
        <v>85.450113871247581</v>
      </c>
      <c r="L465" s="349">
        <f t="shared" si="185"/>
        <v>1.5590933251045813</v>
      </c>
      <c r="M465" s="337">
        <f t="shared" si="195"/>
        <v>1.0144371005350161</v>
      </c>
      <c r="N465" s="340">
        <f t="shared" si="196"/>
        <v>0.16891135096208185</v>
      </c>
      <c r="O465" s="341">
        <f t="shared" si="197"/>
        <v>0.97258477655451137</v>
      </c>
      <c r="P465" s="342">
        <f t="shared" si="198"/>
        <v>8.0984668127575529E-2</v>
      </c>
      <c r="Q465" s="343">
        <f t="shared" si="199"/>
        <v>-18.598161302397266</v>
      </c>
      <c r="R465" s="344">
        <f t="shared" si="200"/>
        <v>-97.279813814892222</v>
      </c>
      <c r="S465" s="346">
        <f t="shared" si="201"/>
        <v>82.720186185107778</v>
      </c>
      <c r="U465" s="319">
        <f t="shared" si="207"/>
        <v>52481</v>
      </c>
      <c r="V465" s="319">
        <f t="shared" si="208"/>
        <v>2754255361</v>
      </c>
      <c r="X465" s="345">
        <f t="shared" si="202"/>
        <v>31.449171316407501</v>
      </c>
      <c r="Y465" s="346">
        <f t="shared" si="203"/>
        <v>-10.34810921110056</v>
      </c>
      <c r="AA465" s="345">
        <f t="shared" si="204"/>
        <v>-1.2993658148551268</v>
      </c>
      <c r="AB465" s="346">
        <f t="shared" si="205"/>
        <v>-86.931704603791658</v>
      </c>
      <c r="AD465">
        <f t="shared" si="209"/>
        <v>0</v>
      </c>
      <c r="AE465">
        <f t="shared" si="186"/>
        <v>0</v>
      </c>
    </row>
    <row r="466" spans="1:31" x14ac:dyDescent="0.2">
      <c r="A466" s="347">
        <v>52786.5</v>
      </c>
      <c r="B466" s="364">
        <f t="shared" si="206"/>
        <v>52.786499999999997</v>
      </c>
      <c r="C466" s="337">
        <f t="shared" si="187"/>
        <v>296.31823644261607</v>
      </c>
      <c r="D466" s="338">
        <f t="shared" si="188"/>
        <v>1.5674215702825354</v>
      </c>
      <c r="E466" s="338">
        <f t="shared" si="189"/>
        <v>1.0087618738430228</v>
      </c>
      <c r="F466" s="339">
        <f t="shared" si="190"/>
        <v>0.13189672621031145</v>
      </c>
      <c r="G466" s="338">
        <f t="shared" si="191"/>
        <v>1</v>
      </c>
      <c r="H466" s="339">
        <f t="shared" si="192"/>
        <v>0</v>
      </c>
      <c r="I466" s="337">
        <f t="shared" si="193"/>
        <v>174144.97261743023</v>
      </c>
      <c r="J466" s="340">
        <f t="shared" si="194"/>
        <v>1.5707905844528411</v>
      </c>
      <c r="K466" s="348">
        <f t="shared" si="184"/>
        <v>85.947464244649026</v>
      </c>
      <c r="L466" s="349">
        <f t="shared" si="185"/>
        <v>1.559161049682023</v>
      </c>
      <c r="M466" s="337">
        <f t="shared" si="195"/>
        <v>1.0146044576074145</v>
      </c>
      <c r="N466" s="340">
        <f t="shared" si="196"/>
        <v>0.16987585519096665</v>
      </c>
      <c r="O466" s="341">
        <f t="shared" si="197"/>
        <v>0.97226579453223783</v>
      </c>
      <c r="P466" s="342">
        <f t="shared" si="198"/>
        <v>8.1483918620627011E-2</v>
      </c>
      <c r="Q466" s="343">
        <f t="shared" si="199"/>
        <v>-18.646299495276125</v>
      </c>
      <c r="R466" s="344">
        <f t="shared" si="200"/>
        <v>-97.317692501551548</v>
      </c>
      <c r="S466" s="346">
        <f t="shared" si="201"/>
        <v>82.682307498448452</v>
      </c>
      <c r="U466" s="319">
        <f t="shared" si="207"/>
        <v>52786.5</v>
      </c>
      <c r="V466" s="319">
        <f t="shared" si="208"/>
        <v>2786414582.25</v>
      </c>
      <c r="X466" s="345">
        <f t="shared" si="202"/>
        <v>31.44773161262334</v>
      </c>
      <c r="Y466" s="346">
        <f t="shared" si="203"/>
        <v>-10.399492815569605</v>
      </c>
      <c r="AA466" s="345">
        <f t="shared" si="204"/>
        <v>-1.346064303949817</v>
      </c>
      <c r="AB466" s="346">
        <f t="shared" si="205"/>
        <v>-86.918199685981932</v>
      </c>
      <c r="AD466">
        <f t="shared" si="209"/>
        <v>0</v>
      </c>
      <c r="AE466">
        <f t="shared" si="186"/>
        <v>0</v>
      </c>
    </row>
    <row r="467" spans="1:31" x14ac:dyDescent="0.2">
      <c r="A467" s="347">
        <v>53092</v>
      </c>
      <c r="B467" s="364">
        <f t="shared" si="206"/>
        <v>53.091999999999999</v>
      </c>
      <c r="C467" s="337">
        <f t="shared" si="187"/>
        <v>298.03314827070199</v>
      </c>
      <c r="D467" s="338">
        <f t="shared" si="188"/>
        <v>1.5674409890340242</v>
      </c>
      <c r="E467" s="338">
        <f t="shared" si="189"/>
        <v>1.0088631385848237</v>
      </c>
      <c r="F467" s="339">
        <f t="shared" si="190"/>
        <v>0.13265117575538368</v>
      </c>
      <c r="G467" s="338">
        <f t="shared" si="191"/>
        <v>1</v>
      </c>
      <c r="H467" s="339">
        <f t="shared" si="192"/>
        <v>0</v>
      </c>
      <c r="I467" s="337">
        <f t="shared" si="193"/>
        <v>175152.83048133246</v>
      </c>
      <c r="J467" s="340">
        <f t="shared" si="194"/>
        <v>1.5707906174952109</v>
      </c>
      <c r="K467" s="348">
        <f t="shared" si="184"/>
        <v>86.444815007722639</v>
      </c>
      <c r="L467" s="349">
        <f t="shared" si="185"/>
        <v>1.5592279949679102</v>
      </c>
      <c r="M467" s="337">
        <f t="shared" si="195"/>
        <v>1.0147727582224517</v>
      </c>
      <c r="N467" s="340">
        <f t="shared" si="196"/>
        <v>0.17084004038945105</v>
      </c>
      <c r="O467" s="341">
        <f t="shared" si="197"/>
        <v>0.97194498796782569</v>
      </c>
      <c r="P467" s="342">
        <f t="shared" si="198"/>
        <v>8.1983671432193359E-2</v>
      </c>
      <c r="Q467" s="343">
        <f t="shared" si="199"/>
        <v>-18.694132385242956</v>
      </c>
      <c r="R467" s="344">
        <f t="shared" si="200"/>
        <v>-97.355622019603786</v>
      </c>
      <c r="S467" s="346">
        <f t="shared" si="201"/>
        <v>82.644377980396214</v>
      </c>
      <c r="U467" s="319">
        <f t="shared" si="207"/>
        <v>53092</v>
      </c>
      <c r="V467" s="319">
        <f t="shared" si="208"/>
        <v>2818760464</v>
      </c>
      <c r="X467" s="345">
        <f t="shared" si="202"/>
        <v>31.4462841871098</v>
      </c>
      <c r="Y467" s="346">
        <f t="shared" si="203"/>
        <v>-10.450902769019178</v>
      </c>
      <c r="AA467" s="345">
        <f t="shared" si="204"/>
        <v>-1.3924497684031123</v>
      </c>
      <c r="AB467" s="346">
        <f t="shared" si="205"/>
        <v>-86.904719250584591</v>
      </c>
      <c r="AD467">
        <f t="shared" si="209"/>
        <v>0</v>
      </c>
      <c r="AE467">
        <f t="shared" si="186"/>
        <v>0</v>
      </c>
    </row>
    <row r="468" spans="1:31" x14ac:dyDescent="0.2">
      <c r="A468" s="347">
        <v>53397.5</v>
      </c>
      <c r="B468" s="364">
        <f t="shared" si="206"/>
        <v>53.397500000000001</v>
      </c>
      <c r="C468" s="337">
        <f t="shared" si="187"/>
        <v>299.74806020988672</v>
      </c>
      <c r="D468" s="338">
        <f t="shared" si="188"/>
        <v>1.5674601855892614</v>
      </c>
      <c r="E468" s="338">
        <f t="shared" si="189"/>
        <v>1.0089649774501293</v>
      </c>
      <c r="F468" s="339">
        <f t="shared" si="190"/>
        <v>0.13340547343051351</v>
      </c>
      <c r="G468" s="338">
        <f t="shared" si="191"/>
        <v>1</v>
      </c>
      <c r="H468" s="339">
        <f t="shared" si="192"/>
        <v>0</v>
      </c>
      <c r="I468" s="337">
        <f t="shared" si="193"/>
        <v>176160.6883452349</v>
      </c>
      <c r="J468" s="340">
        <f t="shared" si="194"/>
        <v>1.5707906501594939</v>
      </c>
      <c r="K468" s="348">
        <f t="shared" si="184"/>
        <v>86.942166153781059</v>
      </c>
      <c r="L468" s="349">
        <f t="shared" si="185"/>
        <v>1.5592941743354092</v>
      </c>
      <c r="M468" s="337">
        <f t="shared" si="195"/>
        <v>1.0149420019107445</v>
      </c>
      <c r="N468" s="340">
        <f t="shared" si="196"/>
        <v>0.1718039049239751</v>
      </c>
      <c r="O468" s="341">
        <f t="shared" si="197"/>
        <v>0.97162235735550939</v>
      </c>
      <c r="P468" s="342">
        <f t="shared" si="198"/>
        <v>8.2483929999684583E-2</v>
      </c>
      <c r="Q468" s="343">
        <f t="shared" si="199"/>
        <v>-18.741663296038457</v>
      </c>
      <c r="R468" s="344">
        <f t="shared" si="200"/>
        <v>-97.39360197547208</v>
      </c>
      <c r="S468" s="346">
        <f t="shared" si="201"/>
        <v>82.60639802452792</v>
      </c>
      <c r="U468" s="319">
        <f t="shared" si="207"/>
        <v>53397.5</v>
      </c>
      <c r="V468" s="319">
        <f t="shared" si="208"/>
        <v>2851293006.25</v>
      </c>
      <c r="X468" s="345">
        <f t="shared" si="202"/>
        <v>31.444829045127804</v>
      </c>
      <c r="Y468" s="346">
        <f t="shared" si="203"/>
        <v>-10.502338212005542</v>
      </c>
      <c r="AA468" s="345">
        <f t="shared" si="204"/>
        <v>-1.4385255372166159</v>
      </c>
      <c r="AB468" s="346">
        <f t="shared" si="205"/>
        <v>-86.89126376346654</v>
      </c>
      <c r="AD468">
        <f t="shared" si="209"/>
        <v>0</v>
      </c>
      <c r="AE468">
        <f t="shared" si="186"/>
        <v>0</v>
      </c>
    </row>
    <row r="469" spans="1:31" x14ac:dyDescent="0.2">
      <c r="A469" s="347">
        <v>53703</v>
      </c>
      <c r="B469" s="364">
        <f t="shared" si="206"/>
        <v>53.703000000000003</v>
      </c>
      <c r="C469" s="337">
        <f t="shared" si="187"/>
        <v>301.46297225827419</v>
      </c>
      <c r="D469" s="338">
        <f t="shared" si="188"/>
        <v>1.5674791637402112</v>
      </c>
      <c r="E469" s="338">
        <f t="shared" si="189"/>
        <v>1.0090673902651115</v>
      </c>
      <c r="F469" s="339">
        <f t="shared" si="190"/>
        <v>0.13415961842347535</v>
      </c>
      <c r="G469" s="338">
        <f t="shared" si="191"/>
        <v>1</v>
      </c>
      <c r="H469" s="339">
        <f t="shared" si="192"/>
        <v>0</v>
      </c>
      <c r="I469" s="337">
        <f t="shared" si="193"/>
        <v>177168.54620913751</v>
      </c>
      <c r="J469" s="340">
        <f t="shared" si="194"/>
        <v>1.5707906824521427</v>
      </c>
      <c r="K469" s="348">
        <f t="shared" si="184"/>
        <v>87.439517676289114</v>
      </c>
      <c r="L469" s="349">
        <f t="shared" si="185"/>
        <v>1.5593596008534494</v>
      </c>
      <c r="M469" s="337">
        <f t="shared" si="195"/>
        <v>1.0151121882005938</v>
      </c>
      <c r="N469" s="340">
        <f t="shared" si="196"/>
        <v>0.17276744716444831</v>
      </c>
      <c r="O469" s="341">
        <f t="shared" si="197"/>
        <v>0.97129790319318787</v>
      </c>
      <c r="P469" s="342">
        <f t="shared" si="198"/>
        <v>8.2984697770335736E-2</v>
      </c>
      <c r="Q469" s="343">
        <f t="shared" si="199"/>
        <v>-18.788895494095911</v>
      </c>
      <c r="R469" s="344">
        <f t="shared" si="200"/>
        <v>-97.431631988647013</v>
      </c>
      <c r="S469" s="346">
        <f t="shared" si="201"/>
        <v>82.568368011352987</v>
      </c>
      <c r="U469" s="319">
        <f t="shared" si="207"/>
        <v>53703</v>
      </c>
      <c r="V469" s="319">
        <f t="shared" si="208"/>
        <v>2884012209</v>
      </c>
      <c r="X469" s="345">
        <f t="shared" si="202"/>
        <v>31.44336619205172</v>
      </c>
      <c r="Y469" s="346">
        <f t="shared" si="203"/>
        <v>-10.553798302706584</v>
      </c>
      <c r="AA469" s="345">
        <f t="shared" si="204"/>
        <v>-1.4842948821979904</v>
      </c>
      <c r="AB469" s="346">
        <f t="shared" si="205"/>
        <v>-86.877833685940431</v>
      </c>
      <c r="AD469">
        <f t="shared" si="209"/>
        <v>0</v>
      </c>
      <c r="AE469">
        <f t="shared" si="186"/>
        <v>0</v>
      </c>
    </row>
    <row r="470" spans="1:31" x14ac:dyDescent="0.2">
      <c r="A470" s="347">
        <v>54015.75</v>
      </c>
      <c r="B470" s="364">
        <f t="shared" si="206"/>
        <v>54.015749999999997</v>
      </c>
      <c r="C470" s="337">
        <f t="shared" si="187"/>
        <v>303.21858200328433</v>
      </c>
      <c r="D470" s="338">
        <f t="shared" si="188"/>
        <v>1.5674983699013949</v>
      </c>
      <c r="E470" s="338">
        <f t="shared" si="189"/>
        <v>1.0091728278587391</v>
      </c>
      <c r="F470" s="339">
        <f t="shared" si="190"/>
        <v>0.13493150146717575</v>
      </c>
      <c r="G470" s="338">
        <f t="shared" si="191"/>
        <v>1</v>
      </c>
      <c r="H470" s="339">
        <f t="shared" si="192"/>
        <v>0</v>
      </c>
      <c r="I470" s="337">
        <f t="shared" si="193"/>
        <v>178200.32214018697</v>
      </c>
      <c r="J470" s="340">
        <f t="shared" si="194"/>
        <v>1.5707907151327627</v>
      </c>
      <c r="K470" s="348">
        <f t="shared" si="184"/>
        <v>87.948672523290654</v>
      </c>
      <c r="L470" s="349">
        <f t="shared" si="185"/>
        <v>1.5594258135201731</v>
      </c>
      <c r="M470" s="337">
        <f t="shared" si="195"/>
        <v>1.0152873892075025</v>
      </c>
      <c r="N470" s="340">
        <f t="shared" si="196"/>
        <v>0.17375352023606427</v>
      </c>
      <c r="O470" s="341">
        <f t="shared" si="197"/>
        <v>0.9709638607651</v>
      </c>
      <c r="P470" s="342">
        <f t="shared" si="198"/>
        <v>8.3497880637596819E-2</v>
      </c>
      <c r="Q470" s="343">
        <f t="shared" si="199"/>
        <v>-18.83694250853058</v>
      </c>
      <c r="R470" s="344">
        <f t="shared" si="200"/>
        <v>-97.470615983801935</v>
      </c>
      <c r="S470" s="346">
        <f t="shared" si="201"/>
        <v>82.529384016198065</v>
      </c>
      <c r="U470" s="319">
        <f t="shared" si="207"/>
        <v>54015.75</v>
      </c>
      <c r="V470" s="319">
        <f t="shared" si="208"/>
        <v>2917701248.0625</v>
      </c>
      <c r="X470" s="345">
        <f t="shared" si="202"/>
        <v>31.44186064111706</v>
      </c>
      <c r="Y470" s="346">
        <f t="shared" si="203"/>
        <v>-10.606504294169932</v>
      </c>
      <c r="AA470" s="345">
        <f t="shared" si="204"/>
        <v>-1.5308363456979992</v>
      </c>
      <c r="AB470" s="346">
        <f t="shared" si="205"/>
        <v>-86.864111689631955</v>
      </c>
      <c r="AD470">
        <f t="shared" si="209"/>
        <v>0</v>
      </c>
      <c r="AE470">
        <f t="shared" si="186"/>
        <v>0</v>
      </c>
    </row>
    <row r="471" spans="1:31" x14ac:dyDescent="0.2">
      <c r="A471" s="347">
        <v>54328.5</v>
      </c>
      <c r="B471" s="364">
        <f t="shared" si="206"/>
        <v>54.328499999999998</v>
      </c>
      <c r="C471" s="337">
        <f t="shared" si="187"/>
        <v>304.97419185885701</v>
      </c>
      <c r="D471" s="338">
        <f t="shared" si="188"/>
        <v>1.5675173549387869</v>
      </c>
      <c r="E471" s="338">
        <f t="shared" si="189"/>
        <v>1.0092788665951664</v>
      </c>
      <c r="F471" s="339">
        <f t="shared" si="190"/>
        <v>0.13570322277656158</v>
      </c>
      <c r="G471" s="338">
        <f t="shared" si="191"/>
        <v>1</v>
      </c>
      <c r="H471" s="339">
        <f t="shared" si="192"/>
        <v>0</v>
      </c>
      <c r="I471" s="337">
        <f t="shared" si="193"/>
        <v>179232.09807123657</v>
      </c>
      <c r="J471" s="340">
        <f t="shared" si="194"/>
        <v>1.570790747437121</v>
      </c>
      <c r="K471" s="348">
        <f t="shared" ref="K471:K534" si="210">SQRT(1+(A471/Zero2)^2)</f>
        <v>88.457827751430784</v>
      </c>
      <c r="L471" s="349">
        <f t="shared" ref="L471:L534" si="211">ATAN(A471/Zero2)</f>
        <v>1.5594912639589806</v>
      </c>
      <c r="M471" s="337">
        <f t="shared" si="195"/>
        <v>1.0154635770778446</v>
      </c>
      <c r="N471" s="340">
        <f t="shared" si="196"/>
        <v>0.17473925208892105</v>
      </c>
      <c r="O471" s="341">
        <f t="shared" si="197"/>
        <v>0.97062790827636891</v>
      </c>
      <c r="P471" s="342">
        <f t="shared" si="198"/>
        <v>8.4011604506391113E-2</v>
      </c>
      <c r="Q471" s="343">
        <f t="shared" si="199"/>
        <v>-18.884683213560315</v>
      </c>
      <c r="R471" s="344">
        <f t="shared" si="200"/>
        <v>-97.509651673784631</v>
      </c>
      <c r="S471" s="346">
        <f t="shared" si="201"/>
        <v>82.490348326215369</v>
      </c>
      <c r="U471" s="319">
        <f t="shared" si="207"/>
        <v>54328.5</v>
      </c>
      <c r="V471" s="319">
        <f t="shared" si="208"/>
        <v>2951585912.25</v>
      </c>
      <c r="X471" s="345">
        <f t="shared" si="202"/>
        <v>31.4403470205038</v>
      </c>
      <c r="Y471" s="346">
        <f t="shared" si="203"/>
        <v>-10.659234386122927</v>
      </c>
      <c r="AA471" s="345">
        <f t="shared" si="204"/>
        <v>-1.5770634301144706</v>
      </c>
      <c r="AB471" s="346">
        <f t="shared" si="205"/>
        <v>-86.850417287661685</v>
      </c>
      <c r="AD471">
        <f t="shared" si="209"/>
        <v>0</v>
      </c>
      <c r="AE471">
        <f t="shared" si="186"/>
        <v>0</v>
      </c>
    </row>
    <row r="472" spans="1:31" x14ac:dyDescent="0.2">
      <c r="A472" s="347">
        <v>54641.25</v>
      </c>
      <c r="B472" s="364">
        <f t="shared" si="206"/>
        <v>54.641249999999999</v>
      </c>
      <c r="C472" s="337">
        <f t="shared" si="187"/>
        <v>306.72980182309362</v>
      </c>
      <c r="D472" s="338">
        <f t="shared" si="188"/>
        <v>1.5675361226492706</v>
      </c>
      <c r="E472" s="338">
        <f t="shared" si="189"/>
        <v>1.009385506284938</v>
      </c>
      <c r="F472" s="339">
        <f t="shared" si="190"/>
        <v>0.13647478148354714</v>
      </c>
      <c r="G472" s="338">
        <f t="shared" si="191"/>
        <v>1</v>
      </c>
      <c r="H472" s="339">
        <f t="shared" si="192"/>
        <v>0</v>
      </c>
      <c r="I472" s="337">
        <f t="shared" si="193"/>
        <v>180263.87400228638</v>
      </c>
      <c r="J472" s="340">
        <f t="shared" si="194"/>
        <v>1.5707907793716787</v>
      </c>
      <c r="K472" s="348">
        <f t="shared" si="210"/>
        <v>88.966983354165791</v>
      </c>
      <c r="L472" s="349">
        <f t="shared" si="211"/>
        <v>1.5595559652559343</v>
      </c>
      <c r="M472" s="337">
        <f t="shared" si="195"/>
        <v>1.0156407512980332</v>
      </c>
      <c r="N472" s="340">
        <f t="shared" si="196"/>
        <v>0.17572464098549084</v>
      </c>
      <c r="O472" s="341">
        <f t="shared" si="197"/>
        <v>0.97029004627322502</v>
      </c>
      <c r="P472" s="342">
        <f t="shared" si="198"/>
        <v>8.4525873107749241E-2</v>
      </c>
      <c r="Q472" s="343">
        <f t="shared" si="199"/>
        <v>-18.932120935472316</v>
      </c>
      <c r="R472" s="344">
        <f t="shared" si="200"/>
        <v>-97.548738690691607</v>
      </c>
      <c r="S472" s="346">
        <f t="shared" si="201"/>
        <v>82.451261309308393</v>
      </c>
      <c r="U472" s="319">
        <f t="shared" si="207"/>
        <v>54641.25</v>
      </c>
      <c r="V472" s="319">
        <f t="shared" si="208"/>
        <v>2985666201.5625</v>
      </c>
      <c r="X472" s="345">
        <f t="shared" si="202"/>
        <v>31.438825336330112</v>
      </c>
      <c r="Y472" s="346">
        <f t="shared" si="203"/>
        <v>-10.711987729606617</v>
      </c>
      <c r="AA472" s="345">
        <f t="shared" si="204"/>
        <v>-1.6229794678527811</v>
      </c>
      <c r="AB472" s="346">
        <f t="shared" si="205"/>
        <v>-86.836750961084988</v>
      </c>
      <c r="AD472">
        <f t="shared" si="209"/>
        <v>0</v>
      </c>
      <c r="AE472">
        <f t="shared" si="186"/>
        <v>0</v>
      </c>
    </row>
    <row r="473" spans="1:31" x14ac:dyDescent="0.2">
      <c r="A473" s="347">
        <v>54954</v>
      </c>
      <c r="B473" s="364">
        <f t="shared" si="206"/>
        <v>54.954000000000001</v>
      </c>
      <c r="C473" s="337">
        <f t="shared" si="187"/>
        <v>308.48541189413913</v>
      </c>
      <c r="D473" s="338">
        <f t="shared" si="188"/>
        <v>1.567554676743296</v>
      </c>
      <c r="E473" s="338">
        <f t="shared" si="189"/>
        <v>1.0094927467376056</v>
      </c>
      <c r="F473" s="339">
        <f t="shared" si="190"/>
        <v>0.13724617672118694</v>
      </c>
      <c r="G473" s="338">
        <f t="shared" si="191"/>
        <v>1</v>
      </c>
      <c r="H473" s="339">
        <f t="shared" si="192"/>
        <v>0</v>
      </c>
      <c r="I473" s="337">
        <f t="shared" si="193"/>
        <v>181295.64993333636</v>
      </c>
      <c r="J473" s="340">
        <f t="shared" si="194"/>
        <v>1.5707908109427491</v>
      </c>
      <c r="K473" s="348">
        <f t="shared" si="210"/>
        <v>89.476139325100874</v>
      </c>
      <c r="L473" s="349">
        <f t="shared" si="211"/>
        <v>1.5596199301992626</v>
      </c>
      <c r="M473" s="337">
        <f t="shared" si="195"/>
        <v>1.0158189113519649</v>
      </c>
      <c r="N473" s="340">
        <f t="shared" si="196"/>
        <v>0.17670968519211869</v>
      </c>
      <c r="O473" s="341">
        <f t="shared" si="197"/>
        <v>0.9699502753059932</v>
      </c>
      <c r="P473" s="342">
        <f t="shared" si="198"/>
        <v>8.504069018383327E-2</v>
      </c>
      <c r="Q473" s="343">
        <f t="shared" si="199"/>
        <v>-18.979258943141339</v>
      </c>
      <c r="R473" s="344">
        <f t="shared" si="200"/>
        <v>-97.587876679517493</v>
      </c>
      <c r="S473" s="346">
        <f t="shared" si="201"/>
        <v>82.412123320482507</v>
      </c>
      <c r="U473" s="319">
        <f t="shared" si="207"/>
        <v>54954</v>
      </c>
      <c r="V473" s="319">
        <f t="shared" si="208"/>
        <v>3019942116</v>
      </c>
      <c r="X473" s="345">
        <f t="shared" si="202"/>
        <v>31.437295594827354</v>
      </c>
      <c r="Y473" s="346">
        <f t="shared" si="203"/>
        <v>-10.764763492940089</v>
      </c>
      <c r="AA473" s="345">
        <f t="shared" si="204"/>
        <v>-1.6685877340190471</v>
      </c>
      <c r="AB473" s="346">
        <f t="shared" si="205"/>
        <v>-86.823113186577373</v>
      </c>
      <c r="AD473">
        <f t="shared" si="209"/>
        <v>0</v>
      </c>
      <c r="AE473">
        <f t="shared" si="186"/>
        <v>0</v>
      </c>
    </row>
    <row r="474" spans="1:31" x14ac:dyDescent="0.2">
      <c r="A474" s="347">
        <v>55274</v>
      </c>
      <c r="B474" s="364">
        <f t="shared" si="206"/>
        <v>55.274000000000001</v>
      </c>
      <c r="C474" s="337">
        <f t="shared" si="187"/>
        <v>310.28171966941682</v>
      </c>
      <c r="D474" s="338">
        <f t="shared" si="188"/>
        <v>1.5675734436284949</v>
      </c>
      <c r="E474" s="338">
        <f t="shared" si="189"/>
        <v>1.0096030947944492</v>
      </c>
      <c r="F474" s="339">
        <f t="shared" si="190"/>
        <v>0.13803528392217856</v>
      </c>
      <c r="G474" s="338">
        <f t="shared" si="191"/>
        <v>1</v>
      </c>
      <c r="H474" s="339">
        <f t="shared" si="192"/>
        <v>0</v>
      </c>
      <c r="I474" s="337">
        <f t="shared" si="193"/>
        <v>182351.34393153316</v>
      </c>
      <c r="J474" s="340">
        <f t="shared" si="194"/>
        <v>1.5707908428758948</v>
      </c>
      <c r="K474" s="348">
        <f t="shared" si="210"/>
        <v>89.997098646764641</v>
      </c>
      <c r="L474" s="349">
        <f t="shared" si="211"/>
        <v>1.5596846288219788</v>
      </c>
      <c r="M474" s="337">
        <f t="shared" si="195"/>
        <v>1.0160022212524102</v>
      </c>
      <c r="N474" s="340">
        <f t="shared" si="196"/>
        <v>0.17771720558416587</v>
      </c>
      <c r="O474" s="341">
        <f t="shared" si="197"/>
        <v>0.96960065267589968</v>
      </c>
      <c r="P474" s="342">
        <f t="shared" si="198"/>
        <v>8.5568013077463867E-2</v>
      </c>
      <c r="Q474" s="343">
        <f t="shared" si="199"/>
        <v>-19.027182812619216</v>
      </c>
      <c r="R474" s="344">
        <f t="shared" si="200"/>
        <v>-97.627974344775467</v>
      </c>
      <c r="S474" s="346">
        <f t="shared" si="201"/>
        <v>82.372025655224533</v>
      </c>
      <c r="U474" s="319">
        <f t="shared" si="207"/>
        <v>55274</v>
      </c>
      <c r="V474" s="319">
        <f t="shared" si="208"/>
        <v>3055215076</v>
      </c>
      <c r="X474" s="345">
        <f t="shared" si="202"/>
        <v>31.435722058641598</v>
      </c>
      <c r="Y474" s="346">
        <f t="shared" si="203"/>
        <v>-10.818785030852018</v>
      </c>
      <c r="AA474" s="345">
        <f t="shared" si="204"/>
        <v>-1.7149380673111703</v>
      </c>
      <c r="AB474" s="346">
        <f t="shared" si="205"/>
        <v>-86.80918931392344</v>
      </c>
      <c r="AD474">
        <f t="shared" si="209"/>
        <v>0</v>
      </c>
      <c r="AE474">
        <f t="shared" ref="AE474:AE537" si="212">IF(AD474&gt;0,S474,0)</f>
        <v>0</v>
      </c>
    </row>
    <row r="475" spans="1:31" x14ac:dyDescent="0.2">
      <c r="A475" s="347">
        <v>55594</v>
      </c>
      <c r="B475" s="364">
        <f t="shared" si="206"/>
        <v>55.594000000000001</v>
      </c>
      <c r="C475" s="337">
        <f t="shared" si="187"/>
        <v>312.07802755271643</v>
      </c>
      <c r="D475" s="338">
        <f t="shared" si="188"/>
        <v>1.5675919944709105</v>
      </c>
      <c r="E475" s="338">
        <f t="shared" si="189"/>
        <v>1.0097140713835819</v>
      </c>
      <c r="F475" s="339">
        <f t="shared" si="190"/>
        <v>0.13882421815449214</v>
      </c>
      <c r="G475" s="338">
        <f t="shared" si="191"/>
        <v>1</v>
      </c>
      <c r="H475" s="339">
        <f t="shared" si="192"/>
        <v>0</v>
      </c>
      <c r="I475" s="337">
        <f t="shared" si="193"/>
        <v>183407.03792973017</v>
      </c>
      <c r="J475" s="340">
        <f t="shared" si="194"/>
        <v>1.5707908744414247</v>
      </c>
      <c r="K475" s="348">
        <f t="shared" si="210"/>
        <v>90.518058340812047</v>
      </c>
      <c r="L475" s="349">
        <f t="shared" si="211"/>
        <v>1.5597485827234028</v>
      </c>
      <c r="M475" s="337">
        <f t="shared" si="195"/>
        <v>1.0161865621213106</v>
      </c>
      <c r="N475" s="340">
        <f t="shared" si="196"/>
        <v>0.17872436146069359</v>
      </c>
      <c r="O475" s="341">
        <f t="shared" si="197"/>
        <v>0.9692490327295783</v>
      </c>
      <c r="P475" s="342">
        <f t="shared" si="198"/>
        <v>8.6095918131662286E-2</v>
      </c>
      <c r="Q475" s="343">
        <f t="shared" si="199"/>
        <v>-19.074799656386951</v>
      </c>
      <c r="R475" s="344">
        <f t="shared" si="200"/>
        <v>-97.668124660535895</v>
      </c>
      <c r="S475" s="346">
        <f t="shared" si="201"/>
        <v>82.331875339464105</v>
      </c>
      <c r="U475" s="319">
        <f t="shared" si="207"/>
        <v>55594</v>
      </c>
      <c r="V475" s="319">
        <f t="shared" si="208"/>
        <v>3090692836</v>
      </c>
      <c r="X475" s="345">
        <f t="shared" si="202"/>
        <v>31.43414010078564</v>
      </c>
      <c r="Y475" s="346">
        <f t="shared" si="203"/>
        <v>-10.872828331887272</v>
      </c>
      <c r="AA475" s="345">
        <f t="shared" si="204"/>
        <v>-1.7609729532229477</v>
      </c>
      <c r="AB475" s="346">
        <f t="shared" si="205"/>
        <v>-86.795296328648618</v>
      </c>
      <c r="AD475">
        <f t="shared" si="209"/>
        <v>0</v>
      </c>
      <c r="AE475">
        <f t="shared" si="212"/>
        <v>0</v>
      </c>
    </row>
    <row r="476" spans="1:31" x14ac:dyDescent="0.2">
      <c r="A476" s="347">
        <v>55914</v>
      </c>
      <c r="B476" s="364">
        <f t="shared" si="206"/>
        <v>55.914000000000001</v>
      </c>
      <c r="C476" s="337">
        <f t="shared" si="187"/>
        <v>313.87433554218342</v>
      </c>
      <c r="D476" s="338">
        <f t="shared" si="188"/>
        <v>1.5676103329797793</v>
      </c>
      <c r="E476" s="338">
        <f t="shared" si="189"/>
        <v>1.0098256762977824</v>
      </c>
      <c r="F476" s="339">
        <f t="shared" si="190"/>
        <v>0.13961297849322388</v>
      </c>
      <c r="G476" s="338">
        <f t="shared" si="191"/>
        <v>1</v>
      </c>
      <c r="H476" s="339">
        <f t="shared" si="192"/>
        <v>0</v>
      </c>
      <c r="I476" s="337">
        <f t="shared" si="193"/>
        <v>184462.73192792735</v>
      </c>
      <c r="J476" s="340">
        <f t="shared" si="194"/>
        <v>1.5707909056456513</v>
      </c>
      <c r="K476" s="348">
        <f t="shared" si="210"/>
        <v>91.039018400850324</v>
      </c>
      <c r="L476" s="349">
        <f t="shared" si="211"/>
        <v>1.5598118046877463</v>
      </c>
      <c r="M476" s="337">
        <f t="shared" si="195"/>
        <v>1.0163719333977008</v>
      </c>
      <c r="N476" s="340">
        <f t="shared" si="196"/>
        <v>0.17973115097735506</v>
      </c>
      <c r="O476" s="341">
        <f t="shared" si="197"/>
        <v>0.96889541606994756</v>
      </c>
      <c r="P476" s="342">
        <f t="shared" si="198"/>
        <v>8.6624409391675622E-2</v>
      </c>
      <c r="Q476" s="343">
        <f t="shared" si="199"/>
        <v>-19.122112797709832</v>
      </c>
      <c r="R476" s="344">
        <f t="shared" si="200"/>
        <v>-97.708327286298029</v>
      </c>
      <c r="S476" s="346">
        <f t="shared" si="201"/>
        <v>82.291672713701971</v>
      </c>
      <c r="U476" s="319">
        <f t="shared" si="207"/>
        <v>55914</v>
      </c>
      <c r="V476" s="319">
        <f t="shared" si="208"/>
        <v>3126375396</v>
      </c>
      <c r="X476" s="345">
        <f t="shared" si="202"/>
        <v>31.432549728285281</v>
      </c>
      <c r="Y476" s="346">
        <f t="shared" si="203"/>
        <v>-10.92689255825284</v>
      </c>
      <c r="AA476" s="345">
        <f t="shared" si="204"/>
        <v>-1.8066957220454729</v>
      </c>
      <c r="AB476" s="346">
        <f t="shared" si="205"/>
        <v>-86.781434728045198</v>
      </c>
      <c r="AD476">
        <f t="shared" si="209"/>
        <v>0</v>
      </c>
      <c r="AE476">
        <f t="shared" si="212"/>
        <v>0</v>
      </c>
    </row>
    <row r="477" spans="1:31" x14ac:dyDescent="0.2">
      <c r="A477" s="347">
        <v>56234</v>
      </c>
      <c r="B477" s="364">
        <f t="shared" si="206"/>
        <v>56.234000000000002</v>
      </c>
      <c r="C477" s="337">
        <f t="shared" si="187"/>
        <v>315.67064363600525</v>
      </c>
      <c r="D477" s="338">
        <f t="shared" si="188"/>
        <v>1.5676284627799093</v>
      </c>
      <c r="E477" s="338">
        <f t="shared" si="189"/>
        <v>1.0099379093287484</v>
      </c>
      <c r="F477" s="339">
        <f t="shared" si="190"/>
        <v>0.14040156401474321</v>
      </c>
      <c r="G477" s="338">
        <f t="shared" si="191"/>
        <v>1</v>
      </c>
      <c r="H477" s="339">
        <f t="shared" si="192"/>
        <v>0</v>
      </c>
      <c r="I477" s="337">
        <f t="shared" si="193"/>
        <v>185518.42592612471</v>
      </c>
      <c r="J477" s="340">
        <f t="shared" si="194"/>
        <v>1.5707909364947417</v>
      </c>
      <c r="K477" s="348">
        <f t="shared" si="210"/>
        <v>91.559978820632239</v>
      </c>
      <c r="L477" s="349">
        <f t="shared" si="211"/>
        <v>1.5598743072082852</v>
      </c>
      <c r="M477" s="337">
        <f t="shared" si="195"/>
        <v>1.0165583345178912</v>
      </c>
      <c r="N477" s="340">
        <f t="shared" si="196"/>
        <v>0.1807375722941158</v>
      </c>
      <c r="O477" s="341">
        <f t="shared" si="197"/>
        <v>0.96853980330449441</v>
      </c>
      <c r="P477" s="342">
        <f t="shared" si="198"/>
        <v>8.7153490915340262E-2</v>
      </c>
      <c r="Q477" s="343">
        <f t="shared" si="199"/>
        <v>-19.169125502458883</v>
      </c>
      <c r="R477" s="344">
        <f t="shared" si="200"/>
        <v>-97.748581894280306</v>
      </c>
      <c r="S477" s="346">
        <f t="shared" si="201"/>
        <v>82.251418105719694</v>
      </c>
      <c r="U477" s="319">
        <f t="shared" si="207"/>
        <v>56234</v>
      </c>
      <c r="V477" s="319">
        <f t="shared" si="208"/>
        <v>3162262756</v>
      </c>
      <c r="X477" s="345">
        <f t="shared" si="202"/>
        <v>31.430950948279282</v>
      </c>
      <c r="Y477" s="346">
        <f t="shared" si="203"/>
        <v>-10.980976889063895</v>
      </c>
      <c r="AA477" s="345">
        <f t="shared" si="204"/>
        <v>-1.8521096467885247</v>
      </c>
      <c r="AB477" s="346">
        <f t="shared" si="205"/>
        <v>-86.767605005216424</v>
      </c>
      <c r="AD477">
        <f t="shared" si="209"/>
        <v>0</v>
      </c>
      <c r="AE477">
        <f t="shared" si="212"/>
        <v>0</v>
      </c>
    </row>
    <row r="478" spans="1:31" x14ac:dyDescent="0.2">
      <c r="A478" s="347">
        <v>56561.5</v>
      </c>
      <c r="B478" s="364">
        <f t="shared" si="206"/>
        <v>56.561500000000002</v>
      </c>
      <c r="C478" s="337">
        <f t="shared" si="187"/>
        <v>317.50905280698015</v>
      </c>
      <c r="D478" s="338">
        <f t="shared" si="188"/>
        <v>1.567646805090211</v>
      </c>
      <c r="E478" s="338">
        <f t="shared" si="189"/>
        <v>1.0100534229743898</v>
      </c>
      <c r="F478" s="339">
        <f t="shared" si="190"/>
        <v>0.14120845003579344</v>
      </c>
      <c r="G478" s="338">
        <f t="shared" si="191"/>
        <v>1</v>
      </c>
      <c r="H478" s="339">
        <f t="shared" si="192"/>
        <v>0</v>
      </c>
      <c r="I478" s="337">
        <f t="shared" si="193"/>
        <v>186598.86275240497</v>
      </c>
      <c r="J478" s="340">
        <f t="shared" si="194"/>
        <v>1.5707909677054293</v>
      </c>
      <c r="K478" s="348">
        <f t="shared" si="210"/>
        <v>92.093149616371633</v>
      </c>
      <c r="L478" s="349">
        <f t="shared" si="211"/>
        <v>1.5599375424375834</v>
      </c>
      <c r="M478" s="337">
        <f t="shared" si="195"/>
        <v>1.016750170155363</v>
      </c>
      <c r="N478" s="340">
        <f t="shared" si="196"/>
        <v>0.18176719844936148</v>
      </c>
      <c r="O478" s="341">
        <f t="shared" si="197"/>
        <v>0.96817378967392742</v>
      </c>
      <c r="P478" s="342">
        <f t="shared" si="198"/>
        <v>8.769558821219782E-2</v>
      </c>
      <c r="Q478" s="343">
        <f t="shared" si="199"/>
        <v>-19.216932335292064</v>
      </c>
      <c r="R478" s="344">
        <f t="shared" si="200"/>
        <v>-97.789833464592576</v>
      </c>
      <c r="S478" s="346">
        <f t="shared" si="201"/>
        <v>82.210166535407424</v>
      </c>
      <c r="U478" s="319">
        <f t="shared" si="207"/>
        <v>56561.5</v>
      </c>
      <c r="V478" s="319">
        <f t="shared" si="208"/>
        <v>3199203282.25</v>
      </c>
      <c r="X478" s="345">
        <f t="shared" si="202"/>
        <v>31.429305999041031</v>
      </c>
      <c r="Y478" s="346">
        <f t="shared" si="203"/>
        <v>-11.036348798784367</v>
      </c>
      <c r="AA478" s="345">
        <f t="shared" si="204"/>
        <v>-1.8982715303834472</v>
      </c>
      <c r="AB478" s="346">
        <f t="shared" si="205"/>
        <v>-86.753484665808202</v>
      </c>
      <c r="AD478">
        <f t="shared" si="209"/>
        <v>0</v>
      </c>
      <c r="AE478">
        <f t="shared" si="212"/>
        <v>0</v>
      </c>
    </row>
    <row r="479" spans="1:31" x14ac:dyDescent="0.2">
      <c r="A479" s="347">
        <v>56889</v>
      </c>
      <c r="B479" s="364">
        <f t="shared" si="206"/>
        <v>56.889000000000003</v>
      </c>
      <c r="C479" s="337">
        <f t="shared" si="187"/>
        <v>319.34746208354795</v>
      </c>
      <c r="D479" s="338">
        <f t="shared" si="188"/>
        <v>1.5676649362156658</v>
      </c>
      <c r="E479" s="338">
        <f t="shared" si="189"/>
        <v>1.0101695940798683</v>
      </c>
      <c r="F479" s="339">
        <f t="shared" si="190"/>
        <v>0.14201515099561374</v>
      </c>
      <c r="G479" s="338">
        <f t="shared" si="191"/>
        <v>1</v>
      </c>
      <c r="H479" s="339">
        <f t="shared" si="192"/>
        <v>0</v>
      </c>
      <c r="I479" s="337">
        <f t="shared" si="193"/>
        <v>187679.29957868543</v>
      </c>
      <c r="J479" s="340">
        <f t="shared" si="194"/>
        <v>1.5707909985567678</v>
      </c>
      <c r="K479" s="348">
        <f t="shared" si="210"/>
        <v>92.626320776123947</v>
      </c>
      <c r="L479" s="349">
        <f t="shared" si="211"/>
        <v>1.5600000496839757</v>
      </c>
      <c r="M479" s="337">
        <f t="shared" si="195"/>
        <v>1.0169430832728819</v>
      </c>
      <c r="N479" s="340">
        <f t="shared" si="196"/>
        <v>0.18279643505721971</v>
      </c>
      <c r="O479" s="341">
        <f t="shared" si="197"/>
        <v>0.96780568657583399</v>
      </c>
      <c r="P479" s="342">
        <f t="shared" si="198"/>
        <v>8.8238312406543118E-2</v>
      </c>
      <c r="Q479" s="343">
        <f t="shared" si="199"/>
        <v>-19.264431226671782</v>
      </c>
      <c r="R479" s="344">
        <f t="shared" si="200"/>
        <v>-97.831138827049799</v>
      </c>
      <c r="S479" s="346">
        <f t="shared" si="201"/>
        <v>82.168861172950201</v>
      </c>
      <c r="U479" s="319">
        <f t="shared" si="207"/>
        <v>56889</v>
      </c>
      <c r="V479" s="319">
        <f t="shared" si="208"/>
        <v>3236358321</v>
      </c>
      <c r="X479" s="345">
        <f t="shared" si="202"/>
        <v>31.42765225905833</v>
      </c>
      <c r="Y479" s="346">
        <f t="shared" si="203"/>
        <v>-11.091740078842541</v>
      </c>
      <c r="AA479" s="345">
        <f t="shared" si="204"/>
        <v>-1.9441166817804669</v>
      </c>
      <c r="AB479" s="346">
        <f t="shared" si="205"/>
        <v>-86.73939874820725</v>
      </c>
      <c r="AD479">
        <f t="shared" si="209"/>
        <v>0</v>
      </c>
      <c r="AE479">
        <f t="shared" si="212"/>
        <v>0</v>
      </c>
    </row>
    <row r="480" spans="1:31" x14ac:dyDescent="0.2">
      <c r="A480" s="347">
        <v>57216.5</v>
      </c>
      <c r="B480" s="364">
        <f t="shared" si="206"/>
        <v>57.216500000000003</v>
      </c>
      <c r="C480" s="337">
        <f t="shared" si="187"/>
        <v>321.18587146389552</v>
      </c>
      <c r="D480" s="338">
        <f t="shared" si="188"/>
        <v>1.5676828597826122</v>
      </c>
      <c r="E480" s="338">
        <f t="shared" si="189"/>
        <v>1.0102864224183832</v>
      </c>
      <c r="F480" s="339">
        <f t="shared" si="190"/>
        <v>0.1428216659082778</v>
      </c>
      <c r="G480" s="338">
        <f t="shared" si="191"/>
        <v>1</v>
      </c>
      <c r="H480" s="339">
        <f t="shared" si="192"/>
        <v>0</v>
      </c>
      <c r="I480" s="337">
        <f t="shared" si="193"/>
        <v>188759.7364049661</v>
      </c>
      <c r="J480" s="340">
        <f t="shared" si="194"/>
        <v>1.5707910290549281</v>
      </c>
      <c r="K480" s="348">
        <f t="shared" si="210"/>
        <v>93.159492293639204</v>
      </c>
      <c r="L480" s="349">
        <f t="shared" si="211"/>
        <v>1.5600618414461709</v>
      </c>
      <c r="M480" s="337">
        <f t="shared" si="195"/>
        <v>1.0171370732573739</v>
      </c>
      <c r="N480" s="340">
        <f t="shared" si="196"/>
        <v>0.1838252801593632</v>
      </c>
      <c r="O480" s="341">
        <f t="shared" si="197"/>
        <v>0.96743549467642398</v>
      </c>
      <c r="P480" s="342">
        <f t="shared" si="198"/>
        <v>8.8781667889886326E-2</v>
      </c>
      <c r="Q480" s="343">
        <f t="shared" si="199"/>
        <v>-19.311625499171122</v>
      </c>
      <c r="R480" s="344">
        <f t="shared" si="200"/>
        <v>-97.872497669556694</v>
      </c>
      <c r="S480" s="346">
        <f t="shared" si="201"/>
        <v>82.127502330443306</v>
      </c>
      <c r="U480" s="319">
        <f t="shared" si="207"/>
        <v>57216.5</v>
      </c>
      <c r="V480" s="319">
        <f t="shared" si="208"/>
        <v>3273727872.25</v>
      </c>
      <c r="X480" s="345">
        <f t="shared" si="202"/>
        <v>31.425989736334973</v>
      </c>
      <c r="Y480" s="346">
        <f t="shared" si="203"/>
        <v>-11.147149901264781</v>
      </c>
      <c r="AA480" s="345">
        <f t="shared" si="204"/>
        <v>-1.9896484315564531</v>
      </c>
      <c r="AB480" s="346">
        <f t="shared" si="205"/>
        <v>-86.725347768291897</v>
      </c>
      <c r="AD480">
        <f t="shared" si="209"/>
        <v>0</v>
      </c>
      <c r="AE480">
        <f t="shared" si="212"/>
        <v>0</v>
      </c>
    </row>
    <row r="481" spans="1:31" x14ac:dyDescent="0.2">
      <c r="A481" s="347">
        <v>57544</v>
      </c>
      <c r="B481" s="364">
        <f t="shared" si="206"/>
        <v>57.543999999999997</v>
      </c>
      <c r="C481" s="337">
        <f t="shared" si="187"/>
        <v>323.02428094625094</v>
      </c>
      <c r="D481" s="338">
        <f t="shared" si="188"/>
        <v>1.5677005793348362</v>
      </c>
      <c r="E481" s="338">
        <f t="shared" si="189"/>
        <v>1.0104039077619564</v>
      </c>
      <c r="F481" s="339">
        <f t="shared" si="190"/>
        <v>0.1436279937892822</v>
      </c>
      <c r="G481" s="338">
        <f t="shared" si="191"/>
        <v>1</v>
      </c>
      <c r="H481" s="339">
        <f t="shared" si="192"/>
        <v>0</v>
      </c>
      <c r="I481" s="337">
        <f t="shared" si="193"/>
        <v>189840.17323124691</v>
      </c>
      <c r="J481" s="340">
        <f t="shared" si="194"/>
        <v>1.5707910592059402</v>
      </c>
      <c r="K481" s="348">
        <f t="shared" si="210"/>
        <v>93.692664162809734</v>
      </c>
      <c r="L481" s="349">
        <f t="shared" si="211"/>
        <v>1.5601229299383967</v>
      </c>
      <c r="M481" s="337">
        <f t="shared" si="195"/>
        <v>1.0173321394928121</v>
      </c>
      <c r="N481" s="340">
        <f t="shared" si="196"/>
        <v>0.18485373180226963</v>
      </c>
      <c r="O481" s="341">
        <f t="shared" si="197"/>
        <v>0.96706321464701261</v>
      </c>
      <c r="P481" s="342">
        <f t="shared" si="198"/>
        <v>8.9325659067995403E-2</v>
      </c>
      <c r="Q481" s="343">
        <f t="shared" si="199"/>
        <v>-19.358518417928611</v>
      </c>
      <c r="R481" s="344">
        <f t="shared" si="200"/>
        <v>-97.913909692590238</v>
      </c>
      <c r="S481" s="346">
        <f t="shared" si="201"/>
        <v>82.086090307409762</v>
      </c>
      <c r="U481" s="319">
        <f t="shared" si="207"/>
        <v>57544</v>
      </c>
      <c r="V481" s="319">
        <f t="shared" si="208"/>
        <v>3311311936</v>
      </c>
      <c r="X481" s="345">
        <f t="shared" si="202"/>
        <v>31.424318438987985</v>
      </c>
      <c r="Y481" s="346">
        <f t="shared" si="203"/>
        <v>-11.202577454644334</v>
      </c>
      <c r="AA481" s="345">
        <f t="shared" si="204"/>
        <v>-2.0348700529669506</v>
      </c>
      <c r="AB481" s="346">
        <f t="shared" si="205"/>
        <v>-86.711332237945896</v>
      </c>
      <c r="AD481">
        <f t="shared" si="209"/>
        <v>0</v>
      </c>
      <c r="AE481">
        <f t="shared" si="212"/>
        <v>0</v>
      </c>
    </row>
    <row r="482" spans="1:31" x14ac:dyDescent="0.2">
      <c r="A482" s="347">
        <v>57879</v>
      </c>
      <c r="B482" s="364">
        <f t="shared" si="206"/>
        <v>57.878999999999998</v>
      </c>
      <c r="C482" s="337">
        <f t="shared" si="187"/>
        <v>324.90479151285183</v>
      </c>
      <c r="D482" s="338">
        <f t="shared" si="188"/>
        <v>1.5677184972123146</v>
      </c>
      <c r="E482" s="338">
        <f t="shared" si="189"/>
        <v>1.0105247631168934</v>
      </c>
      <c r="F482" s="339">
        <f t="shared" si="190"/>
        <v>0.14445259266396668</v>
      </c>
      <c r="G482" s="338">
        <f t="shared" si="191"/>
        <v>1</v>
      </c>
      <c r="H482" s="339">
        <f t="shared" si="192"/>
        <v>0</v>
      </c>
      <c r="I482" s="337">
        <f t="shared" si="193"/>
        <v>190945.35288561069</v>
      </c>
      <c r="J482" s="340">
        <f t="shared" si="194"/>
        <v>1.5707910896944126</v>
      </c>
      <c r="K482" s="348">
        <f t="shared" si="210"/>
        <v>94.238046432390462</v>
      </c>
      <c r="L482" s="349">
        <f t="shared" si="211"/>
        <v>1.5601847022348878</v>
      </c>
      <c r="M482" s="337">
        <f t="shared" si="195"/>
        <v>1.0175327857522614</v>
      </c>
      <c r="N482" s="340">
        <f t="shared" si="196"/>
        <v>0.18590532666317811</v>
      </c>
      <c r="O482" s="341">
        <f t="shared" si="197"/>
        <v>0.96668024941876407</v>
      </c>
      <c r="P482" s="342">
        <f t="shared" si="198"/>
        <v>8.9882770365777853E-2</v>
      </c>
      <c r="Q482" s="343">
        <f t="shared" si="199"/>
        <v>-19.406176780807456</v>
      </c>
      <c r="R482" s="344">
        <f t="shared" si="200"/>
        <v>-97.956324804436122</v>
      </c>
      <c r="S482" s="346">
        <f t="shared" si="201"/>
        <v>82.043675195563878</v>
      </c>
      <c r="U482" s="319">
        <f t="shared" si="207"/>
        <v>57879</v>
      </c>
      <c r="V482" s="319">
        <f t="shared" si="208"/>
        <v>3349978641</v>
      </c>
      <c r="X482" s="345">
        <f t="shared" si="202"/>
        <v>31.422599797891255</v>
      </c>
      <c r="Y482" s="346">
        <f t="shared" si="203"/>
        <v>-11.259291856977864</v>
      </c>
      <c r="AA482" s="345">
        <f t="shared" si="204"/>
        <v>-2.0808097747490648</v>
      </c>
      <c r="AB482" s="346">
        <f t="shared" si="205"/>
        <v>-86.69703294745824</v>
      </c>
      <c r="AD482">
        <f t="shared" si="209"/>
        <v>0</v>
      </c>
      <c r="AE482">
        <f t="shared" si="212"/>
        <v>0</v>
      </c>
    </row>
    <row r="483" spans="1:31" x14ac:dyDescent="0.2">
      <c r="A483" s="347">
        <v>58214</v>
      </c>
      <c r="B483" s="364">
        <f t="shared" si="206"/>
        <v>58.213999999999999</v>
      </c>
      <c r="C483" s="337">
        <f t="shared" si="187"/>
        <v>326.78530218256299</v>
      </c>
      <c r="D483" s="338">
        <f t="shared" si="188"/>
        <v>1.5677362088702436</v>
      </c>
      <c r="E483" s="338">
        <f t="shared" si="189"/>
        <v>1.0106463054269803</v>
      </c>
      <c r="F483" s="339">
        <f t="shared" si="190"/>
        <v>0.14527699376334044</v>
      </c>
      <c r="G483" s="338">
        <f t="shared" si="191"/>
        <v>1</v>
      </c>
      <c r="H483" s="339">
        <f t="shared" si="192"/>
        <v>0</v>
      </c>
      <c r="I483" s="337">
        <f t="shared" si="193"/>
        <v>192050.53253997461</v>
      </c>
      <c r="J483" s="340">
        <f t="shared" si="194"/>
        <v>1.5707911198319855</v>
      </c>
      <c r="K483" s="348">
        <f t="shared" si="210"/>
        <v>94.78342905742808</v>
      </c>
      <c r="L483" s="349">
        <f t="shared" si="211"/>
        <v>1.5602457636576195</v>
      </c>
      <c r="M483" s="337">
        <f t="shared" si="195"/>
        <v>1.0177345568077159</v>
      </c>
      <c r="N483" s="340">
        <f t="shared" si="196"/>
        <v>0.1869565057180855</v>
      </c>
      <c r="O483" s="341">
        <f t="shared" si="197"/>
        <v>0.96629510076323621</v>
      </c>
      <c r="P483" s="342">
        <f t="shared" si="198"/>
        <v>9.0440556178975409E-2</v>
      </c>
      <c r="Q483" s="343">
        <f t="shared" si="199"/>
        <v>-19.45352656206142</v>
      </c>
      <c r="R483" s="344">
        <f t="shared" si="200"/>
        <v>-97.998794965381435</v>
      </c>
      <c r="S483" s="346">
        <f t="shared" si="201"/>
        <v>82.001205034618565</v>
      </c>
      <c r="U483" s="319">
        <f t="shared" si="207"/>
        <v>58214</v>
      </c>
      <c r="V483" s="319">
        <f t="shared" si="208"/>
        <v>3388869796</v>
      </c>
      <c r="X483" s="345">
        <f t="shared" si="202"/>
        <v>31.420871993210731</v>
      </c>
      <c r="Y483" s="346">
        <f t="shared" si="203"/>
        <v>-11.31602314534358</v>
      </c>
      <c r="AA483" s="345">
        <f t="shared" si="204"/>
        <v>-2.1264317513225022</v>
      </c>
      <c r="AB483" s="346">
        <f t="shared" si="205"/>
        <v>-86.682771820037871</v>
      </c>
      <c r="AD483">
        <f t="shared" si="209"/>
        <v>0</v>
      </c>
      <c r="AE483">
        <f t="shared" si="212"/>
        <v>0</v>
      </c>
    </row>
    <row r="484" spans="1:31" x14ac:dyDescent="0.2">
      <c r="A484" s="347">
        <v>58549</v>
      </c>
      <c r="B484" s="364">
        <f t="shared" si="206"/>
        <v>58.548999999999999</v>
      </c>
      <c r="C484" s="337">
        <f t="shared" si="187"/>
        <v>328.66581295361453</v>
      </c>
      <c r="D484" s="338">
        <f t="shared" si="188"/>
        <v>1.5677537178483607</v>
      </c>
      <c r="E484" s="338">
        <f t="shared" si="189"/>
        <v>1.0107685344444031</v>
      </c>
      <c r="F484" s="339">
        <f t="shared" si="190"/>
        <v>0.14610119603836513</v>
      </c>
      <c r="G484" s="338">
        <f t="shared" si="191"/>
        <v>1</v>
      </c>
      <c r="H484" s="339">
        <f t="shared" si="192"/>
        <v>0</v>
      </c>
      <c r="I484" s="337">
        <f t="shared" si="193"/>
        <v>193155.7121943387</v>
      </c>
      <c r="J484" s="340">
        <f t="shared" si="194"/>
        <v>1.5707911496246818</v>
      </c>
      <c r="K484" s="348">
        <f t="shared" si="210"/>
        <v>95.328812031821826</v>
      </c>
      <c r="L484" s="349">
        <f t="shared" si="211"/>
        <v>1.5603061264070117</v>
      </c>
      <c r="M484" s="337">
        <f t="shared" si="195"/>
        <v>1.0179374519903199</v>
      </c>
      <c r="N484" s="340">
        <f t="shared" si="196"/>
        <v>0.18800726689188499</v>
      </c>
      <c r="O484" s="341">
        <f t="shared" si="197"/>
        <v>0.96590776941566991</v>
      </c>
      <c r="P484" s="342">
        <f t="shared" si="198"/>
        <v>9.099902127008351E-2</v>
      </c>
      <c r="Q484" s="343">
        <f t="shared" si="199"/>
        <v>-19.500571078174808</v>
      </c>
      <c r="R484" s="344">
        <f t="shared" si="200"/>
        <v>-98.041319893632306</v>
      </c>
      <c r="S484" s="346">
        <f t="shared" si="201"/>
        <v>81.958680106367694</v>
      </c>
      <c r="U484" s="319">
        <f t="shared" si="207"/>
        <v>58549</v>
      </c>
      <c r="V484" s="319">
        <f t="shared" si="208"/>
        <v>3427985401</v>
      </c>
      <c r="X484" s="345">
        <f t="shared" si="202"/>
        <v>31.419135033985913</v>
      </c>
      <c r="Y484" s="346">
        <f t="shared" si="203"/>
        <v>-11.372770502159128</v>
      </c>
      <c r="AA484" s="345">
        <f t="shared" si="204"/>
        <v>-2.1717393082110763</v>
      </c>
      <c r="AB484" s="346">
        <f t="shared" si="205"/>
        <v>-86.668549391473206</v>
      </c>
      <c r="AD484">
        <f t="shared" si="209"/>
        <v>0</v>
      </c>
      <c r="AE484">
        <f t="shared" si="212"/>
        <v>0</v>
      </c>
    </row>
    <row r="485" spans="1:31" x14ac:dyDescent="0.2">
      <c r="A485" s="347">
        <v>58884</v>
      </c>
      <c r="B485" s="364">
        <f t="shared" si="206"/>
        <v>58.884</v>
      </c>
      <c r="C485" s="337">
        <f t="shared" si="187"/>
        <v>330.54632382427684</v>
      </c>
      <c r="D485" s="338">
        <f t="shared" si="188"/>
        <v>1.5677710276058514</v>
      </c>
      <c r="E485" s="338">
        <f t="shared" si="189"/>
        <v>1.0108914499200681</v>
      </c>
      <c r="F485" s="339">
        <f t="shared" si="190"/>
        <v>0.14692519844158888</v>
      </c>
      <c r="G485" s="338">
        <f t="shared" si="191"/>
        <v>1</v>
      </c>
      <c r="H485" s="339">
        <f t="shared" si="192"/>
        <v>0</v>
      </c>
      <c r="I485" s="337">
        <f t="shared" si="193"/>
        <v>194260.891848703</v>
      </c>
      <c r="J485" s="340">
        <f t="shared" si="194"/>
        <v>1.5707911790783877</v>
      </c>
      <c r="K485" s="348">
        <f t="shared" si="210"/>
        <v>95.874195349609721</v>
      </c>
      <c r="L485" s="349">
        <f t="shared" si="211"/>
        <v>1.5603658024058951</v>
      </c>
      <c r="M485" s="337">
        <f t="shared" si="195"/>
        <v>1.018141470628025</v>
      </c>
      <c r="N485" s="340">
        <f t="shared" si="196"/>
        <v>0.18905760811481015</v>
      </c>
      <c r="O485" s="341">
        <f t="shared" si="197"/>
        <v>0.96551825611700492</v>
      </c>
      <c r="P485" s="342">
        <f t="shared" si="198"/>
        <v>9.155817041771766E-2</v>
      </c>
      <c r="Q485" s="343">
        <f t="shared" si="199"/>
        <v>-19.547313588275767</v>
      </c>
      <c r="R485" s="344">
        <f t="shared" si="200"/>
        <v>-98.083899319815018</v>
      </c>
      <c r="S485" s="346">
        <f t="shared" si="201"/>
        <v>81.916100680184982</v>
      </c>
      <c r="U485" s="319">
        <f t="shared" si="207"/>
        <v>58884</v>
      </c>
      <c r="V485" s="319">
        <f t="shared" si="208"/>
        <v>3467325456</v>
      </c>
      <c r="X485" s="345">
        <f t="shared" si="202"/>
        <v>31.417388929369956</v>
      </c>
      <c r="Y485" s="346">
        <f t="shared" si="203"/>
        <v>-11.429533126044998</v>
      </c>
      <c r="AA485" s="345">
        <f t="shared" si="204"/>
        <v>-2.2167357136960812</v>
      </c>
      <c r="AB485" s="346">
        <f t="shared" si="205"/>
        <v>-86.654366193770031</v>
      </c>
      <c r="AD485">
        <f t="shared" si="209"/>
        <v>0</v>
      </c>
      <c r="AE485">
        <f t="shared" si="212"/>
        <v>0</v>
      </c>
    </row>
    <row r="486" spans="1:31" x14ac:dyDescent="0.2">
      <c r="A486" s="347">
        <v>59227</v>
      </c>
      <c r="B486" s="364">
        <f t="shared" si="206"/>
        <v>59.226999999999997</v>
      </c>
      <c r="C486" s="337">
        <f t="shared" si="187"/>
        <v>332.47174251866574</v>
      </c>
      <c r="D486" s="338">
        <f t="shared" si="188"/>
        <v>1.5677885478473836</v>
      </c>
      <c r="E486" s="338">
        <f t="shared" si="189"/>
        <v>1.0110180116727192</v>
      </c>
      <c r="F486" s="339">
        <f t="shared" si="190"/>
        <v>0.14776867033352789</v>
      </c>
      <c r="G486" s="338">
        <f t="shared" si="191"/>
        <v>1</v>
      </c>
      <c r="H486" s="339">
        <f t="shared" si="192"/>
        <v>0</v>
      </c>
      <c r="I486" s="337">
        <f t="shared" si="193"/>
        <v>195392.4638530224</v>
      </c>
      <c r="J486" s="340">
        <f t="shared" si="194"/>
        <v>1.5707912088902432</v>
      </c>
      <c r="K486" s="348">
        <f t="shared" si="210"/>
        <v>96.432603096336408</v>
      </c>
      <c r="L486" s="349">
        <f t="shared" si="211"/>
        <v>1.5604262041252166</v>
      </c>
      <c r="M486" s="337">
        <f t="shared" si="195"/>
        <v>1.0183515246660158</v>
      </c>
      <c r="N486" s="340">
        <f t="shared" si="196"/>
        <v>0.19013259484363584</v>
      </c>
      <c r="O486" s="341">
        <f t="shared" si="197"/>
        <v>0.96511718105533606</v>
      </c>
      <c r="P486" s="342">
        <f t="shared" si="198"/>
        <v>9.2131386143552221E-2</v>
      </c>
      <c r="Q486" s="343">
        <f t="shared" si="199"/>
        <v>-19.594862771967133</v>
      </c>
      <c r="R486" s="344">
        <f t="shared" si="200"/>
        <v>-98.127551765150926</v>
      </c>
      <c r="S486" s="346">
        <f t="shared" si="201"/>
        <v>81.872448234849074</v>
      </c>
      <c r="U486" s="319">
        <f t="shared" si="207"/>
        <v>59227</v>
      </c>
      <c r="V486" s="319">
        <f t="shared" si="208"/>
        <v>3507837529</v>
      </c>
      <c r="X486" s="345">
        <f t="shared" si="202"/>
        <v>31.415591660814307</v>
      </c>
      <c r="Y486" s="346">
        <f t="shared" si="203"/>
        <v>-11.487666273206754</v>
      </c>
      <c r="AA486" s="345">
        <f t="shared" si="204"/>
        <v>-2.2624876288318001</v>
      </c>
      <c r="AB486" s="346">
        <f t="shared" si="205"/>
        <v>-86.639885491944156</v>
      </c>
      <c r="AD486">
        <f t="shared" si="209"/>
        <v>0</v>
      </c>
      <c r="AE486">
        <f t="shared" si="212"/>
        <v>0</v>
      </c>
    </row>
    <row r="487" spans="1:31" x14ac:dyDescent="0.2">
      <c r="A487" s="347">
        <v>59570</v>
      </c>
      <c r="B487" s="364">
        <f t="shared" si="206"/>
        <v>59.57</v>
      </c>
      <c r="C487" s="337">
        <f t="shared" si="187"/>
        <v>334.39716131393448</v>
      </c>
      <c r="D487" s="338">
        <f t="shared" si="188"/>
        <v>1.5678058663300174</v>
      </c>
      <c r="E487" s="338">
        <f t="shared" si="189"/>
        <v>1.0111452925285511</v>
      </c>
      <c r="F487" s="339">
        <f t="shared" si="190"/>
        <v>0.1486119304763171</v>
      </c>
      <c r="G487" s="338">
        <f t="shared" si="191"/>
        <v>1</v>
      </c>
      <c r="H487" s="339">
        <f t="shared" si="192"/>
        <v>0</v>
      </c>
      <c r="I487" s="337">
        <f t="shared" si="193"/>
        <v>196524.03585734201</v>
      </c>
      <c r="J487" s="340">
        <f t="shared" si="194"/>
        <v>1.5707912383587894</v>
      </c>
      <c r="K487" s="348">
        <f t="shared" si="210"/>
        <v>96.991011190833575</v>
      </c>
      <c r="L487" s="349">
        <f t="shared" si="211"/>
        <v>1.5604859103409423</v>
      </c>
      <c r="M487" s="337">
        <f t="shared" si="195"/>
        <v>1.0185627550212628</v>
      </c>
      <c r="N487" s="340">
        <f t="shared" si="196"/>
        <v>0.19120713695056274</v>
      </c>
      <c r="O487" s="341">
        <f t="shared" si="197"/>
        <v>0.9647138201761245</v>
      </c>
      <c r="P487" s="342">
        <f t="shared" si="198"/>
        <v>9.2705329178497706E-2</v>
      </c>
      <c r="Q487" s="343">
        <f t="shared" si="199"/>
        <v>-19.642102089466032</v>
      </c>
      <c r="R487" s="344">
        <f t="shared" si="200"/>
        <v>-98.171260809420787</v>
      </c>
      <c r="S487" s="346">
        <f t="shared" si="201"/>
        <v>81.828739190579213</v>
      </c>
      <c r="U487" s="319">
        <f t="shared" si="207"/>
        <v>59570</v>
      </c>
      <c r="V487" s="319">
        <f t="shared" si="208"/>
        <v>3548584900</v>
      </c>
      <c r="X487" s="345">
        <f t="shared" si="202"/>
        <v>31.413784824632209</v>
      </c>
      <c r="Y487" s="346">
        <f t="shared" si="203"/>
        <v>-11.545813775160754</v>
      </c>
      <c r="AA487" s="345">
        <f t="shared" si="204"/>
        <v>-2.3079201101485971</v>
      </c>
      <c r="AB487" s="346">
        <f t="shared" si="205"/>
        <v>-86.62544703426002</v>
      </c>
      <c r="AD487">
        <f t="shared" si="209"/>
        <v>0</v>
      </c>
      <c r="AE487">
        <f t="shared" si="212"/>
        <v>0</v>
      </c>
    </row>
    <row r="488" spans="1:31" x14ac:dyDescent="0.2">
      <c r="A488" s="347">
        <v>59913</v>
      </c>
      <c r="B488" s="364">
        <f t="shared" si="206"/>
        <v>59.912999999999997</v>
      </c>
      <c r="C488" s="337">
        <f t="shared" si="187"/>
        <v>336.32258020835064</v>
      </c>
      <c r="D488" s="338">
        <f t="shared" si="188"/>
        <v>1.5678229865189011</v>
      </c>
      <c r="E488" s="338">
        <f t="shared" si="189"/>
        <v>1.0112732922160406</v>
      </c>
      <c r="F488" s="339">
        <f t="shared" si="190"/>
        <v>0.14945497775087371</v>
      </c>
      <c r="G488" s="338">
        <f t="shared" si="191"/>
        <v>1</v>
      </c>
      <c r="H488" s="339">
        <f t="shared" si="192"/>
        <v>0</v>
      </c>
      <c r="I488" s="337">
        <f t="shared" si="193"/>
        <v>197655.60786166176</v>
      </c>
      <c r="J488" s="340">
        <f t="shared" si="194"/>
        <v>1.5707912674899225</v>
      </c>
      <c r="K488" s="348">
        <f t="shared" si="210"/>
        <v>97.549419627128984</v>
      </c>
      <c r="L488" s="349">
        <f t="shared" si="211"/>
        <v>1.5605449329965908</v>
      </c>
      <c r="M488" s="337">
        <f t="shared" si="195"/>
        <v>1.0187751609620821</v>
      </c>
      <c r="N488" s="340">
        <f t="shared" si="196"/>
        <v>0.1922812322315062</v>
      </c>
      <c r="O488" s="341">
        <f t="shared" si="197"/>
        <v>0.9643081742934253</v>
      </c>
      <c r="P488" s="342">
        <f t="shared" si="198"/>
        <v>9.3280004705151534E-2</v>
      </c>
      <c r="Q488" s="343">
        <f t="shared" si="199"/>
        <v>-19.689034860500911</v>
      </c>
      <c r="R488" s="344">
        <f t="shared" si="200"/>
        <v>-98.215026201962544</v>
      </c>
      <c r="S488" s="346">
        <f t="shared" si="201"/>
        <v>81.784973798037456</v>
      </c>
      <c r="U488" s="319">
        <f t="shared" si="207"/>
        <v>59913</v>
      </c>
      <c r="V488" s="319">
        <f t="shared" si="208"/>
        <v>3589567569</v>
      </c>
      <c r="X488" s="345">
        <f t="shared" si="202"/>
        <v>31.411968431003242</v>
      </c>
      <c r="Y488" s="346">
        <f t="shared" si="203"/>
        <v>-11.603974821646851</v>
      </c>
      <c r="AA488" s="345">
        <f t="shared" si="204"/>
        <v>-2.3530364875545109</v>
      </c>
      <c r="AB488" s="346">
        <f t="shared" si="205"/>
        <v>-86.6110513803157</v>
      </c>
      <c r="AD488">
        <f t="shared" si="209"/>
        <v>0</v>
      </c>
      <c r="AE488">
        <f t="shared" si="212"/>
        <v>0</v>
      </c>
    </row>
    <row r="489" spans="1:31" x14ac:dyDescent="0.2">
      <c r="A489" s="347">
        <v>60256</v>
      </c>
      <c r="B489" s="364">
        <f t="shared" si="206"/>
        <v>60.256</v>
      </c>
      <c r="C489" s="337">
        <f t="shared" si="187"/>
        <v>338.24799920022093</v>
      </c>
      <c r="D489" s="338">
        <f t="shared" si="188"/>
        <v>1.5678399118002844</v>
      </c>
      <c r="E489" s="338">
        <f t="shared" si="189"/>
        <v>1.0114020104622687</v>
      </c>
      <c r="F489" s="339">
        <f t="shared" si="190"/>
        <v>0.15029781103989007</v>
      </c>
      <c r="G489" s="338">
        <f t="shared" si="191"/>
        <v>1</v>
      </c>
      <c r="H489" s="339">
        <f t="shared" si="192"/>
        <v>0</v>
      </c>
      <c r="I489" s="337">
        <f t="shared" si="193"/>
        <v>198787.17986598166</v>
      </c>
      <c r="J489" s="340">
        <f t="shared" si="194"/>
        <v>1.5707912962894048</v>
      </c>
      <c r="K489" s="348">
        <f t="shared" si="210"/>
        <v>98.107828399386264</v>
      </c>
      <c r="L489" s="349">
        <f t="shared" si="211"/>
        <v>1.5606032837637807</v>
      </c>
      <c r="M489" s="337">
        <f t="shared" si="195"/>
        <v>1.0189887417533288</v>
      </c>
      <c r="N489" s="340">
        <f t="shared" si="196"/>
        <v>0.19335487848833802</v>
      </c>
      <c r="O489" s="341">
        <f t="shared" si="197"/>
        <v>0.96390024422768272</v>
      </c>
      <c r="P489" s="342">
        <f t="shared" si="198"/>
        <v>9.3855417924414444E-2</v>
      </c>
      <c r="Q489" s="343">
        <f t="shared" si="199"/>
        <v>-19.735664347301906</v>
      </c>
      <c r="R489" s="344">
        <f t="shared" si="200"/>
        <v>-98.258847704452947</v>
      </c>
      <c r="S489" s="346">
        <f t="shared" si="201"/>
        <v>81.741152295547053</v>
      </c>
      <c r="U489" s="319">
        <f t="shared" si="207"/>
        <v>60256</v>
      </c>
      <c r="V489" s="319">
        <f t="shared" si="208"/>
        <v>3630785536</v>
      </c>
      <c r="X489" s="345">
        <f t="shared" si="202"/>
        <v>31.410142490221787</v>
      </c>
      <c r="Y489" s="346">
        <f t="shared" si="203"/>
        <v>-11.662148618317275</v>
      </c>
      <c r="AA489" s="345">
        <f t="shared" si="204"/>
        <v>-2.3978400335740475</v>
      </c>
      <c r="AB489" s="346">
        <f t="shared" si="205"/>
        <v>-86.596699086135672</v>
      </c>
      <c r="AD489">
        <f t="shared" si="209"/>
        <v>0</v>
      </c>
      <c r="AE489">
        <f t="shared" si="212"/>
        <v>0</v>
      </c>
    </row>
    <row r="490" spans="1:31" x14ac:dyDescent="0.2">
      <c r="A490" s="347">
        <v>60607</v>
      </c>
      <c r="B490" s="364">
        <f t="shared" si="206"/>
        <v>60.606999999999999</v>
      </c>
      <c r="C490" s="337">
        <f t="shared" si="187"/>
        <v>340.21832602284394</v>
      </c>
      <c r="D490" s="338">
        <f t="shared" si="188"/>
        <v>1.5678570335134354</v>
      </c>
      <c r="E490" s="338">
        <f t="shared" si="189"/>
        <v>1.0115344744904011</v>
      </c>
      <c r="F490" s="339">
        <f t="shared" si="190"/>
        <v>0.15116007955424332</v>
      </c>
      <c r="G490" s="338">
        <f t="shared" si="191"/>
        <v>1</v>
      </c>
      <c r="H490" s="339">
        <f t="shared" si="192"/>
        <v>0</v>
      </c>
      <c r="I490" s="337">
        <f t="shared" si="193"/>
        <v>199945.14422025677</v>
      </c>
      <c r="J490" s="340">
        <f t="shared" si="194"/>
        <v>1.5707913254231258</v>
      </c>
      <c r="K490" s="348">
        <f t="shared" si="210"/>
        <v>98.679261624806415</v>
      </c>
      <c r="L490" s="349">
        <f t="shared" si="211"/>
        <v>1.5606623118041487</v>
      </c>
      <c r="M490" s="337">
        <f t="shared" si="195"/>
        <v>1.0192085195227774</v>
      </c>
      <c r="N490" s="340">
        <f t="shared" si="196"/>
        <v>0.1944530989146932</v>
      </c>
      <c r="O490" s="341">
        <f t="shared" si="197"/>
        <v>0.96348043590334864</v>
      </c>
      <c r="P490" s="342">
        <f t="shared" si="198"/>
        <v>9.4445021007405039E-2</v>
      </c>
      <c r="Q490" s="343">
        <f t="shared" si="199"/>
        <v>-19.783070769594943</v>
      </c>
      <c r="R490" s="344">
        <f t="shared" si="200"/>
        <v>-98.303749135028085</v>
      </c>
      <c r="S490" s="346">
        <f t="shared" si="201"/>
        <v>81.696250864971915</v>
      </c>
      <c r="U490" s="319">
        <f t="shared" si="207"/>
        <v>60607</v>
      </c>
      <c r="V490" s="319">
        <f t="shared" si="208"/>
        <v>3673208449</v>
      </c>
      <c r="X490" s="345">
        <f t="shared" si="202"/>
        <v>31.408264088997999</v>
      </c>
      <c r="Y490" s="346">
        <f t="shared" si="203"/>
        <v>-11.721691625443761</v>
      </c>
      <c r="AA490" s="345">
        <f t="shared" si="204"/>
        <v>-2.4433680546432974</v>
      </c>
      <c r="AB490" s="346">
        <f t="shared" si="205"/>
        <v>-86.582057509584331</v>
      </c>
      <c r="AD490">
        <f t="shared" si="209"/>
        <v>0</v>
      </c>
      <c r="AE490">
        <f t="shared" si="212"/>
        <v>0</v>
      </c>
    </row>
    <row r="491" spans="1:31" x14ac:dyDescent="0.2">
      <c r="A491" s="347">
        <v>60958</v>
      </c>
      <c r="B491" s="364">
        <f t="shared" si="206"/>
        <v>60.957999999999998</v>
      </c>
      <c r="C491" s="337">
        <f t="shared" si="187"/>
        <v>342.18865294405452</v>
      </c>
      <c r="D491" s="338">
        <f t="shared" si="188"/>
        <v>1.5678739580524763</v>
      </c>
      <c r="E491" s="338">
        <f t="shared" si="189"/>
        <v>1.0116676904042106</v>
      </c>
      <c r="F491" s="339">
        <f t="shared" si="190"/>
        <v>0.15202212162318596</v>
      </c>
      <c r="G491" s="338">
        <f t="shared" si="191"/>
        <v>1</v>
      </c>
      <c r="H491" s="339">
        <f t="shared" si="192"/>
        <v>0</v>
      </c>
      <c r="I491" s="337">
        <f t="shared" si="193"/>
        <v>201103.108574532</v>
      </c>
      <c r="J491" s="340">
        <f t="shared" si="194"/>
        <v>1.5707913542213392</v>
      </c>
      <c r="K491" s="348">
        <f t="shared" si="210"/>
        <v>99.250695190096494</v>
      </c>
      <c r="L491" s="349">
        <f t="shared" si="211"/>
        <v>1.5607206601395835</v>
      </c>
      <c r="M491" s="337">
        <f t="shared" si="195"/>
        <v>1.0194295260166053</v>
      </c>
      <c r="N491" s="340">
        <f t="shared" si="196"/>
        <v>0.19555084448872789</v>
      </c>
      <c r="O491" s="341">
        <f t="shared" si="197"/>
        <v>0.9630582373615808</v>
      </c>
      <c r="P491" s="342">
        <f t="shared" si="198"/>
        <v>9.5035407674672848E-2</v>
      </c>
      <c r="Q491" s="343">
        <f t="shared" si="199"/>
        <v>-19.830166328508049</v>
      </c>
      <c r="R491" s="344">
        <f t="shared" si="200"/>
        <v>-98.348708856764191</v>
      </c>
      <c r="S491" s="346">
        <f t="shared" si="201"/>
        <v>81.651291143235809</v>
      </c>
      <c r="U491" s="319">
        <f t="shared" si="207"/>
        <v>60958</v>
      </c>
      <c r="V491" s="319">
        <f t="shared" si="208"/>
        <v>3715877764</v>
      </c>
      <c r="X491" s="345">
        <f t="shared" si="202"/>
        <v>31.406375712249975</v>
      </c>
      <c r="Y491" s="346">
        <f t="shared" si="203"/>
        <v>-11.781246350537216</v>
      </c>
      <c r="AA491" s="345">
        <f t="shared" si="204"/>
        <v>-2.4885752368083796</v>
      </c>
      <c r="AB491" s="346">
        <f t="shared" si="205"/>
        <v>-86.567462506227002</v>
      </c>
      <c r="AD491">
        <f t="shared" si="209"/>
        <v>0</v>
      </c>
      <c r="AE491">
        <f t="shared" si="212"/>
        <v>0</v>
      </c>
    </row>
    <row r="492" spans="1:31" x14ac:dyDescent="0.2">
      <c r="A492" s="347">
        <v>61309</v>
      </c>
      <c r="B492" s="364">
        <f t="shared" si="206"/>
        <v>61.308999999999997</v>
      </c>
      <c r="C492" s="337">
        <f t="shared" si="187"/>
        <v>344.15897996215921</v>
      </c>
      <c r="D492" s="338">
        <f t="shared" si="188"/>
        <v>1.5678906888038922</v>
      </c>
      <c r="E492" s="338">
        <f t="shared" si="189"/>
        <v>1.0118016579067131</v>
      </c>
      <c r="F492" s="339">
        <f t="shared" si="190"/>
        <v>0.15288393605521952</v>
      </c>
      <c r="G492" s="338">
        <f t="shared" si="191"/>
        <v>1</v>
      </c>
      <c r="H492" s="339">
        <f t="shared" si="192"/>
        <v>0</v>
      </c>
      <c r="I492" s="337">
        <f t="shared" si="193"/>
        <v>202261.07292880741</v>
      </c>
      <c r="J492" s="340">
        <f t="shared" si="194"/>
        <v>1.5707913826898074</v>
      </c>
      <c r="K492" s="348">
        <f t="shared" si="210"/>
        <v>99.822129089419718</v>
      </c>
      <c r="L492" s="349">
        <f t="shared" si="211"/>
        <v>1.5607783404426407</v>
      </c>
      <c r="M492" s="337">
        <f t="shared" si="195"/>
        <v>1.0196517604358457</v>
      </c>
      <c r="N492" s="340">
        <f t="shared" si="196"/>
        <v>0.19664811287440792</v>
      </c>
      <c r="O492" s="341">
        <f t="shared" si="197"/>
        <v>0.96263364950257935</v>
      </c>
      <c r="P492" s="342">
        <f t="shared" si="198"/>
        <v>9.5626583560105963E-2</v>
      </c>
      <c r="Q492" s="343">
        <f t="shared" si="199"/>
        <v>-19.876954341287291</v>
      </c>
      <c r="R492" s="344">
        <f t="shared" si="200"/>
        <v>-98.393726652455555</v>
      </c>
      <c r="S492" s="346">
        <f t="shared" si="201"/>
        <v>81.606273347544445</v>
      </c>
      <c r="U492" s="319">
        <f t="shared" si="207"/>
        <v>61309</v>
      </c>
      <c r="V492" s="319">
        <f t="shared" si="208"/>
        <v>3758793481</v>
      </c>
      <c r="X492" s="345">
        <f t="shared" si="202"/>
        <v>31.404477371367761</v>
      </c>
      <c r="Y492" s="346">
        <f t="shared" si="203"/>
        <v>-11.840811991294746</v>
      </c>
      <c r="AA492" s="345">
        <f t="shared" si="204"/>
        <v>-2.5334649087054064</v>
      </c>
      <c r="AB492" s="346">
        <f t="shared" si="205"/>
        <v>-86.552914661160841</v>
      </c>
      <c r="AD492">
        <f t="shared" si="209"/>
        <v>0</v>
      </c>
      <c r="AE492">
        <f t="shared" si="212"/>
        <v>0</v>
      </c>
    </row>
    <row r="493" spans="1:31" x14ac:dyDescent="0.2">
      <c r="A493" s="347">
        <v>61660</v>
      </c>
      <c r="B493" s="364">
        <f t="shared" si="206"/>
        <v>61.66</v>
      </c>
      <c r="C493" s="337">
        <f t="shared" si="187"/>
        <v>346.1293070755035</v>
      </c>
      <c r="D493" s="338">
        <f t="shared" si="188"/>
        <v>1.5679072290770579</v>
      </c>
      <c r="E493" s="338">
        <f t="shared" si="189"/>
        <v>1.0119363766994056</v>
      </c>
      <c r="F493" s="339">
        <f t="shared" si="190"/>
        <v>0.15374552166082728</v>
      </c>
      <c r="G493" s="338">
        <f t="shared" si="191"/>
        <v>1</v>
      </c>
      <c r="H493" s="339">
        <f t="shared" si="192"/>
        <v>0</v>
      </c>
      <c r="I493" s="337">
        <f t="shared" si="193"/>
        <v>203419.03728308296</v>
      </c>
      <c r="J493" s="340">
        <f t="shared" si="194"/>
        <v>1.5707914108341618</v>
      </c>
      <c r="K493" s="348">
        <f t="shared" si="210"/>
        <v>100.39356331707219</v>
      </c>
      <c r="L493" s="349">
        <f t="shared" si="211"/>
        <v>1.5608353641201351</v>
      </c>
      <c r="M493" s="337">
        <f t="shared" si="195"/>
        <v>1.0198752219777902</v>
      </c>
      <c r="N493" s="340">
        <f t="shared" si="196"/>
        <v>0.19774490174232595</v>
      </c>
      <c r="O493" s="341">
        <f t="shared" si="197"/>
        <v>0.96220667323369913</v>
      </c>
      <c r="P493" s="342">
        <f t="shared" si="198"/>
        <v>9.6218554318338825E-2</v>
      </c>
      <c r="Q493" s="343">
        <f t="shared" si="199"/>
        <v>-19.923438067663511</v>
      </c>
      <c r="R493" s="344">
        <f t="shared" si="200"/>
        <v>-98.438802317151428</v>
      </c>
      <c r="S493" s="346">
        <f t="shared" si="201"/>
        <v>81.561197682848572</v>
      </c>
      <c r="U493" s="319">
        <f t="shared" si="207"/>
        <v>61660</v>
      </c>
      <c r="V493" s="319">
        <f t="shared" si="208"/>
        <v>3801955600</v>
      </c>
      <c r="X493" s="345">
        <f t="shared" si="202"/>
        <v>31.402569077857493</v>
      </c>
      <c r="Y493" s="346">
        <f t="shared" si="203"/>
        <v>-11.900387761011441</v>
      </c>
      <c r="AA493" s="345">
        <f t="shared" si="204"/>
        <v>-2.578040341571362</v>
      </c>
      <c r="AB493" s="346">
        <f t="shared" si="205"/>
        <v>-86.538414556140026</v>
      </c>
      <c r="AD493">
        <f t="shared" si="209"/>
        <v>0</v>
      </c>
      <c r="AE493">
        <f t="shared" si="212"/>
        <v>0</v>
      </c>
    </row>
    <row r="494" spans="1:31" x14ac:dyDescent="0.2">
      <c r="A494" s="347">
        <v>62019</v>
      </c>
      <c r="B494" s="364">
        <f t="shared" si="206"/>
        <v>62.018999999999998</v>
      </c>
      <c r="C494" s="337">
        <f t="shared" si="187"/>
        <v>348.14454202615775</v>
      </c>
      <c r="D494" s="338">
        <f t="shared" si="188"/>
        <v>1.5679239526675577</v>
      </c>
      <c r="E494" s="338">
        <f t="shared" si="189"/>
        <v>1.0120749428636369</v>
      </c>
      <c r="F494" s="339">
        <f t="shared" si="190"/>
        <v>0.15462650659845417</v>
      </c>
      <c r="G494" s="338">
        <f t="shared" si="191"/>
        <v>1</v>
      </c>
      <c r="H494" s="339">
        <f t="shared" si="192"/>
        <v>0</v>
      </c>
      <c r="I494" s="337">
        <f t="shared" si="193"/>
        <v>204603.39398731373</v>
      </c>
      <c r="J494" s="340">
        <f t="shared" si="194"/>
        <v>1.5707914392904399</v>
      </c>
      <c r="K494" s="348">
        <f t="shared" si="210"/>
        <v>100.97802202049508</v>
      </c>
      <c r="L494" s="349">
        <f t="shared" si="211"/>
        <v>1.5608930198564939</v>
      </c>
      <c r="M494" s="337">
        <f t="shared" si="195"/>
        <v>1.0201050452140652</v>
      </c>
      <c r="N494" s="340">
        <f t="shared" si="196"/>
        <v>0.19886619019005281</v>
      </c>
      <c r="O494" s="341">
        <f t="shared" si="197"/>
        <v>0.96176749557997143</v>
      </c>
      <c r="P494" s="342">
        <f t="shared" si="198"/>
        <v>9.6824845457776226E-2</v>
      </c>
      <c r="Q494" s="343">
        <f t="shared" si="199"/>
        <v>-19.970669822520389</v>
      </c>
      <c r="R494" s="344">
        <f t="shared" si="200"/>
        <v>-98.484965008801524</v>
      </c>
      <c r="S494" s="346">
        <f t="shared" si="201"/>
        <v>81.515034991198476</v>
      </c>
      <c r="U494" s="319">
        <f t="shared" si="207"/>
        <v>62019</v>
      </c>
      <c r="V494" s="319">
        <f t="shared" si="208"/>
        <v>3846356361</v>
      </c>
      <c r="X494" s="345">
        <f t="shared" si="202"/>
        <v>31.400607007116346</v>
      </c>
      <c r="Y494" s="346">
        <f t="shared" si="203"/>
        <v>-11.961331056819152</v>
      </c>
      <c r="AA494" s="345">
        <f t="shared" si="204"/>
        <v>-2.6233100256870872</v>
      </c>
      <c r="AB494" s="346">
        <f t="shared" si="205"/>
        <v>-86.52363395198239</v>
      </c>
      <c r="AD494">
        <f t="shared" si="209"/>
        <v>0</v>
      </c>
      <c r="AE494">
        <f t="shared" si="212"/>
        <v>0</v>
      </c>
    </row>
    <row r="495" spans="1:31" x14ac:dyDescent="0.2">
      <c r="A495" s="347">
        <v>62378</v>
      </c>
      <c r="B495" s="364">
        <f t="shared" si="206"/>
        <v>62.378</v>
      </c>
      <c r="C495" s="337">
        <f t="shared" si="187"/>
        <v>350.15977707305973</v>
      </c>
      <c r="D495" s="338">
        <f t="shared" si="188"/>
        <v>1.5679404837632762</v>
      </c>
      <c r="E495" s="338">
        <f t="shared" si="189"/>
        <v>1.0122142943186898</v>
      </c>
      <c r="F495" s="339">
        <f t="shared" si="190"/>
        <v>0.15550724964925811</v>
      </c>
      <c r="G495" s="338">
        <f t="shared" si="191"/>
        <v>1</v>
      </c>
      <c r="H495" s="339">
        <f t="shared" si="192"/>
        <v>0</v>
      </c>
      <c r="I495" s="337">
        <f t="shared" si="193"/>
        <v>205787.75069154461</v>
      </c>
      <c r="J495" s="340">
        <f t="shared" si="194"/>
        <v>1.5707914674191725</v>
      </c>
      <c r="K495" s="348">
        <f t="shared" si="210"/>
        <v>101.56248105572413</v>
      </c>
      <c r="L495" s="349">
        <f t="shared" si="211"/>
        <v>1.5609500120130313</v>
      </c>
      <c r="M495" s="337">
        <f t="shared" si="195"/>
        <v>1.0203361504372337</v>
      </c>
      <c r="N495" s="340">
        <f t="shared" si="196"/>
        <v>0.19998697210473851</v>
      </c>
      <c r="O495" s="341">
        <f t="shared" si="197"/>
        <v>0.96132582134534383</v>
      </c>
      <c r="P495" s="342">
        <f t="shared" si="198"/>
        <v>9.7431980149117511E-2</v>
      </c>
      <c r="Q495" s="343">
        <f t="shared" si="199"/>
        <v>-20.017589981439066</v>
      </c>
      <c r="R495" s="344">
        <f t="shared" si="200"/>
        <v>-98.531187841721859</v>
      </c>
      <c r="S495" s="346">
        <f t="shared" si="201"/>
        <v>81.468812158278141</v>
      </c>
      <c r="U495" s="319">
        <f t="shared" si="207"/>
        <v>62378</v>
      </c>
      <c r="V495" s="319">
        <f t="shared" si="208"/>
        <v>3891014884</v>
      </c>
      <c r="X495" s="345">
        <f t="shared" si="202"/>
        <v>31.398634549605532</v>
      </c>
      <c r="Y495" s="346">
        <f t="shared" si="203"/>
        <v>-12.022283331977601</v>
      </c>
      <c r="AA495" s="345">
        <f t="shared" si="204"/>
        <v>-2.6682577270949559</v>
      </c>
      <c r="AB495" s="346">
        <f t="shared" si="205"/>
        <v>-86.508904509744255</v>
      </c>
      <c r="AD495">
        <f t="shared" si="209"/>
        <v>0</v>
      </c>
      <c r="AE495">
        <f t="shared" si="212"/>
        <v>0</v>
      </c>
    </row>
    <row r="496" spans="1:31" x14ac:dyDescent="0.2">
      <c r="A496" s="347">
        <v>62737</v>
      </c>
      <c r="B496" s="364">
        <f t="shared" si="206"/>
        <v>62.737000000000002</v>
      </c>
      <c r="C496" s="337">
        <f t="shared" si="187"/>
        <v>352.17501221455728</v>
      </c>
      <c r="D496" s="338">
        <f t="shared" si="188"/>
        <v>1.5679568256687166</v>
      </c>
      <c r="E496" s="338">
        <f t="shared" si="189"/>
        <v>1.0123544307402765</v>
      </c>
      <c r="F496" s="339">
        <f t="shared" si="190"/>
        <v>0.15638774954701076</v>
      </c>
      <c r="G496" s="338">
        <f t="shared" si="191"/>
        <v>1</v>
      </c>
      <c r="H496" s="339">
        <f t="shared" si="192"/>
        <v>0</v>
      </c>
      <c r="I496" s="337">
        <f t="shared" si="193"/>
        <v>206972.10739577567</v>
      </c>
      <c r="J496" s="340">
        <f t="shared" si="194"/>
        <v>1.5707914952259834</v>
      </c>
      <c r="K496" s="348">
        <f t="shared" si="210"/>
        <v>102.14694041706386</v>
      </c>
      <c r="L496" s="349">
        <f t="shared" si="211"/>
        <v>1.5610063519798894</v>
      </c>
      <c r="M496" s="337">
        <f t="shared" si="195"/>
        <v>1.020568536776387</v>
      </c>
      <c r="N496" s="340">
        <f t="shared" si="196"/>
        <v>0.20110724501570787</v>
      </c>
      <c r="O496" s="341">
        <f t="shared" si="197"/>
        <v>0.96088165152411875</v>
      </c>
      <c r="P496" s="342">
        <f t="shared" si="198"/>
        <v>9.8039964511009367E-2</v>
      </c>
      <c r="Q496" s="343">
        <f t="shared" si="199"/>
        <v>-20.064201853815167</v>
      </c>
      <c r="R496" s="344">
        <f t="shared" si="200"/>
        <v>-98.577470634524502</v>
      </c>
      <c r="S496" s="346">
        <f t="shared" si="201"/>
        <v>81.422529365475498</v>
      </c>
      <c r="U496" s="319">
        <f t="shared" si="207"/>
        <v>62737</v>
      </c>
      <c r="V496" s="319">
        <f t="shared" si="208"/>
        <v>3935931169</v>
      </c>
      <c r="X496" s="345">
        <f t="shared" si="202"/>
        <v>31.396651717998306</v>
      </c>
      <c r="Y496" s="346">
        <f t="shared" si="203"/>
        <v>-12.083243792642671</v>
      </c>
      <c r="AA496" s="345">
        <f t="shared" si="204"/>
        <v>-2.7128867678638291</v>
      </c>
      <c r="AB496" s="346">
        <f t="shared" si="205"/>
        <v>-86.49422684188184</v>
      </c>
      <c r="AD496">
        <f t="shared" si="209"/>
        <v>0</v>
      </c>
      <c r="AE496">
        <f t="shared" si="212"/>
        <v>0</v>
      </c>
    </row>
    <row r="497" spans="1:31" x14ac:dyDescent="0.2">
      <c r="A497" s="347">
        <v>63096</v>
      </c>
      <c r="B497" s="364">
        <f t="shared" si="206"/>
        <v>63.095999999999997</v>
      </c>
      <c r="C497" s="337">
        <f t="shared" si="187"/>
        <v>354.19024744903572</v>
      </c>
      <c r="D497" s="338">
        <f t="shared" si="188"/>
        <v>1.5679729816131762</v>
      </c>
      <c r="E497" s="338">
        <f t="shared" si="189"/>
        <v>1.0124953518024626</v>
      </c>
      <c r="F497" s="339">
        <f t="shared" si="190"/>
        <v>0.15726800502769112</v>
      </c>
      <c r="G497" s="338">
        <f t="shared" si="191"/>
        <v>1</v>
      </c>
      <c r="H497" s="339">
        <f t="shared" si="192"/>
        <v>0</v>
      </c>
      <c r="I497" s="337">
        <f t="shared" si="193"/>
        <v>208156.46410000691</v>
      </c>
      <c r="J497" s="340">
        <f t="shared" si="194"/>
        <v>1.5707915227163669</v>
      </c>
      <c r="K497" s="348">
        <f t="shared" si="210"/>
        <v>102.7314000989483</v>
      </c>
      <c r="L497" s="349">
        <f t="shared" si="211"/>
        <v>1.561062050888024</v>
      </c>
      <c r="M497" s="337">
        <f t="shared" si="195"/>
        <v>1.0208022033565844</v>
      </c>
      <c r="N497" s="340">
        <f t="shared" si="196"/>
        <v>0.20222700645963965</v>
      </c>
      <c r="O497" s="341">
        <f t="shared" si="197"/>
        <v>0.96043498711860076</v>
      </c>
      <c r="P497" s="342">
        <f t="shared" si="198"/>
        <v>9.864880468557588E-2</v>
      </c>
      <c r="Q497" s="343">
        <f t="shared" si="199"/>
        <v>-20.110508691628937</v>
      </c>
      <c r="R497" s="344">
        <f t="shared" si="200"/>
        <v>-98.62381321799559</v>
      </c>
      <c r="S497" s="346">
        <f t="shared" si="201"/>
        <v>81.37618678200441</v>
      </c>
      <c r="U497" s="319">
        <f t="shared" si="207"/>
        <v>63096</v>
      </c>
      <c r="V497" s="319">
        <f t="shared" si="208"/>
        <v>3981105216</v>
      </c>
      <c r="X497" s="345">
        <f t="shared" si="202"/>
        <v>31.394658525085394</v>
      </c>
      <c r="Y497" s="346">
        <f t="shared" si="203"/>
        <v>-12.144211660234454</v>
      </c>
      <c r="AA497" s="345">
        <f t="shared" si="204"/>
        <v>-2.7572004127646825</v>
      </c>
      <c r="AB497" s="346">
        <f t="shared" si="205"/>
        <v>-86.479601557761129</v>
      </c>
      <c r="AD497">
        <f t="shared" si="209"/>
        <v>0</v>
      </c>
      <c r="AE497">
        <f t="shared" si="212"/>
        <v>0</v>
      </c>
    </row>
    <row r="498" spans="1:31" x14ac:dyDescent="0.2">
      <c r="A498" s="347">
        <v>63463.25</v>
      </c>
      <c r="B498" s="364">
        <f t="shared" si="206"/>
        <v>63.463250000000002</v>
      </c>
      <c r="C498" s="337">
        <f t="shared" si="187"/>
        <v>356.25179389419208</v>
      </c>
      <c r="D498" s="338">
        <f t="shared" si="188"/>
        <v>1.5679893196994796</v>
      </c>
      <c r="E498" s="338">
        <f t="shared" si="189"/>
        <v>1.0126403228546887</v>
      </c>
      <c r="F498" s="339">
        <f t="shared" si="190"/>
        <v>0.1581682349981989</v>
      </c>
      <c r="G498" s="338">
        <f t="shared" si="191"/>
        <v>1</v>
      </c>
      <c r="H498" s="339">
        <f t="shared" si="192"/>
        <v>0</v>
      </c>
      <c r="I498" s="337">
        <f t="shared" si="193"/>
        <v>209368.03791512939</v>
      </c>
      <c r="J498" s="340">
        <f t="shared" si="194"/>
        <v>1.5707915505166741</v>
      </c>
      <c r="K498" s="348">
        <f t="shared" si="210"/>
        <v>103.32929128337375</v>
      </c>
      <c r="L498" s="349">
        <f t="shared" si="211"/>
        <v>1.5611183778009607</v>
      </c>
      <c r="M498" s="337">
        <f t="shared" si="195"/>
        <v>1.0210425635054403</v>
      </c>
      <c r="N498" s="340">
        <f t="shared" si="196"/>
        <v>0.20337196878957781</v>
      </c>
      <c r="O498" s="341">
        <f t="shared" si="197"/>
        <v>0.9599754779614037</v>
      </c>
      <c r="P498" s="342">
        <f t="shared" si="198"/>
        <v>9.9272528280764397E-2</v>
      </c>
      <c r="Q498" s="343">
        <f t="shared" si="199"/>
        <v>-20.157567385788994</v>
      </c>
      <c r="R498" s="344">
        <f t="shared" si="200"/>
        <v>-98.671282480789003</v>
      </c>
      <c r="S498" s="346">
        <f t="shared" si="201"/>
        <v>81.328717519210997</v>
      </c>
      <c r="U498" s="319">
        <f t="shared" si="207"/>
        <v>63463.25</v>
      </c>
      <c r="V498" s="319">
        <f t="shared" si="208"/>
        <v>4027584100.5625</v>
      </c>
      <c r="X498" s="345">
        <f t="shared" si="202"/>
        <v>31.392608819853592</v>
      </c>
      <c r="Y498" s="346">
        <f t="shared" si="203"/>
        <v>-12.206587467968646</v>
      </c>
      <c r="AA498" s="345">
        <f t="shared" si="204"/>
        <v>-2.8022094016929415</v>
      </c>
      <c r="AB498" s="346">
        <f t="shared" si="205"/>
        <v>-86.464695012820357</v>
      </c>
      <c r="AD498">
        <f t="shared" si="209"/>
        <v>0</v>
      </c>
      <c r="AE498">
        <f t="shared" si="212"/>
        <v>0</v>
      </c>
    </row>
    <row r="499" spans="1:31" x14ac:dyDescent="0.2">
      <c r="A499" s="347">
        <v>63830.5</v>
      </c>
      <c r="B499" s="364">
        <f t="shared" si="206"/>
        <v>63.830500000000001</v>
      </c>
      <c r="C499" s="337">
        <f t="shared" si="187"/>
        <v>358.31334043334959</v>
      </c>
      <c r="D499" s="338">
        <f t="shared" si="188"/>
        <v>1.5680054697842731</v>
      </c>
      <c r="E499" s="338">
        <f t="shared" si="189"/>
        <v>1.0127861143294823</v>
      </c>
      <c r="F499" s="339">
        <f t="shared" si="190"/>
        <v>0.15906820652004894</v>
      </c>
      <c r="G499" s="338">
        <f t="shared" si="191"/>
        <v>1</v>
      </c>
      <c r="H499" s="339">
        <f t="shared" si="192"/>
        <v>0</v>
      </c>
      <c r="I499" s="337">
        <f t="shared" si="193"/>
        <v>210579.61173025201</v>
      </c>
      <c r="J499" s="340">
        <f t="shared" si="194"/>
        <v>1.570791577997082</v>
      </c>
      <c r="K499" s="348">
        <f t="shared" si="210"/>
        <v>103.92718279186218</v>
      </c>
      <c r="L499" s="349">
        <f t="shared" si="211"/>
        <v>1.5611740566183185</v>
      </c>
      <c r="M499" s="337">
        <f t="shared" si="195"/>
        <v>1.0212842615474755</v>
      </c>
      <c r="N499" s="340">
        <f t="shared" si="196"/>
        <v>0.20451639068358518</v>
      </c>
      <c r="O499" s="341">
        <f t="shared" si="197"/>
        <v>0.95951336039665647</v>
      </c>
      <c r="P499" s="342">
        <f t="shared" si="198"/>
        <v>9.9897160553712908E-2</v>
      </c>
      <c r="Q499" s="343">
        <f t="shared" si="199"/>
        <v>-20.204313570730466</v>
      </c>
      <c r="R499" s="344">
        <f t="shared" si="200"/>
        <v>-98.71881399342189</v>
      </c>
      <c r="S499" s="346">
        <f t="shared" si="201"/>
        <v>81.28118600657811</v>
      </c>
      <c r="U499" s="319">
        <f t="shared" si="207"/>
        <v>63830.5</v>
      </c>
      <c r="V499" s="319">
        <f t="shared" si="208"/>
        <v>4074332730.25</v>
      </c>
      <c r="X499" s="345">
        <f t="shared" si="202"/>
        <v>31.39054829907348</v>
      </c>
      <c r="Y499" s="346">
        <f t="shared" si="203"/>
        <v>-12.26896942581743</v>
      </c>
      <c r="AA499" s="345">
        <f t="shared" si="204"/>
        <v>-2.8468950658543006</v>
      </c>
      <c r="AB499" s="346">
        <f t="shared" si="205"/>
        <v>-86.449844567604472</v>
      </c>
      <c r="AD499">
        <f t="shared" si="209"/>
        <v>0</v>
      </c>
      <c r="AE499">
        <f t="shared" si="212"/>
        <v>0</v>
      </c>
    </row>
    <row r="500" spans="1:31" x14ac:dyDescent="0.2">
      <c r="A500" s="347">
        <v>64197.75</v>
      </c>
      <c r="B500" s="364">
        <f t="shared" si="206"/>
        <v>64.197749999999999</v>
      </c>
      <c r="C500" s="337">
        <f t="shared" si="187"/>
        <v>360.37488706489501</v>
      </c>
      <c r="D500" s="338">
        <f t="shared" si="188"/>
        <v>1.5680214350939707</v>
      </c>
      <c r="E500" s="338">
        <f t="shared" si="189"/>
        <v>1.0129327258725924</v>
      </c>
      <c r="F500" s="339">
        <f t="shared" si="190"/>
        <v>0.15996791824729137</v>
      </c>
      <c r="G500" s="338">
        <f t="shared" si="191"/>
        <v>1</v>
      </c>
      <c r="H500" s="339">
        <f t="shared" si="192"/>
        <v>0</v>
      </c>
      <c r="I500" s="337">
        <f t="shared" si="193"/>
        <v>211791.18554537481</v>
      </c>
      <c r="J500" s="340">
        <f t="shared" si="194"/>
        <v>1.5707916051630806</v>
      </c>
      <c r="K500" s="348">
        <f t="shared" si="210"/>
        <v>104.52507461885257</v>
      </c>
      <c r="L500" s="349">
        <f t="shared" si="211"/>
        <v>1.5612290984612256</v>
      </c>
      <c r="M500" s="337">
        <f t="shared" si="195"/>
        <v>1.0215272965330355</v>
      </c>
      <c r="N500" s="340">
        <f t="shared" si="196"/>
        <v>0.20566026952863697</v>
      </c>
      <c r="O500" s="341">
        <f t="shared" si="197"/>
        <v>0.95904863552365405</v>
      </c>
      <c r="P500" s="342">
        <f t="shared" si="198"/>
        <v>0.10052270815737382</v>
      </c>
      <c r="Q500" s="343">
        <f t="shared" si="199"/>
        <v>-20.250750549669249</v>
      </c>
      <c r="R500" s="344">
        <f t="shared" si="200"/>
        <v>-98.766407612463112</v>
      </c>
      <c r="S500" s="346">
        <f t="shared" si="201"/>
        <v>81.233592387536888</v>
      </c>
      <c r="U500" s="319">
        <f t="shared" si="207"/>
        <v>64197.75</v>
      </c>
      <c r="V500" s="319">
        <f t="shared" si="208"/>
        <v>4121351105.0625</v>
      </c>
      <c r="X500" s="345">
        <f t="shared" si="202"/>
        <v>31.388476976805386</v>
      </c>
      <c r="Y500" s="346">
        <f t="shared" si="203"/>
        <v>-12.331356747186348</v>
      </c>
      <c r="AA500" s="345">
        <f t="shared" si="204"/>
        <v>-2.8912607225249918</v>
      </c>
      <c r="AB500" s="346">
        <f t="shared" si="205"/>
        <v>-86.43505086527675</v>
      </c>
      <c r="AD500">
        <f t="shared" si="209"/>
        <v>0</v>
      </c>
      <c r="AE500">
        <f t="shared" si="212"/>
        <v>0</v>
      </c>
    </row>
    <row r="501" spans="1:31" x14ac:dyDescent="0.2">
      <c r="A501" s="347">
        <v>64565</v>
      </c>
      <c r="B501" s="364">
        <f t="shared" si="206"/>
        <v>64.564999999999998</v>
      </c>
      <c r="C501" s="337">
        <f t="shared" si="187"/>
        <v>362.43643378725181</v>
      </c>
      <c r="D501" s="338">
        <f t="shared" si="188"/>
        <v>1.5680372187815792</v>
      </c>
      <c r="E501" s="338">
        <f t="shared" si="189"/>
        <v>1.0130801571279819</v>
      </c>
      <c r="F501" s="339">
        <f t="shared" si="190"/>
        <v>0.16086736883643574</v>
      </c>
      <c r="G501" s="338">
        <f t="shared" si="191"/>
        <v>1</v>
      </c>
      <c r="H501" s="339">
        <f t="shared" si="192"/>
        <v>0</v>
      </c>
      <c r="I501" s="337">
        <f t="shared" si="193"/>
        <v>213002.75936049779</v>
      </c>
      <c r="J501" s="340">
        <f t="shared" si="194"/>
        <v>1.5707916320200355</v>
      </c>
      <c r="K501" s="348">
        <f t="shared" si="210"/>
        <v>105.12296675891044</v>
      </c>
      <c r="L501" s="349">
        <f t="shared" si="211"/>
        <v>1.5612835141978176</v>
      </c>
      <c r="M501" s="337">
        <f t="shared" si="195"/>
        <v>1.0217716675081181</v>
      </c>
      <c r="N501" s="340">
        <f t="shared" si="196"/>
        <v>0.20680360271987192</v>
      </c>
      <c r="O501" s="341">
        <f t="shared" si="197"/>
        <v>0.95858130445065504</v>
      </c>
      <c r="P501" s="342">
        <f t="shared" si="198"/>
        <v>0.10114917777129966</v>
      </c>
      <c r="Q501" s="343">
        <f t="shared" si="199"/>
        <v>-20.29688156845976</v>
      </c>
      <c r="R501" s="344">
        <f t="shared" si="200"/>
        <v>-98.814063206614634</v>
      </c>
      <c r="S501" s="346">
        <f t="shared" si="201"/>
        <v>81.185936793385366</v>
      </c>
      <c r="U501" s="319">
        <f t="shared" si="207"/>
        <v>64565</v>
      </c>
      <c r="V501" s="319">
        <f t="shared" si="208"/>
        <v>4168639225</v>
      </c>
      <c r="X501" s="345">
        <f t="shared" si="202"/>
        <v>31.38639486722894</v>
      </c>
      <c r="Y501" s="346">
        <f t="shared" si="203"/>
        <v>-12.393748660436973</v>
      </c>
      <c r="AA501" s="345">
        <f t="shared" si="204"/>
        <v>-2.9353096317390523</v>
      </c>
      <c r="AB501" s="346">
        <f t="shared" si="205"/>
        <v>-86.420314546177636</v>
      </c>
      <c r="AD501">
        <f t="shared" si="209"/>
        <v>0</v>
      </c>
      <c r="AE501">
        <f t="shared" si="212"/>
        <v>0</v>
      </c>
    </row>
    <row r="502" spans="1:31" x14ac:dyDescent="0.2">
      <c r="A502" s="347">
        <v>64941</v>
      </c>
      <c r="B502" s="364">
        <f t="shared" si="206"/>
        <v>64.941000000000003</v>
      </c>
      <c r="C502" s="337">
        <f t="shared" si="187"/>
        <v>364.54709846136257</v>
      </c>
      <c r="D502" s="338">
        <f t="shared" si="188"/>
        <v>1.5680531935801441</v>
      </c>
      <c r="E502" s="338">
        <f t="shared" si="189"/>
        <v>1.0132319499075628</v>
      </c>
      <c r="F502" s="339">
        <f t="shared" si="190"/>
        <v>0.16178797754880261</v>
      </c>
      <c r="G502" s="338">
        <f t="shared" si="191"/>
        <v>1</v>
      </c>
      <c r="H502" s="339">
        <f t="shared" si="192"/>
        <v>0</v>
      </c>
      <c r="I502" s="337">
        <f t="shared" si="193"/>
        <v>214243.19980838418</v>
      </c>
      <c r="J502" s="340">
        <f t="shared" si="194"/>
        <v>1.5707916592021753</v>
      </c>
      <c r="K502" s="348">
        <f t="shared" si="210"/>
        <v>105.73510443553597</v>
      </c>
      <c r="L502" s="349">
        <f t="shared" si="211"/>
        <v>1.5613385888598124</v>
      </c>
      <c r="M502" s="337">
        <f t="shared" si="195"/>
        <v>1.0220232439148578</v>
      </c>
      <c r="N502" s="340">
        <f t="shared" si="196"/>
        <v>0.20797360863995157</v>
      </c>
      <c r="O502" s="341">
        <f t="shared" si="197"/>
        <v>0.95810013995796939</v>
      </c>
      <c r="P502" s="342">
        <f t="shared" si="198"/>
        <v>0.10179153570884626</v>
      </c>
      <c r="Q502" s="343">
        <f t="shared" si="199"/>
        <v>-20.343798041552546</v>
      </c>
      <c r="R502" s="344">
        <f t="shared" si="200"/>
        <v>-98.862918313120673</v>
      </c>
      <c r="S502" s="346">
        <f t="shared" si="201"/>
        <v>81.137081686879327</v>
      </c>
      <c r="U502" s="319">
        <f t="shared" si="207"/>
        <v>64941</v>
      </c>
      <c r="V502" s="319">
        <f t="shared" si="208"/>
        <v>4217333481</v>
      </c>
      <c r="X502" s="345">
        <f t="shared" si="202"/>
        <v>31.384251988904872</v>
      </c>
      <c r="Y502" s="346">
        <f t="shared" si="203"/>
        <v>-12.45763107346734</v>
      </c>
      <c r="AA502" s="345">
        <f t="shared" si="204"/>
        <v>-2.9800832265077744</v>
      </c>
      <c r="AB502" s="346">
        <f t="shared" si="205"/>
        <v>-86.405287239653347</v>
      </c>
      <c r="AD502">
        <f t="shared" si="209"/>
        <v>0</v>
      </c>
      <c r="AE502">
        <f t="shared" si="212"/>
        <v>0</v>
      </c>
    </row>
    <row r="503" spans="1:31" x14ac:dyDescent="0.2">
      <c r="A503" s="347">
        <v>65317</v>
      </c>
      <c r="B503" s="364">
        <f t="shared" si="206"/>
        <v>65.316999999999993</v>
      </c>
      <c r="C503" s="337">
        <f t="shared" si="187"/>
        <v>366.65776322743255</v>
      </c>
      <c r="D503" s="338">
        <f t="shared" si="188"/>
        <v>1.5680689844609135</v>
      </c>
      <c r="E503" s="338">
        <f t="shared" si="189"/>
        <v>1.013384601164212</v>
      </c>
      <c r="F503" s="339">
        <f t="shared" si="190"/>
        <v>0.16270830968906547</v>
      </c>
      <c r="G503" s="338">
        <f t="shared" si="191"/>
        <v>1</v>
      </c>
      <c r="H503" s="339">
        <f t="shared" si="192"/>
        <v>0</v>
      </c>
      <c r="I503" s="337">
        <f t="shared" si="193"/>
        <v>215483.6402562708</v>
      </c>
      <c r="J503" s="340">
        <f t="shared" si="194"/>
        <v>1.5707916860713651</v>
      </c>
      <c r="K503" s="348">
        <f t="shared" si="210"/>
        <v>106.34724242918706</v>
      </c>
      <c r="L503" s="349">
        <f t="shared" si="211"/>
        <v>1.561393029499079</v>
      </c>
      <c r="M503" s="337">
        <f t="shared" si="195"/>
        <v>1.0222762186936551</v>
      </c>
      <c r="N503" s="340">
        <f t="shared" si="196"/>
        <v>0.20914303709561169</v>
      </c>
      <c r="O503" s="341">
        <f t="shared" si="197"/>
        <v>0.95761624597668038</v>
      </c>
      <c r="P503" s="342">
        <f t="shared" si="198"/>
        <v>0.10243487437169364</v>
      </c>
      <c r="Q503" s="343">
        <f t="shared" si="199"/>
        <v>-20.390400508498367</v>
      </c>
      <c r="R503" s="344">
        <f t="shared" si="200"/>
        <v>-98.911838142369959</v>
      </c>
      <c r="S503" s="346">
        <f t="shared" si="201"/>
        <v>81.088161857630041</v>
      </c>
      <c r="U503" s="319">
        <f t="shared" si="207"/>
        <v>65317</v>
      </c>
      <c r="V503" s="319">
        <f t="shared" si="208"/>
        <v>4266310489</v>
      </c>
      <c r="X503" s="345">
        <f t="shared" si="202"/>
        <v>31.382097833572502</v>
      </c>
      <c r="Y503" s="346">
        <f t="shared" si="203"/>
        <v>-12.521516709119375</v>
      </c>
      <c r="AA503" s="345">
        <f t="shared" si="204"/>
        <v>-3.0245315381212241</v>
      </c>
      <c r="AB503" s="346">
        <f t="shared" si="205"/>
        <v>-86.390321433250563</v>
      </c>
      <c r="AD503">
        <f t="shared" si="209"/>
        <v>0</v>
      </c>
      <c r="AE503">
        <f t="shared" si="212"/>
        <v>0</v>
      </c>
    </row>
    <row r="504" spans="1:31" x14ac:dyDescent="0.2">
      <c r="A504" s="347">
        <v>65693</v>
      </c>
      <c r="B504" s="364">
        <f t="shared" si="206"/>
        <v>65.692999999999998</v>
      </c>
      <c r="C504" s="337">
        <f t="shared" si="187"/>
        <v>368.76842808388284</v>
      </c>
      <c r="D504" s="338">
        <f t="shared" si="188"/>
        <v>1.568084594581868</v>
      </c>
      <c r="E504" s="338">
        <f t="shared" si="189"/>
        <v>1.0135381105100376</v>
      </c>
      <c r="F504" s="339">
        <f t="shared" si="190"/>
        <v>0.16362836382348017</v>
      </c>
      <c r="G504" s="338">
        <f t="shared" si="191"/>
        <v>1</v>
      </c>
      <c r="H504" s="339">
        <f t="shared" si="192"/>
        <v>0</v>
      </c>
      <c r="I504" s="337">
        <f t="shared" si="193"/>
        <v>216724.0807041575</v>
      </c>
      <c r="J504" s="340">
        <f t="shared" si="194"/>
        <v>1.5707917126329782</v>
      </c>
      <c r="K504" s="348">
        <f t="shared" si="210"/>
        <v>106.95938073442061</v>
      </c>
      <c r="L504" s="349">
        <f t="shared" si="211"/>
        <v>1.5614468470010017</v>
      </c>
      <c r="M504" s="337">
        <f t="shared" si="195"/>
        <v>1.0225305908066353</v>
      </c>
      <c r="N504" s="340">
        <f t="shared" si="196"/>
        <v>0.21031188531810546</v>
      </c>
      <c r="O504" s="341">
        <f t="shared" si="197"/>
        <v>0.95712962372571164</v>
      </c>
      <c r="P504" s="342">
        <f t="shared" si="198"/>
        <v>0.10307920101646609</v>
      </c>
      <c r="Q504" s="343">
        <f t="shared" si="199"/>
        <v>-20.436692274224448</v>
      </c>
      <c r="R504" s="344">
        <f t="shared" si="200"/>
        <v>-98.960822591206551</v>
      </c>
      <c r="S504" s="346">
        <f t="shared" si="201"/>
        <v>81.039177408793449</v>
      </c>
      <c r="U504" s="319">
        <f t="shared" si="207"/>
        <v>65693</v>
      </c>
      <c r="V504" s="319">
        <f t="shared" si="208"/>
        <v>4315570249</v>
      </c>
      <c r="X504" s="345">
        <f t="shared" si="202"/>
        <v>31.379932416823969</v>
      </c>
      <c r="Y504" s="346">
        <f t="shared" si="203"/>
        <v>-12.585404785376854</v>
      </c>
      <c r="AA504" s="345">
        <f t="shared" si="204"/>
        <v>-3.0686578870987731</v>
      </c>
      <c r="AB504" s="346">
        <f t="shared" si="205"/>
        <v>-86.375417805829684</v>
      </c>
      <c r="AD504">
        <f t="shared" si="209"/>
        <v>0</v>
      </c>
      <c r="AE504">
        <f t="shared" si="212"/>
        <v>0</v>
      </c>
    </row>
    <row r="505" spans="1:31" x14ac:dyDescent="0.2">
      <c r="A505" s="347">
        <v>66069</v>
      </c>
      <c r="B505" s="364">
        <f t="shared" si="206"/>
        <v>66.069000000000003</v>
      </c>
      <c r="C505" s="337">
        <f t="shared" si="187"/>
        <v>370.87909302917024</v>
      </c>
      <c r="D505" s="338">
        <f t="shared" si="188"/>
        <v>1.5681000270291008</v>
      </c>
      <c r="E505" s="338">
        <f t="shared" si="189"/>
        <v>1.0136924775552034</v>
      </c>
      <c r="F505" s="339">
        <f t="shared" si="190"/>
        <v>0.16454813852105127</v>
      </c>
      <c r="G505" s="338">
        <f t="shared" si="191"/>
        <v>1</v>
      </c>
      <c r="H505" s="339">
        <f t="shared" si="192"/>
        <v>0</v>
      </c>
      <c r="I505" s="337">
        <f t="shared" si="193"/>
        <v>217964.52115204438</v>
      </c>
      <c r="J505" s="340">
        <f t="shared" si="194"/>
        <v>1.5707917388922659</v>
      </c>
      <c r="K505" s="348">
        <f t="shared" si="210"/>
        <v>107.57151934591738</v>
      </c>
      <c r="L505" s="349">
        <f t="shared" si="211"/>
        <v>1.5615000520032052</v>
      </c>
      <c r="M505" s="337">
        <f t="shared" si="195"/>
        <v>1.0227863592112258</v>
      </c>
      <c r="N505" s="340">
        <f t="shared" si="196"/>
        <v>0.21148015054777464</v>
      </c>
      <c r="O505" s="341">
        <f t="shared" si="197"/>
        <v>0.9566402744340704</v>
      </c>
      <c r="P505" s="342">
        <f t="shared" si="198"/>
        <v>0.10372452293004067</v>
      </c>
      <c r="Q505" s="343">
        <f t="shared" si="199"/>
        <v>-20.482676586159755</v>
      </c>
      <c r="R505" s="344">
        <f t="shared" si="200"/>
        <v>-99.009871568641003</v>
      </c>
      <c r="S505" s="346">
        <f t="shared" si="201"/>
        <v>80.990128431358997</v>
      </c>
      <c r="U505" s="319">
        <f t="shared" si="207"/>
        <v>66069</v>
      </c>
      <c r="V505" s="319">
        <f t="shared" si="208"/>
        <v>4365112761</v>
      </c>
      <c r="X505" s="345">
        <f t="shared" si="202"/>
        <v>31.377755754373258</v>
      </c>
      <c r="Y505" s="346">
        <f t="shared" si="203"/>
        <v>-12.649294534932892</v>
      </c>
      <c r="AA505" s="345">
        <f t="shared" si="204"/>
        <v>-3.1124655365833727</v>
      </c>
      <c r="AB505" s="346">
        <f t="shared" si="205"/>
        <v>-86.360577033708111</v>
      </c>
      <c r="AD505">
        <f t="shared" si="209"/>
        <v>0</v>
      </c>
      <c r="AE505">
        <f t="shared" si="212"/>
        <v>0</v>
      </c>
    </row>
    <row r="506" spans="1:31" x14ac:dyDescent="0.2">
      <c r="A506" s="347">
        <v>66453.75</v>
      </c>
      <c r="B506" s="364">
        <f t="shared" si="206"/>
        <v>66.453749999999999</v>
      </c>
      <c r="C506" s="337">
        <f t="shared" si="187"/>
        <v>373.03887593258958</v>
      </c>
      <c r="D506" s="338">
        <f t="shared" si="188"/>
        <v>1.5681156378313583</v>
      </c>
      <c r="E506" s="338">
        <f t="shared" si="189"/>
        <v>1.0138513243810816</v>
      </c>
      <c r="F506" s="339">
        <f t="shared" si="190"/>
        <v>0.16548902679329971</v>
      </c>
      <c r="G506" s="338">
        <f t="shared" si="191"/>
        <v>1</v>
      </c>
      <c r="H506" s="339">
        <f t="shared" si="192"/>
        <v>0</v>
      </c>
      <c r="I506" s="337">
        <f t="shared" si="193"/>
        <v>219233.82823269477</v>
      </c>
      <c r="J506" s="340">
        <f t="shared" si="194"/>
        <v>1.5707917654550339</v>
      </c>
      <c r="K506" s="348">
        <f t="shared" si="210"/>
        <v>108.19790351597139</v>
      </c>
      <c r="L506" s="349">
        <f t="shared" si="211"/>
        <v>1.5615538719523572</v>
      </c>
      <c r="M506" s="337">
        <f t="shared" si="195"/>
        <v>1.0230495239905029</v>
      </c>
      <c r="N506" s="340">
        <f t="shared" si="196"/>
        <v>0.21267499643024509</v>
      </c>
      <c r="O506" s="341">
        <f t="shared" si="197"/>
        <v>0.95613671568079883</v>
      </c>
      <c r="P506" s="342">
        <f t="shared" si="198"/>
        <v>0.10438590022216776</v>
      </c>
      <c r="Q506" s="343">
        <f t="shared" si="199"/>
        <v>-20.529416071214463</v>
      </c>
      <c r="R506" s="344">
        <f t="shared" si="200"/>
        <v>-99.060128694522717</v>
      </c>
      <c r="S506" s="346">
        <f t="shared" si="201"/>
        <v>80.939871305477283</v>
      </c>
      <c r="U506" s="319">
        <f t="shared" si="207"/>
        <v>66453.75</v>
      </c>
      <c r="V506" s="319">
        <f t="shared" si="208"/>
        <v>4416100889.0625</v>
      </c>
      <c r="X506" s="345">
        <f t="shared" si="202"/>
        <v>31.375516813427112</v>
      </c>
      <c r="Y506" s="346">
        <f t="shared" si="203"/>
        <v>-12.714672027236217</v>
      </c>
      <c r="AA506" s="345">
        <f t="shared" si="204"/>
        <v>-3.1569660806919315</v>
      </c>
      <c r="AB506" s="346">
        <f t="shared" si="205"/>
        <v>-86.345456667286484</v>
      </c>
      <c r="AD506">
        <f t="shared" si="209"/>
        <v>0</v>
      </c>
      <c r="AE506">
        <f t="shared" si="212"/>
        <v>0</v>
      </c>
    </row>
    <row r="507" spans="1:31" x14ac:dyDescent="0.2">
      <c r="A507" s="347">
        <v>66838.5</v>
      </c>
      <c r="B507" s="364">
        <f t="shared" si="206"/>
        <v>66.838499999999996</v>
      </c>
      <c r="C507" s="337">
        <f t="shared" si="187"/>
        <v>375.19865892587086</v>
      </c>
      <c r="D507" s="338">
        <f t="shared" si="188"/>
        <v>1.5681310689104546</v>
      </c>
      <c r="E507" s="338">
        <f t="shared" si="189"/>
        <v>1.0140110684582089</v>
      </c>
      <c r="F507" s="339">
        <f t="shared" si="190"/>
        <v>0.16642961944892029</v>
      </c>
      <c r="G507" s="338">
        <f t="shared" si="191"/>
        <v>1</v>
      </c>
      <c r="H507" s="339">
        <f t="shared" si="192"/>
        <v>0</v>
      </c>
      <c r="I507" s="337">
        <f t="shared" si="193"/>
        <v>220503.13531334529</v>
      </c>
      <c r="J507" s="340">
        <f t="shared" si="194"/>
        <v>1.5707917917119891</v>
      </c>
      <c r="K507" s="348">
        <f t="shared" si="210"/>
        <v>108.82428799582216</v>
      </c>
      <c r="L507" s="349">
        <f t="shared" si="211"/>
        <v>1.5616070723344404</v>
      </c>
      <c r="M507" s="337">
        <f t="shared" si="195"/>
        <v>1.0233141485808299</v>
      </c>
      <c r="N507" s="340">
        <f t="shared" si="196"/>
        <v>0.21386922605303044</v>
      </c>
      <c r="O507" s="341">
        <f t="shared" si="197"/>
        <v>0.95563030412287464</v>
      </c>
      <c r="P507" s="342">
        <f t="shared" si="198"/>
        <v>0.10504833518009013</v>
      </c>
      <c r="Q507" s="343">
        <f t="shared" si="199"/>
        <v>-20.575840327275465</v>
      </c>
      <c r="R507" s="344">
        <f t="shared" si="200"/>
        <v>-99.11045323237451</v>
      </c>
      <c r="S507" s="346">
        <f t="shared" si="201"/>
        <v>80.88954676762549</v>
      </c>
      <c r="U507" s="319">
        <f t="shared" si="207"/>
        <v>66838.5</v>
      </c>
      <c r="V507" s="319">
        <f t="shared" si="208"/>
        <v>4467385082.25</v>
      </c>
      <c r="X507" s="345">
        <f t="shared" si="202"/>
        <v>31.373266130957099</v>
      </c>
      <c r="Y507" s="346">
        <f t="shared" si="203"/>
        <v>-12.780049691516892</v>
      </c>
      <c r="AA507" s="345">
        <f t="shared" si="204"/>
        <v>-3.2011396542829211</v>
      </c>
      <c r="AB507" s="346">
        <f t="shared" si="205"/>
        <v>-86.330403540857645</v>
      </c>
      <c r="AD507">
        <f t="shared" si="209"/>
        <v>0</v>
      </c>
      <c r="AE507">
        <f t="shared" si="212"/>
        <v>0</v>
      </c>
    </row>
    <row r="508" spans="1:31" x14ac:dyDescent="0.2">
      <c r="A508" s="347">
        <v>67223.25</v>
      </c>
      <c r="B508" s="364">
        <f t="shared" si="206"/>
        <v>67.223249999999993</v>
      </c>
      <c r="C508" s="337">
        <f t="shared" si="187"/>
        <v>377.35844200747101</v>
      </c>
      <c r="D508" s="338">
        <f t="shared" si="188"/>
        <v>1.5681463233522788</v>
      </c>
      <c r="E508" s="338">
        <f t="shared" si="189"/>
        <v>1.0141717093626019</v>
      </c>
      <c r="F508" s="339">
        <f t="shared" si="190"/>
        <v>0.16736991496368528</v>
      </c>
      <c r="G508" s="338">
        <f t="shared" si="191"/>
        <v>1</v>
      </c>
      <c r="H508" s="339">
        <f t="shared" si="192"/>
        <v>0</v>
      </c>
      <c r="I508" s="337">
        <f t="shared" si="193"/>
        <v>221772.44239399597</v>
      </c>
      <c r="J508" s="340">
        <f t="shared" si="194"/>
        <v>1.5707918176683828</v>
      </c>
      <c r="K508" s="348">
        <f t="shared" si="210"/>
        <v>109.45067278015081</v>
      </c>
      <c r="L508" s="349">
        <f t="shared" si="211"/>
        <v>1.5616596637864744</v>
      </c>
      <c r="M508" s="337">
        <f t="shared" si="195"/>
        <v>1.0235802318499991</v>
      </c>
      <c r="N508" s="340">
        <f t="shared" si="196"/>
        <v>0.21506283648903571</v>
      </c>
      <c r="O508" s="341">
        <f t="shared" si="197"/>
        <v>0.95512104111030904</v>
      </c>
      <c r="P508" s="342">
        <f t="shared" si="198"/>
        <v>0.10571183571145566</v>
      </c>
      <c r="Q508" s="343">
        <f t="shared" si="199"/>
        <v>-20.621952655214358</v>
      </c>
      <c r="R508" s="344">
        <f t="shared" si="200"/>
        <v>-99.16084512254595</v>
      </c>
      <c r="S508" s="346">
        <f t="shared" si="201"/>
        <v>80.83915487745405</v>
      </c>
      <c r="U508" s="319">
        <f t="shared" si="207"/>
        <v>67223.25</v>
      </c>
      <c r="V508" s="319">
        <f t="shared" si="208"/>
        <v>4518965340.5625</v>
      </c>
      <c r="X508" s="345">
        <f t="shared" si="202"/>
        <v>31.371003724182373</v>
      </c>
      <c r="Y508" s="346">
        <f t="shared" si="203"/>
        <v>-12.845426750909269</v>
      </c>
      <c r="AA508" s="345">
        <f t="shared" si="204"/>
        <v>-3.2449895754470859</v>
      </c>
      <c r="AB508" s="346">
        <f t="shared" si="205"/>
        <v>-86.315418371636696</v>
      </c>
      <c r="AD508">
        <f t="shared" si="209"/>
        <v>0</v>
      </c>
      <c r="AE508">
        <f t="shared" si="212"/>
        <v>0</v>
      </c>
    </row>
    <row r="509" spans="1:31" x14ac:dyDescent="0.2">
      <c r="A509" s="347">
        <v>67608</v>
      </c>
      <c r="B509" s="364">
        <f t="shared" si="206"/>
        <v>67.608000000000004</v>
      </c>
      <c r="C509" s="337">
        <f t="shared" si="187"/>
        <v>379.51822517588232</v>
      </c>
      <c r="D509" s="338">
        <f t="shared" si="188"/>
        <v>1.5681614041724752</v>
      </c>
      <c r="E509" s="338">
        <f t="shared" si="189"/>
        <v>1.0143332466681667</v>
      </c>
      <c r="F509" s="339">
        <f t="shared" si="190"/>
        <v>0.16830991181643165</v>
      </c>
      <c r="G509" s="338">
        <f t="shared" si="191"/>
        <v>1</v>
      </c>
      <c r="H509" s="339">
        <f t="shared" si="192"/>
        <v>0</v>
      </c>
      <c r="I509" s="337">
        <f t="shared" si="193"/>
        <v>223041.74947464676</v>
      </c>
      <c r="J509" s="340">
        <f t="shared" si="194"/>
        <v>1.5707918433293466</v>
      </c>
      <c r="K509" s="348">
        <f t="shared" si="210"/>
        <v>110.07705786375952</v>
      </c>
      <c r="L509" s="349">
        <f t="shared" si="211"/>
        <v>1.5617116567033753</v>
      </c>
      <c r="M509" s="337">
        <f t="shared" si="195"/>
        <v>1.023847772660742</v>
      </c>
      <c r="N509" s="340">
        <f t="shared" si="196"/>
        <v>0.21625582482125763</v>
      </c>
      <c r="O509" s="341">
        <f t="shared" si="197"/>
        <v>0.95460892800444264</v>
      </c>
      <c r="P509" s="342">
        <f t="shared" si="198"/>
        <v>0.10637640975826367</v>
      </c>
      <c r="Q509" s="343">
        <f t="shared" si="199"/>
        <v>-20.667756298391748</v>
      </c>
      <c r="R509" s="344">
        <f t="shared" si="200"/>
        <v>-99.211304317597154</v>
      </c>
      <c r="S509" s="346">
        <f t="shared" si="201"/>
        <v>80.788695682402846</v>
      </c>
      <c r="U509" s="319">
        <f t="shared" si="207"/>
        <v>67608</v>
      </c>
      <c r="V509" s="319">
        <f t="shared" si="208"/>
        <v>4570841664</v>
      </c>
      <c r="X509" s="345">
        <f t="shared" si="202"/>
        <v>31.36872961044655</v>
      </c>
      <c r="Y509" s="346">
        <f t="shared" si="203"/>
        <v>-12.910802442990564</v>
      </c>
      <c r="AA509" s="345">
        <f t="shared" si="204"/>
        <v>-3.2885191048886515</v>
      </c>
      <c r="AB509" s="346">
        <f t="shared" si="205"/>
        <v>-86.300501874606567</v>
      </c>
      <c r="AD509">
        <f t="shared" si="209"/>
        <v>0</v>
      </c>
      <c r="AE509">
        <f t="shared" si="212"/>
        <v>0</v>
      </c>
    </row>
    <row r="510" spans="1:31" x14ac:dyDescent="0.2">
      <c r="A510" s="347">
        <v>68001.75</v>
      </c>
      <c r="B510" s="364">
        <f t="shared" si="206"/>
        <v>68.001750000000001</v>
      </c>
      <c r="C510" s="337">
        <f t="shared" si="187"/>
        <v>381.72852967634253</v>
      </c>
      <c r="D510" s="338">
        <f t="shared" si="188"/>
        <v>1.5681766610742769</v>
      </c>
      <c r="E510" s="338">
        <f t="shared" si="189"/>
        <v>1.0144994902764328</v>
      </c>
      <c r="F510" s="339">
        <f t="shared" si="190"/>
        <v>0.16927158609254955</v>
      </c>
      <c r="G510" s="338">
        <f t="shared" si="191"/>
        <v>1</v>
      </c>
      <c r="H510" s="339">
        <f t="shared" si="192"/>
        <v>0</v>
      </c>
      <c r="I510" s="337">
        <f t="shared" si="193"/>
        <v>224340.74794899716</v>
      </c>
      <c r="J510" s="340">
        <f t="shared" si="194"/>
        <v>1.5707918692899219</v>
      </c>
      <c r="K510" s="348">
        <f t="shared" si="210"/>
        <v>110.71809553458861</v>
      </c>
      <c r="L510" s="349">
        <f t="shared" si="211"/>
        <v>1.5617642567282777</v>
      </c>
      <c r="M510" s="337">
        <f t="shared" si="195"/>
        <v>1.0241230796262604</v>
      </c>
      <c r="N510" s="340">
        <f t="shared" si="196"/>
        <v>0.21747607217803425</v>
      </c>
      <c r="O510" s="341">
        <f t="shared" si="197"/>
        <v>0.95408188620074452</v>
      </c>
      <c r="P510" s="342">
        <f t="shared" si="198"/>
        <v>0.10705764919649063</v>
      </c>
      <c r="Q510" s="343">
        <f t="shared" si="199"/>
        <v>-20.714315096805826</v>
      </c>
      <c r="R510" s="344">
        <f t="shared" si="200"/>
        <v>-99.263013492605836</v>
      </c>
      <c r="S510" s="346">
        <f t="shared" si="201"/>
        <v>80.736986507394164</v>
      </c>
      <c r="U510" s="319">
        <f t="shared" si="207"/>
        <v>68001.75</v>
      </c>
      <c r="V510" s="319">
        <f t="shared" si="208"/>
        <v>4624238003.0625</v>
      </c>
      <c r="X510" s="345">
        <f t="shared" si="202"/>
        <v>31.366390198358559</v>
      </c>
      <c r="Y510" s="346">
        <f t="shared" si="203"/>
        <v>-12.977705194574513</v>
      </c>
      <c r="AA510" s="345">
        <f t="shared" si="204"/>
        <v>-3.3327384912147422</v>
      </c>
      <c r="AB510" s="346">
        <f t="shared" si="205"/>
        <v>-86.28530829803131</v>
      </c>
      <c r="AD510">
        <f t="shared" si="209"/>
        <v>0</v>
      </c>
      <c r="AE510">
        <f t="shared" si="212"/>
        <v>0</v>
      </c>
    </row>
    <row r="511" spans="1:31" x14ac:dyDescent="0.2">
      <c r="A511" s="347">
        <v>68395.5</v>
      </c>
      <c r="B511" s="364">
        <f t="shared" si="206"/>
        <v>68.395499999999998</v>
      </c>
      <c r="C511" s="337">
        <f t="shared" si="187"/>
        <v>383.93883426463572</v>
      </c>
      <c r="D511" s="338">
        <f t="shared" si="188"/>
        <v>1.5681917423106009</v>
      </c>
      <c r="E511" s="338">
        <f t="shared" si="189"/>
        <v>1.0146666718035477</v>
      </c>
      <c r="F511" s="339">
        <f t="shared" si="190"/>
        <v>0.17023294435703185</v>
      </c>
      <c r="G511" s="338">
        <f t="shared" si="191"/>
        <v>1</v>
      </c>
      <c r="H511" s="339">
        <f t="shared" si="192"/>
        <v>0</v>
      </c>
      <c r="I511" s="337">
        <f t="shared" si="193"/>
        <v>225639.74642334771</v>
      </c>
      <c r="J511" s="340">
        <f t="shared" si="194"/>
        <v>1.5707918949515896</v>
      </c>
      <c r="K511" s="348">
        <f t="shared" si="210"/>
        <v>111.3591335082216</v>
      </c>
      <c r="L511" s="349">
        <f t="shared" si="211"/>
        <v>1.5618162511700655</v>
      </c>
      <c r="M511" s="337">
        <f t="shared" si="195"/>
        <v>1.0243999106937747</v>
      </c>
      <c r="N511" s="340">
        <f t="shared" si="196"/>
        <v>0.2186956618372628</v>
      </c>
      <c r="O511" s="341">
        <f t="shared" si="197"/>
        <v>0.95355186232808586</v>
      </c>
      <c r="P511" s="342">
        <f t="shared" si="198"/>
        <v>0.1077400299023803</v>
      </c>
      <c r="Q511" s="343">
        <f t="shared" si="199"/>
        <v>-20.760557294451395</v>
      </c>
      <c r="R511" s="344">
        <f t="shared" si="200"/>
        <v>-99.31479309561422</v>
      </c>
      <c r="S511" s="346">
        <f t="shared" si="201"/>
        <v>80.68520690438578</v>
      </c>
      <c r="U511" s="319">
        <f t="shared" si="207"/>
        <v>68395.5</v>
      </c>
      <c r="V511" s="319">
        <f t="shared" si="208"/>
        <v>4677944420.25</v>
      </c>
      <c r="X511" s="345">
        <f t="shared" si="202"/>
        <v>31.364038562353688</v>
      </c>
      <c r="Y511" s="346">
        <f t="shared" si="203"/>
        <v>-13.044604943095228</v>
      </c>
      <c r="AA511" s="345">
        <f t="shared" si="204"/>
        <v>-3.3766290528554403</v>
      </c>
      <c r="AB511" s="346">
        <f t="shared" si="205"/>
        <v>-86.270188152519026</v>
      </c>
      <c r="AD511">
        <f t="shared" si="209"/>
        <v>0</v>
      </c>
      <c r="AE511">
        <f t="shared" si="212"/>
        <v>0</v>
      </c>
    </row>
    <row r="512" spans="1:31" x14ac:dyDescent="0.2">
      <c r="A512" s="347">
        <v>68789.25</v>
      </c>
      <c r="B512" s="364">
        <f t="shared" si="206"/>
        <v>68.789249999999996</v>
      </c>
      <c r="C512" s="337">
        <f t="shared" si="187"/>
        <v>386.14913893925376</v>
      </c>
      <c r="D512" s="338">
        <f t="shared" si="188"/>
        <v>1.5682066508979497</v>
      </c>
      <c r="E512" s="338">
        <f t="shared" si="189"/>
        <v>1.01483479078598</v>
      </c>
      <c r="F512" s="339">
        <f t="shared" si="190"/>
        <v>0.17119398498950342</v>
      </c>
      <c r="G512" s="338">
        <f t="shared" si="191"/>
        <v>1</v>
      </c>
      <c r="H512" s="339">
        <f t="shared" si="192"/>
        <v>0</v>
      </c>
      <c r="I512" s="337">
        <f t="shared" si="193"/>
        <v>226938.7448976984</v>
      </c>
      <c r="J512" s="340">
        <f t="shared" si="194"/>
        <v>1.570791920319482</v>
      </c>
      <c r="K512" s="348">
        <f t="shared" si="210"/>
        <v>112.00017177945917</v>
      </c>
      <c r="L512" s="349">
        <f t="shared" si="211"/>
        <v>1.5618676504267062</v>
      </c>
      <c r="M512" s="337">
        <f t="shared" si="195"/>
        <v>1.0246782646280126</v>
      </c>
      <c r="N512" s="340">
        <f t="shared" si="196"/>
        <v>0.21991459070544511</v>
      </c>
      <c r="O512" s="341">
        <f t="shared" si="197"/>
        <v>0.95301885788291485</v>
      </c>
      <c r="P512" s="342">
        <f t="shared" si="198"/>
        <v>0.10842356050216068</v>
      </c>
      <c r="Q512" s="343">
        <f t="shared" si="199"/>
        <v>-20.806486188953176</v>
      </c>
      <c r="R512" s="344">
        <f t="shared" si="200"/>
        <v>-99.366643113832396</v>
      </c>
      <c r="S512" s="346">
        <f t="shared" si="201"/>
        <v>80.633356886167604</v>
      </c>
      <c r="U512" s="319">
        <f t="shared" si="207"/>
        <v>68789.25</v>
      </c>
      <c r="V512" s="319">
        <f t="shared" si="208"/>
        <v>4731960915.5625</v>
      </c>
      <c r="X512" s="345">
        <f t="shared" si="202"/>
        <v>31.361674721412555</v>
      </c>
      <c r="Y512" s="346">
        <f t="shared" si="203"/>
        <v>-13.111500915842726</v>
      </c>
      <c r="AA512" s="345">
        <f t="shared" si="204"/>
        <v>-3.4201941064160888</v>
      </c>
      <c r="AB512" s="346">
        <f t="shared" si="205"/>
        <v>-86.25514219798967</v>
      </c>
      <c r="AD512">
        <f t="shared" si="209"/>
        <v>0</v>
      </c>
      <c r="AE512">
        <f t="shared" si="212"/>
        <v>0</v>
      </c>
    </row>
    <row r="513" spans="1:31" x14ac:dyDescent="0.2">
      <c r="A513" s="347">
        <v>69183</v>
      </c>
      <c r="B513" s="364">
        <f t="shared" si="206"/>
        <v>69.183000000000007</v>
      </c>
      <c r="C513" s="337">
        <f t="shared" si="187"/>
        <v>388.35944369872266</v>
      </c>
      <c r="D513" s="338">
        <f t="shared" si="188"/>
        <v>1.5682213897841548</v>
      </c>
      <c r="E513" s="338">
        <f t="shared" si="189"/>
        <v>1.015003846757907</v>
      </c>
      <c r="F513" s="339">
        <f t="shared" si="190"/>
        <v>0.17215470637300645</v>
      </c>
      <c r="G513" s="338">
        <f t="shared" si="191"/>
        <v>1</v>
      </c>
      <c r="H513" s="339">
        <f t="shared" si="192"/>
        <v>0</v>
      </c>
      <c r="I513" s="337">
        <f t="shared" si="193"/>
        <v>228237.74337204927</v>
      </c>
      <c r="J513" s="340">
        <f t="shared" si="194"/>
        <v>1.5707919453986157</v>
      </c>
      <c r="K513" s="348">
        <f t="shared" si="210"/>
        <v>112.64121034322034</v>
      </c>
      <c r="L513" s="349">
        <f t="shared" si="211"/>
        <v>1.5619184646594808</v>
      </c>
      <c r="M513" s="337">
        <f t="shared" si="195"/>
        <v>1.0249581401882526</v>
      </c>
      <c r="N513" s="340">
        <f t="shared" si="196"/>
        <v>0.22113285570028871</v>
      </c>
      <c r="O513" s="341">
        <f t="shared" si="197"/>
        <v>0.95248287437442569</v>
      </c>
      <c r="P513" s="342">
        <f t="shared" si="198"/>
        <v>0.10910824966110493</v>
      </c>
      <c r="Q513" s="343">
        <f t="shared" si="199"/>
        <v>-20.85210502038337</v>
      </c>
      <c r="R513" s="344">
        <f t="shared" si="200"/>
        <v>-99.418563546773598</v>
      </c>
      <c r="S513" s="346">
        <f t="shared" si="201"/>
        <v>80.581436453226402</v>
      </c>
      <c r="U513" s="319">
        <f t="shared" si="207"/>
        <v>69183</v>
      </c>
      <c r="V513" s="319">
        <f t="shared" si="208"/>
        <v>4786287489</v>
      </c>
      <c r="X513" s="345">
        <f t="shared" si="202"/>
        <v>31.35929869464325</v>
      </c>
      <c r="Y513" s="346">
        <f t="shared" si="203"/>
        <v>-13.178392354303554</v>
      </c>
      <c r="AA513" s="345">
        <f t="shared" si="204"/>
        <v>-3.4634369110769776</v>
      </c>
      <c r="AB513" s="346">
        <f t="shared" si="205"/>
        <v>-86.240171192470015</v>
      </c>
      <c r="AD513">
        <f t="shared" si="209"/>
        <v>0</v>
      </c>
      <c r="AE513">
        <f t="shared" si="212"/>
        <v>0</v>
      </c>
    </row>
    <row r="514" spans="1:31" x14ac:dyDescent="0.2">
      <c r="A514" s="347">
        <v>69586</v>
      </c>
      <c r="B514" s="364">
        <f t="shared" si="206"/>
        <v>69.585999999999999</v>
      </c>
      <c r="C514" s="337">
        <f t="shared" si="187"/>
        <v>390.6216731642989</v>
      </c>
      <c r="D514" s="338">
        <f t="shared" si="188"/>
        <v>1.5682363021956782</v>
      </c>
      <c r="E514" s="338">
        <f t="shared" si="189"/>
        <v>1.0151778439806887</v>
      </c>
      <c r="F514" s="339">
        <f t="shared" si="190"/>
        <v>0.17313766481356999</v>
      </c>
      <c r="G514" s="338">
        <f t="shared" si="191"/>
        <v>1</v>
      </c>
      <c r="H514" s="339">
        <f t="shared" si="192"/>
        <v>0</v>
      </c>
      <c r="I514" s="337">
        <f t="shared" si="193"/>
        <v>229567.25800103581</v>
      </c>
      <c r="J514" s="340">
        <f t="shared" si="194"/>
        <v>1.5707919707730114</v>
      </c>
      <c r="K514" s="348">
        <f t="shared" si="210"/>
        <v>113.29730852335261</v>
      </c>
      <c r="L514" s="349">
        <f t="shared" si="211"/>
        <v>1.5619698771861605</v>
      </c>
      <c r="M514" s="337">
        <f t="shared" si="195"/>
        <v>1.0252461649674636</v>
      </c>
      <c r="N514" s="340">
        <f t="shared" si="196"/>
        <v>0.22237904959862975</v>
      </c>
      <c r="O514" s="341">
        <f t="shared" si="197"/>
        <v>0.95193121623394839</v>
      </c>
      <c r="P514" s="342">
        <f t="shared" si="198"/>
        <v>0.10981023237015153</v>
      </c>
      <c r="Q514" s="343">
        <f t="shared" si="199"/>
        <v>-20.89847778000582</v>
      </c>
      <c r="R514" s="344">
        <f t="shared" si="200"/>
        <v>-99.471776625398334</v>
      </c>
      <c r="S514" s="346">
        <f t="shared" si="201"/>
        <v>80.528223374601666</v>
      </c>
      <c r="U514" s="319">
        <f t="shared" si="207"/>
        <v>69586</v>
      </c>
      <c r="V514" s="319">
        <f t="shared" si="208"/>
        <v>4842211396</v>
      </c>
      <c r="X514" s="345">
        <f t="shared" si="202"/>
        <v>31.356854251579371</v>
      </c>
      <c r="Y514" s="346">
        <f t="shared" si="203"/>
        <v>-13.246849738264602</v>
      </c>
      <c r="AA514" s="345">
        <f t="shared" si="204"/>
        <v>-3.5073652276355443</v>
      </c>
      <c r="AB514" s="346">
        <f t="shared" si="205"/>
        <v>-86.224926887133734</v>
      </c>
      <c r="AD514">
        <f t="shared" si="209"/>
        <v>0</v>
      </c>
      <c r="AE514">
        <f t="shared" si="212"/>
        <v>0</v>
      </c>
    </row>
    <row r="515" spans="1:31" x14ac:dyDescent="0.2">
      <c r="A515" s="347">
        <v>69989</v>
      </c>
      <c r="B515" s="364">
        <f t="shared" si="206"/>
        <v>69.989000000000004</v>
      </c>
      <c r="C515" s="337">
        <f t="shared" si="187"/>
        <v>392.88390271574121</v>
      </c>
      <c r="D515" s="338">
        <f t="shared" si="188"/>
        <v>1.5682510428755669</v>
      </c>
      <c r="E515" s="338">
        <f t="shared" si="189"/>
        <v>1.0153528217389802</v>
      </c>
      <c r="F515" s="339">
        <f t="shared" si="190"/>
        <v>0.17412028541293559</v>
      </c>
      <c r="G515" s="338">
        <f t="shared" si="191"/>
        <v>1</v>
      </c>
      <c r="H515" s="339">
        <f t="shared" si="192"/>
        <v>0</v>
      </c>
      <c r="I515" s="337">
        <f t="shared" si="193"/>
        <v>230896.77263002249</v>
      </c>
      <c r="J515" s="340">
        <f t="shared" si="194"/>
        <v>1.570791995855193</v>
      </c>
      <c r="K515" s="348">
        <f t="shared" si="210"/>
        <v>113.95340699950924</v>
      </c>
      <c r="L515" s="349">
        <f t="shared" si="211"/>
        <v>1.5620206976871391</v>
      </c>
      <c r="M515" s="337">
        <f t="shared" si="195"/>
        <v>1.0255357810573877</v>
      </c>
      <c r="N515" s="340">
        <f t="shared" si="196"/>
        <v>0.22362454156836711</v>
      </c>
      <c r="O515" s="341">
        <f t="shared" si="197"/>
        <v>0.95137644065765292</v>
      </c>
      <c r="P515" s="342">
        <f t="shared" si="198"/>
        <v>0.11051344720604421</v>
      </c>
      <c r="Q515" s="343">
        <f t="shared" si="199"/>
        <v>-20.944532426223368</v>
      </c>
      <c r="R515" s="344">
        <f t="shared" si="200"/>
        <v>-99.525063503353095</v>
      </c>
      <c r="S515" s="346">
        <f t="shared" si="201"/>
        <v>80.474936496646905</v>
      </c>
      <c r="U515" s="319">
        <f t="shared" si="207"/>
        <v>69989</v>
      </c>
      <c r="V515" s="319">
        <f t="shared" si="208"/>
        <v>4898460121</v>
      </c>
      <c r="X515" s="345">
        <f t="shared" si="202"/>
        <v>31.354397084324745</v>
      </c>
      <c r="Y515" s="346">
        <f t="shared" si="203"/>
        <v>-13.315300808510541</v>
      </c>
      <c r="AA515" s="345">
        <f t="shared" si="204"/>
        <v>-3.5509627065984706</v>
      </c>
      <c r="AB515" s="346">
        <f t="shared" si="205"/>
        <v>-86.209762694842567</v>
      </c>
      <c r="AD515">
        <f t="shared" si="209"/>
        <v>0</v>
      </c>
      <c r="AE515">
        <f t="shared" si="212"/>
        <v>0</v>
      </c>
    </row>
    <row r="516" spans="1:31" x14ac:dyDescent="0.2">
      <c r="A516" s="347">
        <v>70392</v>
      </c>
      <c r="B516" s="364">
        <f t="shared" si="206"/>
        <v>70.391999999999996</v>
      </c>
      <c r="C516" s="337">
        <f t="shared" si="187"/>
        <v>395.14613235157481</v>
      </c>
      <c r="D516" s="338">
        <f t="shared" si="188"/>
        <v>1.5682656147733292</v>
      </c>
      <c r="E516" s="338">
        <f t="shared" si="189"/>
        <v>1.0155287795259367</v>
      </c>
      <c r="F516" s="339">
        <f t="shared" si="190"/>
        <v>0.17510256644870273</v>
      </c>
      <c r="G516" s="338">
        <f t="shared" si="191"/>
        <v>1</v>
      </c>
      <c r="H516" s="339">
        <f t="shared" si="192"/>
        <v>0</v>
      </c>
      <c r="I516" s="337">
        <f t="shared" si="193"/>
        <v>232226.28725900929</v>
      </c>
      <c r="J516" s="340">
        <f t="shared" si="194"/>
        <v>1.5707920206501798</v>
      </c>
      <c r="K516" s="348">
        <f t="shared" si="210"/>
        <v>114.60950576660639</v>
      </c>
      <c r="L516" s="349">
        <f t="shared" si="211"/>
        <v>1.5620709363295635</v>
      </c>
      <c r="M516" s="337">
        <f t="shared" si="195"/>
        <v>1.0258269871102275</v>
      </c>
      <c r="N516" s="340">
        <f t="shared" si="196"/>
        <v>0.22486932834151913</v>
      </c>
      <c r="O516" s="341">
        <f t="shared" si="197"/>
        <v>0.95081854930564214</v>
      </c>
      <c r="P516" s="342">
        <f t="shared" si="198"/>
        <v>0.11121790358859206</v>
      </c>
      <c r="Q516" s="343">
        <f t="shared" si="199"/>
        <v>-20.990272253964527</v>
      </c>
      <c r="R516" s="344">
        <f t="shared" si="200"/>
        <v>-99.578424218545209</v>
      </c>
      <c r="S516" s="346">
        <f t="shared" si="201"/>
        <v>80.421575781454791</v>
      </c>
      <c r="U516" s="319">
        <f t="shared" si="207"/>
        <v>70392</v>
      </c>
      <c r="V516" s="319">
        <f t="shared" si="208"/>
        <v>4955033664</v>
      </c>
      <c r="X516" s="345">
        <f t="shared" si="202"/>
        <v>31.351927213767169</v>
      </c>
      <c r="Y516" s="346">
        <f t="shared" si="203"/>
        <v>-13.383744795552776</v>
      </c>
      <c r="AA516" s="345">
        <f t="shared" si="204"/>
        <v>-3.5942326637820523</v>
      </c>
      <c r="AB516" s="346">
        <f t="shared" si="205"/>
        <v>-86.194679422992436</v>
      </c>
      <c r="AD516">
        <f t="shared" si="209"/>
        <v>0</v>
      </c>
      <c r="AE516">
        <f t="shared" si="212"/>
        <v>0</v>
      </c>
    </row>
    <row r="517" spans="1:31" x14ac:dyDescent="0.2">
      <c r="A517" s="347">
        <v>70795</v>
      </c>
      <c r="B517" s="364">
        <f t="shared" si="206"/>
        <v>70.795000000000002</v>
      </c>
      <c r="C517" s="337">
        <f t="shared" si="187"/>
        <v>397.40836207035858</v>
      </c>
      <c r="D517" s="338">
        <f t="shared" si="188"/>
        <v>1.568280020771313</v>
      </c>
      <c r="E517" s="338">
        <f t="shared" si="189"/>
        <v>1.0157057168322265</v>
      </c>
      <c r="F517" s="339">
        <f t="shared" si="190"/>
        <v>0.17608450620228211</v>
      </c>
      <c r="G517" s="338">
        <f t="shared" si="191"/>
        <v>1</v>
      </c>
      <c r="H517" s="339">
        <f t="shared" si="192"/>
        <v>0</v>
      </c>
      <c r="I517" s="337">
        <f t="shared" si="193"/>
        <v>233555.80188799626</v>
      </c>
      <c r="J517" s="340">
        <f t="shared" si="194"/>
        <v>1.5707920451628758</v>
      </c>
      <c r="K517" s="348">
        <f t="shared" si="210"/>
        <v>115.26560481967584</v>
      </c>
      <c r="L517" s="349">
        <f t="shared" si="211"/>
        <v>1.5621206030491037</v>
      </c>
      <c r="M517" s="337">
        <f t="shared" si="195"/>
        <v>1.0261197817723191</v>
      </c>
      <c r="N517" s="340">
        <f t="shared" si="196"/>
        <v>0.22611340666254548</v>
      </c>
      <c r="O517" s="341">
        <f t="shared" si="197"/>
        <v>0.95025754385237948</v>
      </c>
      <c r="P517" s="342">
        <f t="shared" si="198"/>
        <v>0.11192361098202741</v>
      </c>
      <c r="Q517" s="343">
        <f t="shared" si="199"/>
        <v>-21.03570050053991</v>
      </c>
      <c r="R517" s="344">
        <f t="shared" si="200"/>
        <v>-99.631858821329871</v>
      </c>
      <c r="S517" s="346">
        <f t="shared" si="201"/>
        <v>80.368141178670129</v>
      </c>
      <c r="U517" s="319">
        <f t="shared" si="207"/>
        <v>70795</v>
      </c>
      <c r="V517" s="319">
        <f t="shared" si="208"/>
        <v>5011932025</v>
      </c>
      <c r="X517" s="345">
        <f t="shared" si="202"/>
        <v>31.349444660925293</v>
      </c>
      <c r="Y517" s="346">
        <f t="shared" si="203"/>
        <v>-13.452180943871623</v>
      </c>
      <c r="AA517" s="345">
        <f t="shared" si="204"/>
        <v>-3.6371783575155607</v>
      </c>
      <c r="AB517" s="346">
        <f t="shared" si="205"/>
        <v>-86.179677877458246</v>
      </c>
      <c r="AD517">
        <f t="shared" si="209"/>
        <v>0</v>
      </c>
      <c r="AE517">
        <f t="shared" si="212"/>
        <v>0</v>
      </c>
    </row>
    <row r="518" spans="1:31" x14ac:dyDescent="0.2">
      <c r="A518" s="347">
        <v>71207.25</v>
      </c>
      <c r="B518" s="364">
        <f t="shared" si="206"/>
        <v>71.207250000000002</v>
      </c>
      <c r="C518" s="337">
        <f t="shared" si="187"/>
        <v>399.72251650104221</v>
      </c>
      <c r="D518" s="338">
        <f t="shared" si="188"/>
        <v>1.5682945887095123</v>
      </c>
      <c r="E518" s="338">
        <f t="shared" si="189"/>
        <v>1.0158877283224708</v>
      </c>
      <c r="F518" s="339">
        <f t="shared" si="190"/>
        <v>0.17708862936527589</v>
      </c>
      <c r="G518" s="338">
        <f t="shared" si="191"/>
        <v>1</v>
      </c>
      <c r="H518" s="339">
        <f t="shared" si="192"/>
        <v>0</v>
      </c>
      <c r="I518" s="337">
        <f t="shared" si="193"/>
        <v>234915.83267161893</v>
      </c>
      <c r="J518" s="340">
        <f t="shared" si="194"/>
        <v>1.5707920699511215</v>
      </c>
      <c r="K518" s="348">
        <f t="shared" si="210"/>
        <v>115.93676350908778</v>
      </c>
      <c r="L518" s="349">
        <f t="shared" si="211"/>
        <v>1.5621708281203499</v>
      </c>
      <c r="M518" s="337">
        <f t="shared" si="195"/>
        <v>1.0264209392123551</v>
      </c>
      <c r="N518" s="340">
        <f t="shared" si="196"/>
        <v>0.2273853037197251</v>
      </c>
      <c r="O518" s="341">
        <f t="shared" si="197"/>
        <v>0.94968044134622964</v>
      </c>
      <c r="P518" s="342">
        <f t="shared" si="198"/>
        <v>0.11264682070028105</v>
      </c>
      <c r="Q518" s="343">
        <f t="shared" si="199"/>
        <v>-21.081852380455281</v>
      </c>
      <c r="R518" s="344">
        <f t="shared" si="200"/>
        <v>-99.686596416980578</v>
      </c>
      <c r="S518" s="346">
        <f t="shared" si="201"/>
        <v>80.313403583019422</v>
      </c>
      <c r="U518" s="319">
        <f t="shared" si="207"/>
        <v>71207.25</v>
      </c>
      <c r="V518" s="319">
        <f t="shared" si="208"/>
        <v>5070472452.5625</v>
      </c>
      <c r="X518" s="345">
        <f t="shared" si="202"/>
        <v>31.346892026193732</v>
      </c>
      <c r="Y518" s="346">
        <f t="shared" si="203"/>
        <v>-13.522179012956821</v>
      </c>
      <c r="AA518" s="345">
        <f t="shared" si="204"/>
        <v>-3.6807776026993642</v>
      </c>
      <c r="AB518" s="346">
        <f t="shared" si="205"/>
        <v>-86.164417404023766</v>
      </c>
      <c r="AD518">
        <f t="shared" si="209"/>
        <v>0</v>
      </c>
      <c r="AE518">
        <f t="shared" si="212"/>
        <v>0</v>
      </c>
    </row>
    <row r="519" spans="1:31" x14ac:dyDescent="0.2">
      <c r="A519" s="347">
        <v>71619.5</v>
      </c>
      <c r="B519" s="364">
        <f t="shared" si="206"/>
        <v>71.619500000000002</v>
      </c>
      <c r="C519" s="337">
        <f t="shared" si="187"/>
        <v>402.03667101558034</v>
      </c>
      <c r="D519" s="338">
        <f t="shared" si="188"/>
        <v>1.5683089889393318</v>
      </c>
      <c r="E519" s="338">
        <f t="shared" si="189"/>
        <v>1.0160707637274879</v>
      </c>
      <c r="F519" s="339">
        <f t="shared" si="190"/>
        <v>0.17809239177370484</v>
      </c>
      <c r="G519" s="338">
        <f t="shared" si="191"/>
        <v>1</v>
      </c>
      <c r="H519" s="339">
        <f t="shared" si="192"/>
        <v>0</v>
      </c>
      <c r="I519" s="337">
        <f t="shared" si="193"/>
        <v>236275.86345524172</v>
      </c>
      <c r="J519" s="340">
        <f t="shared" si="194"/>
        <v>1.570792094453999</v>
      </c>
      <c r="K519" s="348">
        <f t="shared" si="210"/>
        <v>116.6079224875903</v>
      </c>
      <c r="L519" s="349">
        <f t="shared" si="211"/>
        <v>1.5622204750319042</v>
      </c>
      <c r="M519" s="337">
        <f t="shared" si="195"/>
        <v>1.0267237561405962</v>
      </c>
      <c r="N519" s="340">
        <f t="shared" si="196"/>
        <v>0.22865645257795542</v>
      </c>
      <c r="O519" s="341">
        <f t="shared" si="197"/>
        <v>0.94910008373426724</v>
      </c>
      <c r="P519" s="342">
        <f t="shared" si="198"/>
        <v>0.11337135969578431</v>
      </c>
      <c r="Q519" s="343">
        <f t="shared" si="199"/>
        <v>-21.127684885685628</v>
      </c>
      <c r="R519" s="344">
        <f t="shared" si="200"/>
        <v>-99.741411476457017</v>
      </c>
      <c r="S519" s="346">
        <f t="shared" si="201"/>
        <v>80.258588523542983</v>
      </c>
      <c r="U519" s="319">
        <f t="shared" si="207"/>
        <v>71619.5</v>
      </c>
      <c r="V519" s="319">
        <f t="shared" si="208"/>
        <v>5129352780.25</v>
      </c>
      <c r="X519" s="345">
        <f t="shared" si="202"/>
        <v>31.344326165211278</v>
      </c>
      <c r="Y519" s="346">
        <f t="shared" si="203"/>
        <v>-13.592167323159806</v>
      </c>
      <c r="AA519" s="345">
        <f t="shared" si="204"/>
        <v>-3.7240442469472619</v>
      </c>
      <c r="AB519" s="346">
        <f t="shared" si="205"/>
        <v>-86.149244153297218</v>
      </c>
      <c r="AD519">
        <f t="shared" si="209"/>
        <v>0</v>
      </c>
      <c r="AE519">
        <f t="shared" si="212"/>
        <v>0</v>
      </c>
    </row>
    <row r="520" spans="1:31" x14ac:dyDescent="0.2">
      <c r="A520" s="347">
        <v>72031.75</v>
      </c>
      <c r="B520" s="364">
        <f t="shared" si="206"/>
        <v>72.031750000000002</v>
      </c>
      <c r="C520" s="337">
        <f t="shared" si="187"/>
        <v>404.35082561253319</v>
      </c>
      <c r="D520" s="338">
        <f t="shared" si="188"/>
        <v>1.5683232243402188</v>
      </c>
      <c r="E520" s="338">
        <f t="shared" si="189"/>
        <v>1.0162548224940331</v>
      </c>
      <c r="F520" s="339">
        <f t="shared" si="190"/>
        <v>0.17909579160038233</v>
      </c>
      <c r="G520" s="338">
        <f t="shared" si="191"/>
        <v>1</v>
      </c>
      <c r="H520" s="339">
        <f t="shared" si="192"/>
        <v>0</v>
      </c>
      <c r="I520" s="337">
        <f t="shared" si="193"/>
        <v>237635.89423886468</v>
      </c>
      <c r="J520" s="340">
        <f t="shared" si="194"/>
        <v>1.5707921186764084</v>
      </c>
      <c r="K520" s="348">
        <f t="shared" si="210"/>
        <v>117.27908175022024</v>
      </c>
      <c r="L520" s="349">
        <f t="shared" si="211"/>
        <v>1.5622695537095155</v>
      </c>
      <c r="M520" s="337">
        <f t="shared" si="195"/>
        <v>1.0270282310891532</v>
      </c>
      <c r="N520" s="340">
        <f t="shared" si="196"/>
        <v>0.22992684979298078</v>
      </c>
      <c r="O520" s="341">
        <f t="shared" si="197"/>
        <v>0.94851647285621277</v>
      </c>
      <c r="P520" s="342">
        <f t="shared" si="198"/>
        <v>0.11409723824651043</v>
      </c>
      <c r="Q520" s="343">
        <f t="shared" si="199"/>
        <v>-21.173201302839885</v>
      </c>
      <c r="R520" s="344">
        <f t="shared" si="200"/>
        <v>-99.796304092549889</v>
      </c>
      <c r="S520" s="346">
        <f t="shared" si="201"/>
        <v>80.203695907450111</v>
      </c>
      <c r="U520" s="319">
        <f t="shared" si="207"/>
        <v>72031.75</v>
      </c>
      <c r="V520" s="319">
        <f t="shared" si="208"/>
        <v>5188573008.0625</v>
      </c>
      <c r="X520" s="345">
        <f t="shared" si="202"/>
        <v>31.341747100888671</v>
      </c>
      <c r="Y520" s="346">
        <f t="shared" si="203"/>
        <v>-13.662145108716516</v>
      </c>
      <c r="AA520" s="345">
        <f t="shared" si="204"/>
        <v>-3.766981599778906</v>
      </c>
      <c r="AB520" s="346">
        <f t="shared" si="205"/>
        <v>-86.134158983833373</v>
      </c>
      <c r="AD520">
        <f t="shared" si="209"/>
        <v>0</v>
      </c>
      <c r="AE520">
        <f t="shared" si="212"/>
        <v>0</v>
      </c>
    </row>
    <row r="521" spans="1:31" x14ac:dyDescent="0.2">
      <c r="A521" s="347">
        <v>72444</v>
      </c>
      <c r="B521" s="364">
        <f t="shared" si="206"/>
        <v>72.444000000000003</v>
      </c>
      <c r="C521" s="337">
        <f t="shared" si="187"/>
        <v>406.6649802904937</v>
      </c>
      <c r="D521" s="338">
        <f t="shared" si="188"/>
        <v>1.5683372977260783</v>
      </c>
      <c r="E521" s="338">
        <f t="shared" si="189"/>
        <v>1.01643990406617</v>
      </c>
      <c r="F521" s="339">
        <f t="shared" si="190"/>
        <v>0.18009882702236199</v>
      </c>
      <c r="G521" s="338">
        <f t="shared" si="191"/>
        <v>1</v>
      </c>
      <c r="H521" s="339">
        <f t="shared" si="192"/>
        <v>0</v>
      </c>
      <c r="I521" s="337">
        <f t="shared" si="193"/>
        <v>238995.92502248779</v>
      </c>
      <c r="J521" s="340">
        <f t="shared" si="194"/>
        <v>1.5707921426231375</v>
      </c>
      <c r="K521" s="348">
        <f t="shared" si="210"/>
        <v>117.95024129212739</v>
      </c>
      <c r="L521" s="349">
        <f t="shared" si="211"/>
        <v>1.5623180738530262</v>
      </c>
      <c r="M521" s="337">
        <f t="shared" si="195"/>
        <v>1.0273343625838447</v>
      </c>
      <c r="N521" s="340">
        <f t="shared" si="196"/>
        <v>0.23119649193432212</v>
      </c>
      <c r="O521" s="341">
        <f t="shared" si="197"/>
        <v>0.94792961056795011</v>
      </c>
      <c r="P521" s="342">
        <f t="shared" si="198"/>
        <v>0.1148244666808982</v>
      </c>
      <c r="Q521" s="343">
        <f t="shared" si="199"/>
        <v>-21.218404860962671</v>
      </c>
      <c r="R521" s="344">
        <f t="shared" si="200"/>
        <v>-99.851274370669501</v>
      </c>
      <c r="S521" s="346">
        <f t="shared" si="201"/>
        <v>80.148725629330499</v>
      </c>
      <c r="U521" s="319">
        <f t="shared" si="207"/>
        <v>72444</v>
      </c>
      <c r="V521" s="319">
        <f t="shared" si="208"/>
        <v>5248133136</v>
      </c>
      <c r="X521" s="345">
        <f t="shared" si="202"/>
        <v>31.339154856270845</v>
      </c>
      <c r="Y521" s="346">
        <f t="shared" si="203"/>
        <v>-13.732111617589251</v>
      </c>
      <c r="AA521" s="345">
        <f t="shared" si="204"/>
        <v>-3.8095929132838697</v>
      </c>
      <c r="AB521" s="346">
        <f t="shared" si="205"/>
        <v>-86.119162753080218</v>
      </c>
      <c r="AD521">
        <f t="shared" si="209"/>
        <v>0</v>
      </c>
      <c r="AE521">
        <f t="shared" si="212"/>
        <v>0</v>
      </c>
    </row>
    <row r="522" spans="1:31" x14ac:dyDescent="0.2">
      <c r="A522" s="347">
        <v>72865.75</v>
      </c>
      <c r="B522" s="364">
        <f t="shared" si="206"/>
        <v>72.865750000000006</v>
      </c>
      <c r="C522" s="337">
        <f t="shared" si="187"/>
        <v>409.03246305434448</v>
      </c>
      <c r="D522" s="338">
        <f t="shared" si="188"/>
        <v>1.5683515306320082</v>
      </c>
      <c r="E522" s="338">
        <f t="shared" si="189"/>
        <v>1.0166303085572321</v>
      </c>
      <c r="F522" s="339">
        <f t="shared" si="190"/>
        <v>0.18112459766859385</v>
      </c>
      <c r="G522" s="338">
        <f t="shared" si="191"/>
        <v>1</v>
      </c>
      <c r="H522" s="339">
        <f t="shared" si="192"/>
        <v>0</v>
      </c>
      <c r="I522" s="337">
        <f t="shared" si="193"/>
        <v>240387.29672168265</v>
      </c>
      <c r="J522" s="340">
        <f t="shared" si="194"/>
        <v>1.5707921668412983</v>
      </c>
      <c r="K522" s="348">
        <f t="shared" si="210"/>
        <v>118.63686749929306</v>
      </c>
      <c r="L522" s="349">
        <f t="shared" si="211"/>
        <v>1.5623671440034859</v>
      </c>
      <c r="M522" s="337">
        <f t="shared" si="195"/>
        <v>1.0276492613581372</v>
      </c>
      <c r="N522" s="340">
        <f t="shared" si="196"/>
        <v>0.23249460711392236</v>
      </c>
      <c r="O522" s="341">
        <f t="shared" si="197"/>
        <v>0.94732586175637401</v>
      </c>
      <c r="P522" s="342">
        <f t="shared" si="198"/>
        <v>0.11556986128956383</v>
      </c>
      <c r="Q522" s="343">
        <f t="shared" si="199"/>
        <v>-21.264329653720296</v>
      </c>
      <c r="R522" s="344">
        <f t="shared" si="200"/>
        <v>-99.907591888734615</v>
      </c>
      <c r="S522" s="346">
        <f t="shared" si="201"/>
        <v>80.092408111265385</v>
      </c>
      <c r="U522" s="319">
        <f t="shared" si="207"/>
        <v>72865.75</v>
      </c>
      <c r="V522" s="319">
        <f t="shared" si="208"/>
        <v>5309417523.0625</v>
      </c>
      <c r="X522" s="345">
        <f t="shared" si="202"/>
        <v>31.336489260049159</v>
      </c>
      <c r="Y522" s="346">
        <f t="shared" si="203"/>
        <v>-13.803678013860987</v>
      </c>
      <c r="AA522" s="345">
        <f t="shared" si="204"/>
        <v>-3.8528521098198105</v>
      </c>
      <c r="AB522" s="346">
        <f t="shared" si="205"/>
        <v>-86.103913874873641</v>
      </c>
      <c r="AD522">
        <f t="shared" si="209"/>
        <v>0</v>
      </c>
      <c r="AE522">
        <f t="shared" si="212"/>
        <v>0</v>
      </c>
    </row>
    <row r="523" spans="1:31" x14ac:dyDescent="0.2">
      <c r="A523" s="347">
        <v>73287.5</v>
      </c>
      <c r="B523" s="364">
        <f t="shared" si="206"/>
        <v>73.287499999999994</v>
      </c>
      <c r="C523" s="337">
        <f t="shared" si="187"/>
        <v>411.39994590010161</v>
      </c>
      <c r="D523" s="338">
        <f t="shared" si="188"/>
        <v>1.5683655997257624</v>
      </c>
      <c r="E523" s="338">
        <f t="shared" si="189"/>
        <v>1.0168217823509436</v>
      </c>
      <c r="F523" s="339">
        <f t="shared" si="190"/>
        <v>0.18214998307556443</v>
      </c>
      <c r="G523" s="338">
        <f t="shared" si="191"/>
        <v>1</v>
      </c>
      <c r="H523" s="339">
        <f t="shared" si="192"/>
        <v>0</v>
      </c>
      <c r="I523" s="337">
        <f t="shared" si="193"/>
        <v>241778.66842087769</v>
      </c>
      <c r="J523" s="340">
        <f t="shared" si="194"/>
        <v>1.5707921907807207</v>
      </c>
      <c r="K523" s="348">
        <f t="shared" si="210"/>
        <v>119.32349398883443</v>
      </c>
      <c r="L523" s="349">
        <f t="shared" si="211"/>
        <v>1.5624156494226067</v>
      </c>
      <c r="M523" s="337">
        <f t="shared" si="195"/>
        <v>1.0279658907646545</v>
      </c>
      <c r="N523" s="340">
        <f t="shared" si="196"/>
        <v>0.2337919247993788</v>
      </c>
      <c r="O523" s="341">
        <f t="shared" si="197"/>
        <v>0.94671871393707463</v>
      </c>
      <c r="P523" s="342">
        <f t="shared" si="198"/>
        <v>0.11631669074563739</v>
      </c>
      <c r="Q523" s="343">
        <f t="shared" si="199"/>
        <v>-21.309933660225404</v>
      </c>
      <c r="R523" s="344">
        <f t="shared" si="200"/>
        <v>-99.9639909520412</v>
      </c>
      <c r="S523" s="346">
        <f t="shared" si="201"/>
        <v>80.0360090479588</v>
      </c>
      <c r="U523" s="319">
        <f t="shared" si="207"/>
        <v>73287.5</v>
      </c>
      <c r="V523" s="319">
        <f t="shared" si="208"/>
        <v>5371057656.25</v>
      </c>
      <c r="X523" s="345">
        <f t="shared" si="202"/>
        <v>31.333809918287791</v>
      </c>
      <c r="Y523" s="346">
        <f t="shared" si="203"/>
        <v>-13.875231057835807</v>
      </c>
      <c r="AA523" s="345">
        <f t="shared" si="204"/>
        <v>-3.8957767745635468</v>
      </c>
      <c r="AB523" s="346">
        <f t="shared" si="205"/>
        <v>-86.088759894205367</v>
      </c>
      <c r="AD523">
        <f t="shared" si="209"/>
        <v>0</v>
      </c>
      <c r="AE523">
        <f t="shared" si="212"/>
        <v>0</v>
      </c>
    </row>
    <row r="524" spans="1:31" x14ac:dyDescent="0.2">
      <c r="A524" s="347">
        <v>73709.25</v>
      </c>
      <c r="B524" s="364">
        <f t="shared" si="206"/>
        <v>73.709249999999997</v>
      </c>
      <c r="C524" s="337">
        <f t="shared" si="187"/>
        <v>413.76742882635909</v>
      </c>
      <c r="D524" s="338">
        <f t="shared" si="188"/>
        <v>1.5683795078192235</v>
      </c>
      <c r="E524" s="338">
        <f t="shared" si="189"/>
        <v>1.0170143248433496</v>
      </c>
      <c r="F524" s="339">
        <f t="shared" si="190"/>
        <v>0.18317498130526116</v>
      </c>
      <c r="G524" s="338">
        <f t="shared" si="191"/>
        <v>1</v>
      </c>
      <c r="H524" s="339">
        <f t="shared" si="192"/>
        <v>0</v>
      </c>
      <c r="I524" s="337">
        <f t="shared" si="193"/>
        <v>243170.04012007287</v>
      </c>
      <c r="J524" s="340">
        <f t="shared" si="194"/>
        <v>1.5707922144461899</v>
      </c>
      <c r="K524" s="348">
        <f t="shared" si="210"/>
        <v>120.01012075590475</v>
      </c>
      <c r="L524" s="349">
        <f t="shared" si="211"/>
        <v>1.5624635998033325</v>
      </c>
      <c r="M524" s="337">
        <f t="shared" si="195"/>
        <v>1.0282842492047073</v>
      </c>
      <c r="N524" s="340">
        <f t="shared" si="196"/>
        <v>0.23508844136255244</v>
      </c>
      <c r="O524" s="341">
        <f t="shared" si="197"/>
        <v>0.94610816915048379</v>
      </c>
      <c r="P524" s="342">
        <f t="shared" si="198"/>
        <v>0.11706496627524238</v>
      </c>
      <c r="Q524" s="343">
        <f t="shared" si="199"/>
        <v>-21.355220159269763</v>
      </c>
      <c r="R524" s="344">
        <f t="shared" si="200"/>
        <v>-100.02047171297991</v>
      </c>
      <c r="S524" s="346">
        <f t="shared" si="201"/>
        <v>79.979528287020088</v>
      </c>
      <c r="U524" s="319">
        <f t="shared" si="207"/>
        <v>73709.25</v>
      </c>
      <c r="V524" s="319">
        <f t="shared" si="208"/>
        <v>5433053535.5625</v>
      </c>
      <c r="X524" s="345">
        <f t="shared" si="202"/>
        <v>31.331116856084119</v>
      </c>
      <c r="Y524" s="346">
        <f t="shared" si="203"/>
        <v>-13.946769986546082</v>
      </c>
      <c r="AA524" s="345">
        <f t="shared" si="204"/>
        <v>-3.9383702114042327</v>
      </c>
      <c r="AB524" s="346">
        <f t="shared" si="205"/>
        <v>-86.073701726433825</v>
      </c>
      <c r="AD524">
        <f t="shared" si="209"/>
        <v>0</v>
      </c>
      <c r="AE524">
        <f t="shared" si="212"/>
        <v>0</v>
      </c>
    </row>
    <row r="525" spans="1:31" x14ac:dyDescent="0.2">
      <c r="A525" s="347">
        <v>74131</v>
      </c>
      <c r="B525" s="364">
        <f t="shared" si="206"/>
        <v>74.131</v>
      </c>
      <c r="C525" s="337">
        <f t="shared" ref="C525:C588" si="213">SQRT(1+(A525/pole1)^2)</f>
        <v>416.13491183174307</v>
      </c>
      <c r="D525" s="338">
        <f t="shared" ref="D525:D588" si="214">ATAN(A525/pole1)</f>
        <v>1.5683932576602841</v>
      </c>
      <c r="E525" s="338">
        <f t="shared" ref="E525:E588" si="215">SQRT(1+(A525/Zero1)^2)</f>
        <v>1.0172079354275838</v>
      </c>
      <c r="F525" s="339">
        <f t="shared" ref="F525:F588" si="216">ATAN(A525/Zero1)</f>
        <v>0.18419959042438896</v>
      </c>
      <c r="G525" s="338">
        <f t="shared" ref="G525:G588" si="217">IF(VIN_nom&gt;Vout, 1, SQRT(1+(A525/z_RHP)^2))</f>
        <v>1</v>
      </c>
      <c r="H525" s="339">
        <f t="shared" ref="H525:H588" si="218">IF(VIN_nom&gt;Vout, 0, -ATAN(A525/z_RHP))</f>
        <v>0</v>
      </c>
      <c r="I525" s="337">
        <f t="shared" ref="I525:I588" si="219">SQRT(1+(A525/Pole2)^2)</f>
        <v>244561.41181926816</v>
      </c>
      <c r="J525" s="340">
        <f t="shared" ref="J525:J588" si="220">ATAN(A525/Pole2)</f>
        <v>1.5707922378423813</v>
      </c>
      <c r="K525" s="348">
        <f t="shared" si="210"/>
        <v>120.69674779576754</v>
      </c>
      <c r="L525" s="349">
        <f t="shared" si="211"/>
        <v>1.5625110046180497</v>
      </c>
      <c r="M525" s="337">
        <f t="shared" ref="M525:M588" si="221">SQRT(1+(A525/pole4)^2)</f>
        <v>1.0286043350728604</v>
      </c>
      <c r="N525" s="340">
        <f t="shared" ref="N525:N588" si="222">ATAN(A525/pole4)</f>
        <v>0.23638415319055683</v>
      </c>
      <c r="O525" s="341">
        <f t="shared" ref="O525:O588" si="223">SQRT((1-(V525/pterm2))^2+(A525/pterm1)^2)</f>
        <v>0.94549422945524997</v>
      </c>
      <c r="P525" s="342">
        <f t="shared" ref="P525:P588" si="224">IF((ATAN((A525/pterm1)/(1-A525^2/pterm2))&gt;0),ATAN((A525/pterm1)/(1-A525^2/pterm2)),PI()+ATAN((A525/pterm1)/(1-A525^2/pterm2)))</f>
        <v>0.11781469916188803</v>
      </c>
      <c r="Q525" s="343">
        <f t="shared" ref="Q525:Q588" si="225">20*LOG10(((E525*K525*G525)/(C525*I525*O525*M525))*Adc)</f>
        <v>-21.400192372110066</v>
      </c>
      <c r="R525" s="344">
        <f t="shared" ref="R525:R588" si="226">((F525+L525+H525)-(D525+J525+P525+N525))*radconv</f>
        <v>-100.07703433679757</v>
      </c>
      <c r="S525" s="346">
        <f t="shared" ref="S525:S588" si="227">IF(R525&gt;0,R525,R525+180)</f>
        <v>79.922965663202433</v>
      </c>
      <c r="U525" s="319">
        <f t="shared" si="207"/>
        <v>74131</v>
      </c>
      <c r="V525" s="319">
        <f t="shared" si="208"/>
        <v>5495405161</v>
      </c>
      <c r="X525" s="345">
        <f t="shared" ref="X525:X588" si="228">20*LOG10((K525/(I525*M525))*AEA)</f>
        <v>31.32841009867342</v>
      </c>
      <c r="Y525" s="346">
        <f t="shared" ref="Y525:Y588" si="229">(L525-(J525+N525))*radconv</f>
        <v>-14.01829405052877</v>
      </c>
      <c r="AA525" s="345">
        <f t="shared" ref="AA525:AA588" si="230">20*LOG10((E525*G525/(C525*O525))*Acs*Am)</f>
        <v>-3.9806356668338445</v>
      </c>
      <c r="AB525" s="346">
        <f t="shared" ref="AB525:AB588" si="231">(F525+H525-(D525+P525))*radconv</f>
        <v>-86.058740286268801</v>
      </c>
      <c r="AD525">
        <f t="shared" si="209"/>
        <v>0</v>
      </c>
      <c r="AE525">
        <f t="shared" si="212"/>
        <v>0</v>
      </c>
    </row>
    <row r="526" spans="1:31" x14ac:dyDescent="0.2">
      <c r="A526" s="347">
        <v>74562.75</v>
      </c>
      <c r="B526" s="364">
        <f t="shared" ref="B526:B589" si="232">A526/1000</f>
        <v>74.562749999999994</v>
      </c>
      <c r="C526" s="337">
        <f t="shared" si="213"/>
        <v>418.55852966588924</v>
      </c>
      <c r="D526" s="338">
        <f t="shared" si="214"/>
        <v>1.5684071723983968</v>
      </c>
      <c r="E526" s="338">
        <f t="shared" si="215"/>
        <v>1.0174072424032157</v>
      </c>
      <c r="F526" s="339">
        <f t="shared" si="216"/>
        <v>0.18524808870023568</v>
      </c>
      <c r="G526" s="338">
        <f t="shared" si="217"/>
        <v>1</v>
      </c>
      <c r="H526" s="339">
        <f t="shared" si="218"/>
        <v>0</v>
      </c>
      <c r="I526" s="337">
        <f t="shared" si="219"/>
        <v>245985.77395590747</v>
      </c>
      <c r="J526" s="340">
        <f t="shared" si="220"/>
        <v>1.5707922615191536</v>
      </c>
      <c r="K526" s="348">
        <f t="shared" si="210"/>
        <v>121.39965554110745</v>
      </c>
      <c r="L526" s="349">
        <f t="shared" si="211"/>
        <v>1.5625589779769107</v>
      </c>
      <c r="M526" s="337">
        <f t="shared" si="221"/>
        <v>1.0289337980786992</v>
      </c>
      <c r="N526" s="340">
        <f t="shared" si="222"/>
        <v>0.23770974995213051</v>
      </c>
      <c r="O526" s="341">
        <f t="shared" si="223"/>
        <v>0.94486221836419781</v>
      </c>
      <c r="P526" s="342">
        <f t="shared" si="224"/>
        <v>0.11858373020231872</v>
      </c>
      <c r="Q526" s="343">
        <f t="shared" si="225"/>
        <v>-21.445908660471659</v>
      </c>
      <c r="R526" s="344">
        <f t="shared" si="226"/>
        <v>-100.13502308489088</v>
      </c>
      <c r="S526" s="346">
        <f t="shared" si="227"/>
        <v>79.864976915109125</v>
      </c>
      <c r="U526" s="319">
        <f t="shared" ref="U526:U589" si="233">IF(Q526&lt;0,A526,1000000000)</f>
        <v>74562.75</v>
      </c>
      <c r="V526" s="319">
        <f t="shared" ref="V526:V589" si="234">A526^2</f>
        <v>5559603687.5625</v>
      </c>
      <c r="X526" s="345">
        <f t="shared" si="228"/>
        <v>31.325625002418263</v>
      </c>
      <c r="Y526" s="346">
        <f t="shared" si="229"/>
        <v>-14.091497835974129</v>
      </c>
      <c r="AA526" s="345">
        <f t="shared" si="230"/>
        <v>-4.0235668589402804</v>
      </c>
      <c r="AB526" s="346">
        <f t="shared" si="231"/>
        <v>-86.043525248916765</v>
      </c>
      <c r="AD526">
        <f t="shared" ref="AD526:AD589" si="235">SUM((Q527&lt;0)*(Q526&gt;0))*A526</f>
        <v>0</v>
      </c>
      <c r="AE526">
        <f t="shared" si="212"/>
        <v>0</v>
      </c>
    </row>
    <row r="527" spans="1:31" x14ac:dyDescent="0.2">
      <c r="A527" s="347">
        <v>74994.5</v>
      </c>
      <c r="B527" s="364">
        <f t="shared" si="232"/>
        <v>74.994500000000002</v>
      </c>
      <c r="C527" s="337">
        <f t="shared" si="213"/>
        <v>420.98214758014359</v>
      </c>
      <c r="D527" s="338">
        <f t="shared" si="214"/>
        <v>1.5684209269206513</v>
      </c>
      <c r="E527" s="338">
        <f t="shared" si="215"/>
        <v>1.0176076674252637</v>
      </c>
      <c r="F527" s="339">
        <f t="shared" si="216"/>
        <v>0.18629617510962615</v>
      </c>
      <c r="G527" s="338">
        <f t="shared" si="217"/>
        <v>1</v>
      </c>
      <c r="H527" s="339">
        <f t="shared" si="218"/>
        <v>0</v>
      </c>
      <c r="I527" s="337">
        <f t="shared" si="219"/>
        <v>247410.13609254692</v>
      </c>
      <c r="J527" s="340">
        <f t="shared" si="220"/>
        <v>1.5707922849233071</v>
      </c>
      <c r="K527" s="348">
        <f t="shared" si="210"/>
        <v>122.10256356262498</v>
      </c>
      <c r="L527" s="349">
        <f t="shared" si="211"/>
        <v>1.5626063989992574</v>
      </c>
      <c r="M527" s="337">
        <f t="shared" si="221"/>
        <v>1.0292650679746294</v>
      </c>
      <c r="N527" s="340">
        <f t="shared" si="222"/>
        <v>0.23903449575127025</v>
      </c>
      <c r="O527" s="341">
        <f t="shared" si="223"/>
        <v>0.94422665388944416</v>
      </c>
      <c r="P527" s="342">
        <f t="shared" si="224"/>
        <v>0.11935431264594111</v>
      </c>
      <c r="Q527" s="343">
        <f t="shared" si="225"/>
        <v>-21.491302234561967</v>
      </c>
      <c r="R527" s="344">
        <f t="shared" si="226"/>
        <v>-100.19309801473194</v>
      </c>
      <c r="S527" s="346">
        <f t="shared" si="227"/>
        <v>79.806901985268055</v>
      </c>
      <c r="U527" s="319">
        <f t="shared" si="233"/>
        <v>74994.5</v>
      </c>
      <c r="V527" s="319">
        <f t="shared" si="234"/>
        <v>5624175030.25</v>
      </c>
      <c r="X527" s="345">
        <f t="shared" si="228"/>
        <v>31.322825607762738</v>
      </c>
      <c r="Y527" s="346">
        <f t="shared" si="229"/>
        <v>-14.164684495794704</v>
      </c>
      <c r="AA527" s="345">
        <f t="shared" si="230"/>
        <v>-4.066161038375057</v>
      </c>
      <c r="AB527" s="346">
        <f t="shared" si="231"/>
        <v>-86.028413518937242</v>
      </c>
      <c r="AD527">
        <f t="shared" si="235"/>
        <v>0</v>
      </c>
      <c r="AE527">
        <f t="shared" si="212"/>
        <v>0</v>
      </c>
    </row>
    <row r="528" spans="1:31" x14ac:dyDescent="0.2">
      <c r="A528" s="347">
        <v>75426.25</v>
      </c>
      <c r="B528" s="364">
        <f t="shared" si="232"/>
        <v>75.426249999999996</v>
      </c>
      <c r="C528" s="337">
        <f t="shared" si="213"/>
        <v>423.4057655731304</v>
      </c>
      <c r="D528" s="338">
        <f t="shared" si="214"/>
        <v>1.5684345239783186</v>
      </c>
      <c r="E528" s="338">
        <f t="shared" si="215"/>
        <v>1.0178092098332372</v>
      </c>
      <c r="F528" s="339">
        <f t="shared" si="216"/>
        <v>0.18734384759394052</v>
      </c>
      <c r="G528" s="338">
        <f t="shared" si="217"/>
        <v>1</v>
      </c>
      <c r="H528" s="339">
        <f t="shared" si="218"/>
        <v>0</v>
      </c>
      <c r="I528" s="337">
        <f t="shared" si="219"/>
        <v>248834.49822918649</v>
      </c>
      <c r="J528" s="340">
        <f t="shared" si="220"/>
        <v>1.5707923080595239</v>
      </c>
      <c r="K528" s="348">
        <f t="shared" si="210"/>
        <v>122.80547185557785</v>
      </c>
      <c r="L528" s="349">
        <f t="shared" si="211"/>
        <v>1.5626532771691894</v>
      </c>
      <c r="M528" s="337">
        <f t="shared" si="221"/>
        <v>1.029598143016567</v>
      </c>
      <c r="N528" s="340">
        <f t="shared" si="222"/>
        <v>0.24035838676188315</v>
      </c>
      <c r="O528" s="341">
        <f t="shared" si="223"/>
        <v>0.9435875382997776</v>
      </c>
      <c r="P528" s="342">
        <f t="shared" si="224"/>
        <v>0.12012645878854195</v>
      </c>
      <c r="Q528" s="343">
        <f t="shared" si="225"/>
        <v>-21.536376371258225</v>
      </c>
      <c r="R528" s="344">
        <f t="shared" si="226"/>
        <v>-100.25125934405425</v>
      </c>
      <c r="S528" s="346">
        <f t="shared" si="227"/>
        <v>79.748740655945753</v>
      </c>
      <c r="U528" s="319">
        <f t="shared" si="233"/>
        <v>75426.25</v>
      </c>
      <c r="V528" s="319">
        <f t="shared" si="234"/>
        <v>5689119189.0625</v>
      </c>
      <c r="X528" s="345">
        <f t="shared" si="228"/>
        <v>31.320011942215089</v>
      </c>
      <c r="Y528" s="346">
        <f t="shared" si="229"/>
        <v>-14.237853267640913</v>
      </c>
      <c r="AA528" s="345">
        <f t="shared" si="230"/>
        <v>-4.1084215095236702</v>
      </c>
      <c r="AB528" s="346">
        <f t="shared" si="231"/>
        <v>-86.013406076413361</v>
      </c>
      <c r="AD528">
        <f t="shared" si="235"/>
        <v>0</v>
      </c>
      <c r="AE528">
        <f t="shared" si="212"/>
        <v>0</v>
      </c>
    </row>
    <row r="529" spans="1:31" x14ac:dyDescent="0.2">
      <c r="A529" s="347">
        <v>75858</v>
      </c>
      <c r="B529" s="364">
        <f t="shared" si="232"/>
        <v>75.858000000000004</v>
      </c>
      <c r="C529" s="337">
        <f t="shared" si="213"/>
        <v>425.82938364350542</v>
      </c>
      <c r="D529" s="338">
        <f t="shared" si="214"/>
        <v>1.5684479662600337</v>
      </c>
      <c r="E529" s="338">
        <f t="shared" si="215"/>
        <v>1.0180118689634881</v>
      </c>
      <c r="F529" s="339">
        <f t="shared" si="216"/>
        <v>0.18839110409981941</v>
      </c>
      <c r="G529" s="338">
        <f t="shared" si="217"/>
        <v>1</v>
      </c>
      <c r="H529" s="339">
        <f t="shared" si="218"/>
        <v>0</v>
      </c>
      <c r="I529" s="337">
        <f t="shared" si="219"/>
        <v>250258.86036582623</v>
      </c>
      <c r="J529" s="340">
        <f t="shared" si="220"/>
        <v>1.5707923309323784</v>
      </c>
      <c r="K529" s="348">
        <f t="shared" si="210"/>
        <v>123.50838041533163</v>
      </c>
      <c r="L529" s="349">
        <f t="shared" si="211"/>
        <v>1.5626996217549134</v>
      </c>
      <c r="M529" s="337">
        <f t="shared" si="221"/>
        <v>1.0299330214531879</v>
      </c>
      <c r="N529" s="340">
        <f t="shared" si="222"/>
        <v>0.24168141917479746</v>
      </c>
      <c r="O529" s="341">
        <f t="shared" si="223"/>
        <v>0.94294487388459369</v>
      </c>
      <c r="P529" s="342">
        <f t="shared" si="224"/>
        <v>0.12090018099137581</v>
      </c>
      <c r="Q529" s="343">
        <f t="shared" si="225"/>
        <v>-21.581134289779929</v>
      </c>
      <c r="R529" s="344">
        <f t="shared" si="226"/>
        <v>-100.30950730378537</v>
      </c>
      <c r="S529" s="346">
        <f t="shared" si="227"/>
        <v>79.690492696214633</v>
      </c>
      <c r="U529" s="319">
        <f t="shared" si="233"/>
        <v>75858</v>
      </c>
      <c r="V529" s="319">
        <f t="shared" si="234"/>
        <v>5754436164</v>
      </c>
      <c r="X529" s="345">
        <f t="shared" si="228"/>
        <v>31.317184033425708</v>
      </c>
      <c r="Y529" s="346">
        <f t="shared" si="229"/>
        <v>-14.311003402496251</v>
      </c>
      <c r="AA529" s="345">
        <f t="shared" si="230"/>
        <v>-4.1503515192559934</v>
      </c>
      <c r="AB529" s="346">
        <f t="shared" si="231"/>
        <v>-85.998503901289112</v>
      </c>
      <c r="AD529">
        <f t="shared" si="235"/>
        <v>0</v>
      </c>
      <c r="AE529">
        <f t="shared" si="212"/>
        <v>0</v>
      </c>
    </row>
    <row r="530" spans="1:31" x14ac:dyDescent="0.2">
      <c r="A530" s="347">
        <v>76299.75</v>
      </c>
      <c r="B530" s="364">
        <f t="shared" si="232"/>
        <v>76.299750000000003</v>
      </c>
      <c r="C530" s="337">
        <f t="shared" si="213"/>
        <v>428.30913654814634</v>
      </c>
      <c r="D530" s="338">
        <f t="shared" si="214"/>
        <v>1.5684615624315197</v>
      </c>
      <c r="E530" s="338">
        <f t="shared" si="215"/>
        <v>1.018220377117544</v>
      </c>
      <c r="F530" s="339">
        <f t="shared" si="216"/>
        <v>0.18946218401334258</v>
      </c>
      <c r="G530" s="338">
        <f t="shared" si="217"/>
        <v>1</v>
      </c>
      <c r="H530" s="339">
        <f t="shared" si="218"/>
        <v>0</v>
      </c>
      <c r="I530" s="337">
        <f t="shared" si="219"/>
        <v>251716.21293990995</v>
      </c>
      <c r="J530" s="340">
        <f t="shared" si="220"/>
        <v>1.5707923540670841</v>
      </c>
      <c r="K530" s="348">
        <f t="shared" si="210"/>
        <v>124.22756969953788</v>
      </c>
      <c r="L530" s="349">
        <f t="shared" si="211"/>
        <v>1.562746496934581</v>
      </c>
      <c r="M530" s="337">
        <f t="shared" si="221"/>
        <v>1.0302775208924213</v>
      </c>
      <c r="N530" s="340">
        <f t="shared" si="222"/>
        <v>0.24303420245864957</v>
      </c>
      <c r="O530" s="341">
        <f t="shared" si="223"/>
        <v>0.94228365370200329</v>
      </c>
      <c r="P530" s="342">
        <f t="shared" si="224"/>
        <v>0.12169346800223539</v>
      </c>
      <c r="Q530" s="343">
        <f t="shared" si="225"/>
        <v>-21.626604880538824</v>
      </c>
      <c r="R530" s="344">
        <f t="shared" si="226"/>
        <v>-100.36919429451864</v>
      </c>
      <c r="S530" s="346">
        <f t="shared" si="227"/>
        <v>79.630805705481364</v>
      </c>
      <c r="U530" s="319">
        <f t="shared" si="233"/>
        <v>76299.75</v>
      </c>
      <c r="V530" s="319">
        <f t="shared" si="234"/>
        <v>5821651850.0625</v>
      </c>
      <c r="X530" s="345">
        <f t="shared" si="228"/>
        <v>31.314275912960984</v>
      </c>
      <c r="Y530" s="346">
        <f t="shared" si="229"/>
        <v>-14.385827750904456</v>
      </c>
      <c r="AA530" s="345">
        <f t="shared" si="230"/>
        <v>-4.1929139895501635</v>
      </c>
      <c r="AB530" s="346">
        <f t="shared" si="231"/>
        <v>-85.983366543614181</v>
      </c>
      <c r="AD530">
        <f t="shared" si="235"/>
        <v>0</v>
      </c>
      <c r="AE530">
        <f t="shared" si="212"/>
        <v>0</v>
      </c>
    </row>
    <row r="531" spans="1:31" x14ac:dyDescent="0.2">
      <c r="A531" s="347">
        <v>76741.5</v>
      </c>
      <c r="B531" s="364">
        <f t="shared" si="232"/>
        <v>76.741500000000002</v>
      </c>
      <c r="C531" s="337">
        <f t="shared" si="213"/>
        <v>430.78888953105127</v>
      </c>
      <c r="D531" s="338">
        <f t="shared" si="214"/>
        <v>1.5684750020755416</v>
      </c>
      <c r="E531" s="338">
        <f t="shared" si="215"/>
        <v>1.0184300529073307</v>
      </c>
      <c r="F531" s="339">
        <f t="shared" si="216"/>
        <v>0.19053282412386474</v>
      </c>
      <c r="G531" s="338">
        <f t="shared" si="217"/>
        <v>1</v>
      </c>
      <c r="H531" s="339">
        <f t="shared" si="218"/>
        <v>0</v>
      </c>
      <c r="I531" s="337">
        <f t="shared" si="219"/>
        <v>253173.56551399379</v>
      </c>
      <c r="J531" s="340">
        <f t="shared" si="220"/>
        <v>1.5707923769354475</v>
      </c>
      <c r="K531" s="348">
        <f t="shared" si="210"/>
        <v>124.94675925356484</v>
      </c>
      <c r="L531" s="349">
        <f t="shared" si="211"/>
        <v>1.5627928324902767</v>
      </c>
      <c r="M531" s="337">
        <f t="shared" si="221"/>
        <v>1.030623904500344</v>
      </c>
      <c r="N531" s="340">
        <f t="shared" si="222"/>
        <v>0.24438607889801386</v>
      </c>
      <c r="O531" s="341">
        <f t="shared" si="223"/>
        <v>0.94161872331308205</v>
      </c>
      <c r="P531" s="342">
        <f t="shared" si="224"/>
        <v>0.12248843132011834</v>
      </c>
      <c r="Q531" s="343">
        <f t="shared" si="225"/>
        <v>-21.671751074213752</v>
      </c>
      <c r="R531" s="344">
        <f t="shared" si="226"/>
        <v>-100.42897250561633</v>
      </c>
      <c r="S531" s="346">
        <f t="shared" si="227"/>
        <v>79.571027494383671</v>
      </c>
      <c r="U531" s="319">
        <f t="shared" si="233"/>
        <v>76741.5</v>
      </c>
      <c r="V531" s="319">
        <f t="shared" si="234"/>
        <v>5889257822.25</v>
      </c>
      <c r="X531" s="345">
        <f t="shared" si="228"/>
        <v>31.311352940831259</v>
      </c>
      <c r="Y531" s="346">
        <f t="shared" si="229"/>
        <v>-14.460631043866632</v>
      </c>
      <c r="AA531" s="345">
        <f t="shared" si="230"/>
        <v>-4.235137211095366</v>
      </c>
      <c r="AB531" s="346">
        <f t="shared" si="231"/>
        <v>-85.968341461749702</v>
      </c>
      <c r="AD531">
        <f t="shared" si="235"/>
        <v>0</v>
      </c>
      <c r="AE531">
        <f t="shared" si="212"/>
        <v>0</v>
      </c>
    </row>
    <row r="532" spans="1:31" x14ac:dyDescent="0.2">
      <c r="A532" s="347">
        <v>77183.25</v>
      </c>
      <c r="B532" s="364">
        <f t="shared" si="232"/>
        <v>77.183250000000001</v>
      </c>
      <c r="C532" s="337">
        <f t="shared" si="213"/>
        <v>433.26864259087625</v>
      </c>
      <c r="D532" s="338">
        <f t="shared" si="214"/>
        <v>1.5684882878796838</v>
      </c>
      <c r="E532" s="338">
        <f t="shared" si="215"/>
        <v>1.0186408956118136</v>
      </c>
      <c r="F532" s="339">
        <f t="shared" si="216"/>
        <v>0.19160302224924664</v>
      </c>
      <c r="G532" s="338">
        <f t="shared" si="217"/>
        <v>1</v>
      </c>
      <c r="H532" s="339">
        <f t="shared" si="218"/>
        <v>0</v>
      </c>
      <c r="I532" s="337">
        <f t="shared" si="219"/>
        <v>254630.9180880778</v>
      </c>
      <c r="J532" s="340">
        <f t="shared" si="220"/>
        <v>1.5707923995420416</v>
      </c>
      <c r="K532" s="348">
        <f t="shared" si="210"/>
        <v>125.66594907277997</v>
      </c>
      <c r="L532" s="349">
        <f t="shared" si="211"/>
        <v>1.5628386376866499</v>
      </c>
      <c r="M532" s="337">
        <f t="shared" si="221"/>
        <v>1.0309721703778403</v>
      </c>
      <c r="N532" s="340">
        <f t="shared" si="222"/>
        <v>0.24573704446813122</v>
      </c>
      <c r="O532" s="341">
        <f t="shared" si="223"/>
        <v>0.94095008523803236</v>
      </c>
      <c r="P532" s="342">
        <f t="shared" si="224"/>
        <v>0.12328508440221211</v>
      </c>
      <c r="Q532" s="343">
        <f t="shared" si="225"/>
        <v>-21.71657613989418</v>
      </c>
      <c r="R532" s="344">
        <f t="shared" si="226"/>
        <v>-100.48884222596804</v>
      </c>
      <c r="S532" s="346">
        <f t="shared" si="227"/>
        <v>79.511157774031958</v>
      </c>
      <c r="U532" s="319">
        <f t="shared" si="233"/>
        <v>77183.25</v>
      </c>
      <c r="V532" s="319">
        <f t="shared" si="234"/>
        <v>5957254080.5625</v>
      </c>
      <c r="X532" s="345">
        <f t="shared" si="228"/>
        <v>31.308415147100806</v>
      </c>
      <c r="Y532" s="346">
        <f t="shared" si="229"/>
        <v>-14.535412520217776</v>
      </c>
      <c r="AA532" s="345">
        <f t="shared" si="230"/>
        <v>-4.277024483045345</v>
      </c>
      <c r="AB532" s="346">
        <f t="shared" si="231"/>
        <v>-85.95342970575031</v>
      </c>
      <c r="AD532">
        <f t="shared" si="235"/>
        <v>0</v>
      </c>
      <c r="AE532">
        <f t="shared" si="212"/>
        <v>0</v>
      </c>
    </row>
    <row r="533" spans="1:31" x14ac:dyDescent="0.2">
      <c r="A533" s="347">
        <v>77625</v>
      </c>
      <c r="B533" s="364">
        <f t="shared" si="232"/>
        <v>77.625</v>
      </c>
      <c r="C533" s="337">
        <f t="shared" si="213"/>
        <v>435.74839572630822</v>
      </c>
      <c r="D533" s="338">
        <f t="shared" si="214"/>
        <v>1.568501422470354</v>
      </c>
      <c r="E533" s="338">
        <f t="shared" si="215"/>
        <v>1.0188529045065449</v>
      </c>
      <c r="F533" s="339">
        <f t="shared" si="216"/>
        <v>0.19267277621320009</v>
      </c>
      <c r="G533" s="338">
        <f t="shared" si="217"/>
        <v>1</v>
      </c>
      <c r="H533" s="339">
        <f t="shared" si="218"/>
        <v>0</v>
      </c>
      <c r="I533" s="337">
        <f t="shared" si="219"/>
        <v>256088.27066216193</v>
      </c>
      <c r="J533" s="340">
        <f t="shared" si="220"/>
        <v>1.5707924218913358</v>
      </c>
      <c r="K533" s="348">
        <f t="shared" si="210"/>
        <v>126.38513915265611</v>
      </c>
      <c r="L533" s="349">
        <f t="shared" si="211"/>
        <v>1.5628839215774784</v>
      </c>
      <c r="M533" s="337">
        <f t="shared" si="221"/>
        <v>1.031322316618047</v>
      </c>
      <c r="N533" s="340">
        <f t="shared" si="222"/>
        <v>0.24708709516296365</v>
      </c>
      <c r="O533" s="341">
        <f t="shared" si="223"/>
        <v>0.94027774202034431</v>
      </c>
      <c r="P533" s="342">
        <f t="shared" si="224"/>
        <v>0.12408344078028331</v>
      </c>
      <c r="Q533" s="343">
        <f t="shared" si="225"/>
        <v>-21.76108328901099</v>
      </c>
      <c r="R533" s="344">
        <f t="shared" si="226"/>
        <v>-100.54880375804497</v>
      </c>
      <c r="S533" s="346">
        <f t="shared" si="227"/>
        <v>79.451196241955031</v>
      </c>
      <c r="U533" s="319">
        <f t="shared" si="233"/>
        <v>77625</v>
      </c>
      <c r="V533" s="319">
        <f t="shared" si="234"/>
        <v>6025640625</v>
      </c>
      <c r="X533" s="345">
        <f t="shared" si="228"/>
        <v>31.3054625619802</v>
      </c>
      <c r="Y533" s="346">
        <f t="shared" si="229"/>
        <v>-14.610171431941625</v>
      </c>
      <c r="AA533" s="345">
        <f t="shared" si="230"/>
        <v>-4.3185790470415428</v>
      </c>
      <c r="AB533" s="346">
        <f t="shared" si="231"/>
        <v>-85.938632326103345</v>
      </c>
      <c r="AD533">
        <f t="shared" si="235"/>
        <v>0</v>
      </c>
      <c r="AE533">
        <f t="shared" si="212"/>
        <v>0</v>
      </c>
    </row>
    <row r="534" spans="1:31" x14ac:dyDescent="0.2">
      <c r="A534" s="347">
        <v>78077</v>
      </c>
      <c r="B534" s="364">
        <f t="shared" si="232"/>
        <v>78.076999999999998</v>
      </c>
      <c r="C534" s="337">
        <f t="shared" si="213"/>
        <v>438.2856870702692</v>
      </c>
      <c r="D534" s="338">
        <f t="shared" si="214"/>
        <v>1.5685147079852206</v>
      </c>
      <c r="E534" s="338">
        <f t="shared" si="215"/>
        <v>1.0190710390134514</v>
      </c>
      <c r="F534" s="339">
        <f t="shared" si="216"/>
        <v>0.19376688985559187</v>
      </c>
      <c r="G534" s="338">
        <f t="shared" si="217"/>
        <v>1</v>
      </c>
      <c r="H534" s="339">
        <f t="shared" si="218"/>
        <v>0</v>
      </c>
      <c r="I534" s="337">
        <f t="shared" si="219"/>
        <v>257579.43843462618</v>
      </c>
      <c r="J534" s="340">
        <f t="shared" si="220"/>
        <v>1.570792444497435</v>
      </c>
      <c r="K534" s="348">
        <f t="shared" si="210"/>
        <v>127.12101698684094</v>
      </c>
      <c r="L534" s="349">
        <f t="shared" si="211"/>
        <v>1.562929725837167</v>
      </c>
      <c r="M534" s="337">
        <f t="shared" si="221"/>
        <v>1.0316825316780789</v>
      </c>
      <c r="N534" s="340">
        <f t="shared" si="222"/>
        <v>0.24846752019001186</v>
      </c>
      <c r="O534" s="341">
        <f t="shared" si="223"/>
        <v>0.93958596589027821</v>
      </c>
      <c r="P534" s="342">
        <f t="shared" si="224"/>
        <v>0.1249020987875024</v>
      </c>
      <c r="Q534" s="343">
        <f t="shared" si="225"/>
        <v>-21.806297368545167</v>
      </c>
      <c r="R534" s="344">
        <f t="shared" si="226"/>
        <v>-100.61025194916148</v>
      </c>
      <c r="S534" s="346">
        <f t="shared" si="227"/>
        <v>79.38974805083852</v>
      </c>
      <c r="U534" s="319">
        <f t="shared" si="233"/>
        <v>78077</v>
      </c>
      <c r="V534" s="319">
        <f t="shared" si="234"/>
        <v>6096017929</v>
      </c>
      <c r="X534" s="345">
        <f t="shared" si="228"/>
        <v>31.302426189007953</v>
      </c>
      <c r="Y534" s="346">
        <f t="shared" si="229"/>
        <v>-14.686640864483302</v>
      </c>
      <c r="AA534" s="345">
        <f t="shared" si="230"/>
        <v>-4.360756753603475</v>
      </c>
      <c r="AB534" s="346">
        <f t="shared" si="231"/>
        <v>-85.923611084678214</v>
      </c>
      <c r="AD534">
        <f t="shared" si="235"/>
        <v>0</v>
      </c>
      <c r="AE534">
        <f t="shared" si="212"/>
        <v>0</v>
      </c>
    </row>
    <row r="535" spans="1:31" x14ac:dyDescent="0.2">
      <c r="A535" s="347">
        <v>78529</v>
      </c>
      <c r="B535" s="364">
        <f t="shared" si="232"/>
        <v>78.528999999999996</v>
      </c>
      <c r="C535" s="337">
        <f t="shared" si="213"/>
        <v>440.82297849069914</v>
      </c>
      <c r="D535" s="338">
        <f t="shared" si="214"/>
        <v>1.5685278405624048</v>
      </c>
      <c r="E535" s="338">
        <f t="shared" si="215"/>
        <v>1.0192903929116786</v>
      </c>
      <c r="F535" s="339">
        <f t="shared" si="216"/>
        <v>0.19486053389459423</v>
      </c>
      <c r="G535" s="338">
        <f t="shared" si="217"/>
        <v>1</v>
      </c>
      <c r="H535" s="339">
        <f t="shared" si="218"/>
        <v>0</v>
      </c>
      <c r="I535" s="337">
        <f t="shared" si="219"/>
        <v>259070.60620709055</v>
      </c>
      <c r="J535" s="340">
        <f t="shared" si="220"/>
        <v>1.5707924668433002</v>
      </c>
      <c r="K535" s="348">
        <f t="shared" ref="K535:K598" si="236">SQRT(1+(A535/Zero2)^2)</f>
        <v>127.85689508465951</v>
      </c>
      <c r="L535" s="349">
        <f t="shared" ref="L535:L598" si="237">ATAN(A535/Zero2)</f>
        <v>1.5629750028457372</v>
      </c>
      <c r="M535" s="337">
        <f t="shared" si="221"/>
        <v>1.0320447113102162</v>
      </c>
      <c r="N535" s="340">
        <f t="shared" si="222"/>
        <v>0.24984697896789052</v>
      </c>
      <c r="O535" s="341">
        <f t="shared" si="223"/>
        <v>0.93889031614369478</v>
      </c>
      <c r="P535" s="342">
        <f t="shared" si="224"/>
        <v>0.12572256895645695</v>
      </c>
      <c r="Q535" s="343">
        <f t="shared" si="225"/>
        <v>-21.851185230115572</v>
      </c>
      <c r="R535" s="344">
        <f t="shared" si="226"/>
        <v>-100.67179694546004</v>
      </c>
      <c r="S535" s="346">
        <f t="shared" si="227"/>
        <v>79.328203054539955</v>
      </c>
      <c r="U535" s="319">
        <f t="shared" si="233"/>
        <v>78529</v>
      </c>
      <c r="V535" s="319">
        <f t="shared" si="234"/>
        <v>6166803841</v>
      </c>
      <c r="X535" s="345">
        <f t="shared" si="228"/>
        <v>31.299374394718605</v>
      </c>
      <c r="Y535" s="346">
        <f t="shared" si="229"/>
        <v>-14.763085129379085</v>
      </c>
      <c r="AA535" s="345">
        <f t="shared" si="230"/>
        <v>-4.4025928208845366</v>
      </c>
      <c r="AB535" s="346">
        <f t="shared" si="231"/>
        <v>-85.908711816080967</v>
      </c>
      <c r="AD535">
        <f t="shared" si="235"/>
        <v>0</v>
      </c>
      <c r="AE535">
        <f t="shared" si="212"/>
        <v>0</v>
      </c>
    </row>
    <row r="536" spans="1:31" x14ac:dyDescent="0.2">
      <c r="A536" s="347">
        <v>78981</v>
      </c>
      <c r="B536" s="364">
        <f t="shared" si="232"/>
        <v>78.980999999999995</v>
      </c>
      <c r="C536" s="337">
        <f t="shared" si="213"/>
        <v>443.36026998628523</v>
      </c>
      <c r="D536" s="338">
        <f t="shared" si="214"/>
        <v>1.5685408228276276</v>
      </c>
      <c r="E536" s="338">
        <f t="shared" si="215"/>
        <v>1.0195109654141483</v>
      </c>
      <c r="F536" s="339">
        <f t="shared" si="216"/>
        <v>0.19595370601804715</v>
      </c>
      <c r="G536" s="338">
        <f t="shared" si="217"/>
        <v>1</v>
      </c>
      <c r="H536" s="339">
        <f t="shared" si="218"/>
        <v>0</v>
      </c>
      <c r="I536" s="337">
        <f t="shared" si="219"/>
        <v>260561.77397955506</v>
      </c>
      <c r="J536" s="340">
        <f t="shared" si="220"/>
        <v>1.5707924889333995</v>
      </c>
      <c r="K536" s="348">
        <f t="shared" si="236"/>
        <v>128.59277344158579</v>
      </c>
      <c r="L536" s="349">
        <f t="shared" si="237"/>
        <v>1.5630197616546613</v>
      </c>
      <c r="M536" s="337">
        <f t="shared" si="221"/>
        <v>1.0324088534468825</v>
      </c>
      <c r="N536" s="340">
        <f t="shared" si="222"/>
        <v>0.25122546726632095</v>
      </c>
      <c r="O536" s="341">
        <f t="shared" si="223"/>
        <v>0.93819079558219542</v>
      </c>
      <c r="P536" s="342">
        <f t="shared" si="224"/>
        <v>0.12654486603016418</v>
      </c>
      <c r="Q536" s="343">
        <f t="shared" si="225"/>
        <v>-21.895750134855984</v>
      </c>
      <c r="R536" s="344">
        <f t="shared" si="226"/>
        <v>-100.73343911384077</v>
      </c>
      <c r="S536" s="346">
        <f t="shared" si="227"/>
        <v>79.266560886159226</v>
      </c>
      <c r="U536" s="319">
        <f t="shared" si="233"/>
        <v>78981</v>
      </c>
      <c r="V536" s="319">
        <f t="shared" si="234"/>
        <v>6237998361</v>
      </c>
      <c r="X536" s="345">
        <f t="shared" si="228"/>
        <v>31.296307211935776</v>
      </c>
      <c r="Y536" s="346">
        <f t="shared" si="229"/>
        <v>-14.839503465896719</v>
      </c>
      <c r="AA536" s="345">
        <f t="shared" si="230"/>
        <v>-4.4440905428421189</v>
      </c>
      <c r="AB536" s="346">
        <f t="shared" si="231"/>
        <v>-85.893935647944048</v>
      </c>
      <c r="AD536">
        <f t="shared" si="235"/>
        <v>0</v>
      </c>
      <c r="AE536">
        <f t="shared" si="212"/>
        <v>0</v>
      </c>
    </row>
    <row r="537" spans="1:31" x14ac:dyDescent="0.2">
      <c r="A537" s="347">
        <v>79433</v>
      </c>
      <c r="B537" s="364">
        <f t="shared" si="232"/>
        <v>79.433000000000007</v>
      </c>
      <c r="C537" s="337">
        <f t="shared" si="213"/>
        <v>445.89756155574452</v>
      </c>
      <c r="D537" s="338">
        <f t="shared" si="214"/>
        <v>1.5685536573468455</v>
      </c>
      <c r="E537" s="338">
        <f t="shared" si="215"/>
        <v>1.0197327557300928</v>
      </c>
      <c r="F537" s="339">
        <f t="shared" si="216"/>
        <v>0.19704640392029718</v>
      </c>
      <c r="G537" s="338">
        <f t="shared" si="217"/>
        <v>1</v>
      </c>
      <c r="H537" s="339">
        <f t="shared" si="218"/>
        <v>0</v>
      </c>
      <c r="I537" s="337">
        <f t="shared" si="219"/>
        <v>262052.94175201969</v>
      </c>
      <c r="J537" s="340">
        <f t="shared" si="220"/>
        <v>1.5707925107720986</v>
      </c>
      <c r="K537" s="348">
        <f t="shared" si="236"/>
        <v>129.32865205319692</v>
      </c>
      <c r="L537" s="349">
        <f t="shared" si="237"/>
        <v>1.5630640111094096</v>
      </c>
      <c r="M537" s="337">
        <f t="shared" si="221"/>
        <v>1.0327749560122224</v>
      </c>
      <c r="N537" s="340">
        <f t="shared" si="222"/>
        <v>0.25260298087572763</v>
      </c>
      <c r="O537" s="341">
        <f t="shared" si="223"/>
        <v>0.9374874070337339</v>
      </c>
      <c r="P537" s="342">
        <f t="shared" si="224"/>
        <v>0.12736900483667368</v>
      </c>
      <c r="Q537" s="343">
        <f t="shared" si="225"/>
        <v>-21.939995286228143</v>
      </c>
      <c r="R537" s="344">
        <f t="shared" si="226"/>
        <v>-100.79517883526209</v>
      </c>
      <c r="S537" s="346">
        <f t="shared" si="227"/>
        <v>79.204821164737908</v>
      </c>
      <c r="U537" s="319">
        <f t="shared" si="233"/>
        <v>79433</v>
      </c>
      <c r="V537" s="319">
        <f t="shared" si="234"/>
        <v>6309601489</v>
      </c>
      <c r="X537" s="345">
        <f t="shared" si="228"/>
        <v>31.293224673633716</v>
      </c>
      <c r="Y537" s="346">
        <f t="shared" si="229"/>
        <v>-14.915895126287287</v>
      </c>
      <c r="AA537" s="345">
        <f t="shared" si="230"/>
        <v>-4.4852531559122149</v>
      </c>
      <c r="AB537" s="346">
        <f t="shared" si="231"/>
        <v>-85.879283708974768</v>
      </c>
      <c r="AD537">
        <f t="shared" si="235"/>
        <v>0</v>
      </c>
      <c r="AE537">
        <f t="shared" si="212"/>
        <v>0</v>
      </c>
    </row>
    <row r="538" spans="1:31" x14ac:dyDescent="0.2">
      <c r="A538" s="347">
        <v>79895.5</v>
      </c>
      <c r="B538" s="364">
        <f t="shared" si="232"/>
        <v>79.895499999999998</v>
      </c>
      <c r="C538" s="337">
        <f t="shared" si="213"/>
        <v>448.49379470806082</v>
      </c>
      <c r="D538" s="338">
        <f t="shared" si="214"/>
        <v>1.5685666396946871</v>
      </c>
      <c r="E538" s="338">
        <f t="shared" si="215"/>
        <v>1.019960958002909</v>
      </c>
      <c r="F538" s="339">
        <f t="shared" si="216"/>
        <v>0.19816399201981227</v>
      </c>
      <c r="G538" s="338">
        <f t="shared" si="217"/>
        <v>1</v>
      </c>
      <c r="H538" s="339">
        <f t="shared" si="218"/>
        <v>0</v>
      </c>
      <c r="I538" s="337">
        <f t="shared" si="219"/>
        <v>263578.74948380055</v>
      </c>
      <c r="J538" s="340">
        <f t="shared" si="220"/>
        <v>1.5707925328623358</v>
      </c>
      <c r="K538" s="348">
        <f t="shared" si="236"/>
        <v>130.08162544919705</v>
      </c>
      <c r="L538" s="349">
        <f t="shared" si="237"/>
        <v>1.5631087702597677</v>
      </c>
      <c r="M538" s="337">
        <f t="shared" si="221"/>
        <v>1.0331515902675663</v>
      </c>
      <c r="N538" s="340">
        <f t="shared" si="222"/>
        <v>0.25401148096363546</v>
      </c>
      <c r="O538" s="341">
        <f t="shared" si="223"/>
        <v>0.93676367787370873</v>
      </c>
      <c r="P538" s="342">
        <f t="shared" si="224"/>
        <v>0.12821421042344777</v>
      </c>
      <c r="Q538" s="343">
        <f t="shared" si="225"/>
        <v>-21.98494055737951</v>
      </c>
      <c r="R538" s="344">
        <f t="shared" si="226"/>
        <v>-100.85845416642881</v>
      </c>
      <c r="S538" s="346">
        <f t="shared" si="227"/>
        <v>79.141545833571186</v>
      </c>
      <c r="U538" s="319">
        <f t="shared" si="233"/>
        <v>79895.5</v>
      </c>
      <c r="V538" s="319">
        <f t="shared" si="234"/>
        <v>6383290920.25</v>
      </c>
      <c r="X538" s="345">
        <f t="shared" si="228"/>
        <v>31.290054667518554</v>
      </c>
      <c r="Y538" s="346">
        <f t="shared" si="229"/>
        <v>-14.99403299212476</v>
      </c>
      <c r="AA538" s="345">
        <f t="shared" si="230"/>
        <v>-4.5270284209484153</v>
      </c>
      <c r="AB538" s="346">
        <f t="shared" si="231"/>
        <v>-85.864421174304084</v>
      </c>
      <c r="AD538">
        <f t="shared" si="235"/>
        <v>0</v>
      </c>
      <c r="AE538">
        <f t="shared" ref="AE538:AE601" si="238">IF(AD538&gt;0,S538,0)</f>
        <v>0</v>
      </c>
    </row>
    <row r="539" spans="1:31" x14ac:dyDescent="0.2">
      <c r="A539" s="347">
        <v>80358</v>
      </c>
      <c r="B539" s="364">
        <f t="shared" si="232"/>
        <v>80.358000000000004</v>
      </c>
      <c r="C539" s="337">
        <f t="shared" si="213"/>
        <v>451.09002793509683</v>
      </c>
      <c r="D539" s="338">
        <f t="shared" si="214"/>
        <v>1.5685794726036129</v>
      </c>
      <c r="E539" s="338">
        <f t="shared" si="215"/>
        <v>1.0201904336393346</v>
      </c>
      <c r="F539" s="339">
        <f t="shared" si="216"/>
        <v>0.19928107874666132</v>
      </c>
      <c r="G539" s="338">
        <f t="shared" si="217"/>
        <v>1</v>
      </c>
      <c r="H539" s="339">
        <f t="shared" si="218"/>
        <v>0</v>
      </c>
      <c r="I539" s="337">
        <f t="shared" si="219"/>
        <v>265104.55721558153</v>
      </c>
      <c r="J539" s="340">
        <f t="shared" si="220"/>
        <v>1.5707925546982926</v>
      </c>
      <c r="K539" s="348">
        <f t="shared" si="236"/>
        <v>130.83459910280069</v>
      </c>
      <c r="L539" s="349">
        <f t="shared" si="237"/>
        <v>1.5631530142183423</v>
      </c>
      <c r="M539" s="337">
        <f t="shared" si="221"/>
        <v>1.033530272667724</v>
      </c>
      <c r="N539" s="340">
        <f t="shared" si="222"/>
        <v>0.25541895170164752</v>
      </c>
      <c r="O539" s="341">
        <f t="shared" si="223"/>
        <v>0.93603590500798939</v>
      </c>
      <c r="P539" s="342">
        <f t="shared" si="224"/>
        <v>0.12906137599099571</v>
      </c>
      <c r="Q539" s="343">
        <f t="shared" si="225"/>
        <v>-22.029557653428146</v>
      </c>
      <c r="R539" s="344">
        <f t="shared" si="226"/>
        <v>-100.92183248688148</v>
      </c>
      <c r="S539" s="346">
        <f t="shared" si="227"/>
        <v>79.078167513118515</v>
      </c>
      <c r="U539" s="319">
        <f t="shared" si="233"/>
        <v>80358</v>
      </c>
      <c r="V539" s="319">
        <f t="shared" si="234"/>
        <v>6457408164</v>
      </c>
      <c r="X539" s="345">
        <f t="shared" si="228"/>
        <v>31.286868654500527</v>
      </c>
      <c r="Y539" s="346">
        <f t="shared" si="229"/>
        <v>-15.072141384303144</v>
      </c>
      <c r="AA539" s="345">
        <f t="shared" si="230"/>
        <v>-4.5684595039790263</v>
      </c>
      <c r="AB539" s="346">
        <f t="shared" si="231"/>
        <v>-85.849691102578333</v>
      </c>
      <c r="AD539">
        <f t="shared" si="235"/>
        <v>0</v>
      </c>
      <c r="AE539">
        <f t="shared" si="238"/>
        <v>0</v>
      </c>
    </row>
    <row r="540" spans="1:31" x14ac:dyDescent="0.2">
      <c r="A540" s="347">
        <v>80820.5</v>
      </c>
      <c r="B540" s="364">
        <f t="shared" si="232"/>
        <v>80.820499999999996</v>
      </c>
      <c r="C540" s="337">
        <f t="shared" si="213"/>
        <v>453.68626123556965</v>
      </c>
      <c r="D540" s="338">
        <f t="shared" si="214"/>
        <v>1.5685921586391247</v>
      </c>
      <c r="E540" s="338">
        <f t="shared" si="215"/>
        <v>1.0204211817802948</v>
      </c>
      <c r="F540" s="339">
        <f t="shared" si="216"/>
        <v>0.20039766165205311</v>
      </c>
      <c r="G540" s="338">
        <f t="shared" si="217"/>
        <v>1</v>
      </c>
      <c r="H540" s="339">
        <f t="shared" si="218"/>
        <v>0</v>
      </c>
      <c r="I540" s="337">
        <f t="shared" si="219"/>
        <v>266630.36494736269</v>
      </c>
      <c r="J540" s="340">
        <f t="shared" si="220"/>
        <v>1.5707925762843342</v>
      </c>
      <c r="K540" s="348">
        <f t="shared" si="236"/>
        <v>131.58757300958564</v>
      </c>
      <c r="L540" s="349">
        <f t="shared" si="237"/>
        <v>1.5631967518290908</v>
      </c>
      <c r="M540" s="337">
        <f t="shared" si="221"/>
        <v>1.0339110009622221</v>
      </c>
      <c r="N540" s="340">
        <f t="shared" si="222"/>
        <v>0.256825388647549</v>
      </c>
      <c r="O540" s="341">
        <f t="shared" si="223"/>
        <v>0.93530409155332772</v>
      </c>
      <c r="P540" s="342">
        <f t="shared" si="224"/>
        <v>0.12991051770700446</v>
      </c>
      <c r="Q540" s="343">
        <f t="shared" si="225"/>
        <v>-22.073849827178918</v>
      </c>
      <c r="R540" s="344">
        <f t="shared" si="226"/>
        <v>-100.98531424926661</v>
      </c>
      <c r="S540" s="346">
        <f t="shared" si="227"/>
        <v>79.014685750733392</v>
      </c>
      <c r="U540" s="319">
        <f t="shared" si="233"/>
        <v>80820.5</v>
      </c>
      <c r="V540" s="319">
        <f t="shared" si="234"/>
        <v>6531953220.25</v>
      </c>
      <c r="X540" s="345">
        <f t="shared" si="228"/>
        <v>31.283666670380189</v>
      </c>
      <c r="Y540" s="346">
        <f t="shared" si="229"/>
        <v>-15.150219541831005</v>
      </c>
      <c r="AA540" s="345">
        <f t="shared" si="230"/>
        <v>-4.6095496936094591</v>
      </c>
      <c r="AB540" s="346">
        <f t="shared" si="231"/>
        <v>-85.83509470743563</v>
      </c>
      <c r="AD540">
        <f t="shared" si="235"/>
        <v>0</v>
      </c>
      <c r="AE540">
        <f t="shared" si="238"/>
        <v>0</v>
      </c>
    </row>
    <row r="541" spans="1:31" x14ac:dyDescent="0.2">
      <c r="A541" s="347">
        <v>81283</v>
      </c>
      <c r="B541" s="364">
        <f t="shared" si="232"/>
        <v>81.283000000000001</v>
      </c>
      <c r="C541" s="337">
        <f t="shared" si="213"/>
        <v>456.28249460822582</v>
      </c>
      <c r="D541" s="338">
        <f t="shared" si="214"/>
        <v>1.5686047003083341</v>
      </c>
      <c r="E541" s="338">
        <f t="shared" si="215"/>
        <v>1.020653201562731</v>
      </c>
      <c r="F541" s="339">
        <f t="shared" si="216"/>
        <v>0.20151373829442998</v>
      </c>
      <c r="G541" s="338">
        <f t="shared" si="217"/>
        <v>1</v>
      </c>
      <c r="H541" s="339">
        <f t="shared" si="218"/>
        <v>0</v>
      </c>
      <c r="I541" s="337">
        <f t="shared" si="219"/>
        <v>268156.17267914384</v>
      </c>
      <c r="J541" s="340">
        <f t="shared" si="220"/>
        <v>1.5707925976247268</v>
      </c>
      <c r="K541" s="348">
        <f t="shared" si="236"/>
        <v>132.34054716523036</v>
      </c>
      <c r="L541" s="349">
        <f t="shared" si="237"/>
        <v>1.563239991734702</v>
      </c>
      <c r="M541" s="337">
        <f t="shared" si="221"/>
        <v>1.0342937728917512</v>
      </c>
      <c r="N541" s="340">
        <f t="shared" si="222"/>
        <v>0.25823078738200733</v>
      </c>
      <c r="O541" s="341">
        <f t="shared" si="223"/>
        <v>0.93456824065633526</v>
      </c>
      <c r="P541" s="342">
        <f t="shared" si="224"/>
        <v>0.13076165183619318</v>
      </c>
      <c r="Q541" s="343">
        <f t="shared" si="225"/>
        <v>-22.117820273742055</v>
      </c>
      <c r="R541" s="344">
        <f t="shared" si="226"/>
        <v>-101.04889992086761</v>
      </c>
      <c r="S541" s="346">
        <f t="shared" si="227"/>
        <v>78.951100079132388</v>
      </c>
      <c r="U541" s="319">
        <f t="shared" si="233"/>
        <v>81283</v>
      </c>
      <c r="V541" s="319">
        <f t="shared" si="234"/>
        <v>6606926089</v>
      </c>
      <c r="X541" s="345">
        <f t="shared" si="228"/>
        <v>31.280448751113134</v>
      </c>
      <c r="Y541" s="346">
        <f t="shared" si="229"/>
        <v>-15.228266716554032</v>
      </c>
      <c r="AA541" s="345">
        <f t="shared" si="230"/>
        <v>-4.650302220905548</v>
      </c>
      <c r="AB541" s="346">
        <f t="shared" si="231"/>
        <v>-85.82063320431358</v>
      </c>
      <c r="AD541">
        <f t="shared" si="235"/>
        <v>0</v>
      </c>
      <c r="AE541">
        <f t="shared" si="238"/>
        <v>0</v>
      </c>
    </row>
    <row r="542" spans="1:31" x14ac:dyDescent="0.2">
      <c r="A542" s="347">
        <v>81756.25</v>
      </c>
      <c r="B542" s="364">
        <f t="shared" si="232"/>
        <v>81.756249999999994</v>
      </c>
      <c r="C542" s="337">
        <f t="shared" si="213"/>
        <v>458.93907293812049</v>
      </c>
      <c r="D542" s="338">
        <f t="shared" si="214"/>
        <v>1.5686173866037834</v>
      </c>
      <c r="E542" s="338">
        <f t="shared" si="215"/>
        <v>1.0208919296535233</v>
      </c>
      <c r="F542" s="339">
        <f t="shared" si="216"/>
        <v>0.20265522958781607</v>
      </c>
      <c r="G542" s="338">
        <f t="shared" si="217"/>
        <v>1</v>
      </c>
      <c r="H542" s="339">
        <f t="shared" si="218"/>
        <v>0</v>
      </c>
      <c r="I542" s="337">
        <f t="shared" si="219"/>
        <v>269717.44513117749</v>
      </c>
      <c r="J542" s="340">
        <f t="shared" si="220"/>
        <v>1.5707926192112083</v>
      </c>
      <c r="K542" s="348">
        <f t="shared" si="236"/>
        <v>133.11102313552857</v>
      </c>
      <c r="L542" s="349">
        <f t="shared" si="237"/>
        <v>1.563283730294444</v>
      </c>
      <c r="M542" s="337">
        <f t="shared" si="221"/>
        <v>1.0346875547544541</v>
      </c>
      <c r="N542" s="340">
        <f t="shared" si="222"/>
        <v>0.25966777286612081</v>
      </c>
      <c r="O542" s="341">
        <f t="shared" si="223"/>
        <v>0.93381111021412933</v>
      </c>
      <c r="P542" s="342">
        <f t="shared" si="224"/>
        <v>0.13163464856904589</v>
      </c>
      <c r="Q542" s="343">
        <f t="shared" si="225"/>
        <v>-22.162482978852648</v>
      </c>
      <c r="R542" s="344">
        <f t="shared" si="226"/>
        <v>-101.11407159238856</v>
      </c>
      <c r="S542" s="346">
        <f t="shared" si="227"/>
        <v>78.885928407611445</v>
      </c>
      <c r="U542" s="319">
        <f t="shared" si="233"/>
        <v>81756.25</v>
      </c>
      <c r="V542" s="319">
        <f t="shared" si="234"/>
        <v>6684084414.0625</v>
      </c>
      <c r="X542" s="345">
        <f t="shared" si="228"/>
        <v>31.27713957960523</v>
      </c>
      <c r="Y542" s="346">
        <f t="shared" si="229"/>
        <v>-15.308095122045597</v>
      </c>
      <c r="AA542" s="345">
        <f t="shared" si="230"/>
        <v>-4.6916557545082309</v>
      </c>
      <c r="AB542" s="346">
        <f t="shared" si="231"/>
        <v>-85.805976470342941</v>
      </c>
      <c r="AD542">
        <f t="shared" si="235"/>
        <v>0</v>
      </c>
      <c r="AE542">
        <f t="shared" si="238"/>
        <v>0</v>
      </c>
    </row>
    <row r="543" spans="1:31" x14ac:dyDescent="0.2">
      <c r="A543" s="347">
        <v>82229.5</v>
      </c>
      <c r="B543" s="364">
        <f t="shared" si="232"/>
        <v>82.229500000000002</v>
      </c>
      <c r="C543" s="337">
        <f t="shared" si="213"/>
        <v>461.59565134102752</v>
      </c>
      <c r="D543" s="338">
        <f t="shared" si="214"/>
        <v>1.5686299268747284</v>
      </c>
      <c r="E543" s="338">
        <f t="shared" si="215"/>
        <v>1.0211319873459312</v>
      </c>
      <c r="F543" s="339">
        <f t="shared" si="216"/>
        <v>0.20379618566141972</v>
      </c>
      <c r="G543" s="338">
        <f t="shared" si="217"/>
        <v>1</v>
      </c>
      <c r="H543" s="339">
        <f t="shared" si="218"/>
        <v>0</v>
      </c>
      <c r="I543" s="337">
        <f t="shared" si="219"/>
        <v>271278.7175832112</v>
      </c>
      <c r="J543" s="340">
        <f t="shared" si="220"/>
        <v>1.5707926405492194</v>
      </c>
      <c r="K543" s="348">
        <f t="shared" si="236"/>
        <v>133.88149935754541</v>
      </c>
      <c r="L543" s="349">
        <f t="shared" si="237"/>
        <v>1.5633269654311599</v>
      </c>
      <c r="M543" s="337">
        <f t="shared" si="221"/>
        <v>1.0350834715435042</v>
      </c>
      <c r="N543" s="340">
        <f t="shared" si="222"/>
        <v>0.26110366202678709</v>
      </c>
      <c r="O543" s="341">
        <f t="shared" si="223"/>
        <v>0.93304975922444433</v>
      </c>
      <c r="P543" s="342">
        <f t="shared" si="224"/>
        <v>0.13250976618215851</v>
      </c>
      <c r="Q543" s="343">
        <f t="shared" si="225"/>
        <v>-22.206815416057594</v>
      </c>
      <c r="R543" s="344">
        <f t="shared" si="226"/>
        <v>-101.17935309571608</v>
      </c>
      <c r="S543" s="346">
        <f t="shared" si="227"/>
        <v>78.820646904283919</v>
      </c>
      <c r="U543" s="319">
        <f t="shared" si="233"/>
        <v>82229.5</v>
      </c>
      <c r="V543" s="319">
        <f t="shared" si="234"/>
        <v>6761690670.25</v>
      </c>
      <c r="X543" s="345">
        <f t="shared" si="228"/>
        <v>31.273813800227281</v>
      </c>
      <c r="Y543" s="346">
        <f t="shared" si="229"/>
        <v>-15.387889542609024</v>
      </c>
      <c r="AA543" s="345">
        <f t="shared" si="230"/>
        <v>-4.7326624123352286</v>
      </c>
      <c r="AB543" s="346">
        <f t="shared" si="231"/>
        <v>-85.791463553107079</v>
      </c>
      <c r="AD543">
        <f t="shared" si="235"/>
        <v>0</v>
      </c>
      <c r="AE543">
        <f t="shared" si="238"/>
        <v>0</v>
      </c>
    </row>
    <row r="544" spans="1:31" x14ac:dyDescent="0.2">
      <c r="A544" s="347">
        <v>82702.75</v>
      </c>
      <c r="B544" s="364">
        <f t="shared" si="232"/>
        <v>82.702749999999995</v>
      </c>
      <c r="C544" s="337">
        <f t="shared" si="213"/>
        <v>464.25222981569362</v>
      </c>
      <c r="D544" s="338">
        <f t="shared" si="214"/>
        <v>1.5686423236279421</v>
      </c>
      <c r="E544" s="338">
        <f t="shared" si="215"/>
        <v>1.0213733737024491</v>
      </c>
      <c r="F544" s="339">
        <f t="shared" si="216"/>
        <v>0.20493660392312804</v>
      </c>
      <c r="G544" s="338">
        <f t="shared" si="217"/>
        <v>1</v>
      </c>
      <c r="H544" s="339">
        <f t="shared" si="218"/>
        <v>0</v>
      </c>
      <c r="I544" s="337">
        <f t="shared" si="219"/>
        <v>272839.99003524502</v>
      </c>
      <c r="J544" s="340">
        <f t="shared" si="220"/>
        <v>1.5707926616430254</v>
      </c>
      <c r="K544" s="348">
        <f t="shared" si="236"/>
        <v>134.65197582695987</v>
      </c>
      <c r="L544" s="349">
        <f t="shared" si="237"/>
        <v>1.5633697057864222</v>
      </c>
      <c r="M544" s="337">
        <f t="shared" si="221"/>
        <v>1.0354815208100321</v>
      </c>
      <c r="N544" s="340">
        <f t="shared" si="222"/>
        <v>0.26253845020398553</v>
      </c>
      <c r="O544" s="341">
        <f t="shared" si="223"/>
        <v>0.93228419115720507</v>
      </c>
      <c r="P544" s="342">
        <f t="shared" si="224"/>
        <v>0.13338702242297024</v>
      </c>
      <c r="Q544" s="343">
        <f t="shared" si="225"/>
        <v>-22.250820829263635</v>
      </c>
      <c r="R544" s="344">
        <f t="shared" si="226"/>
        <v>-101.24474497796749</v>
      </c>
      <c r="S544" s="346">
        <f t="shared" si="227"/>
        <v>78.755255022032514</v>
      </c>
      <c r="U544" s="319">
        <f t="shared" si="233"/>
        <v>82702.75</v>
      </c>
      <c r="V544" s="319">
        <f t="shared" si="234"/>
        <v>6839744857.5625</v>
      </c>
      <c r="X544" s="345">
        <f t="shared" si="228"/>
        <v>31.270471451989096</v>
      </c>
      <c r="Y544" s="346">
        <f t="shared" si="229"/>
        <v>-15.467649216363549</v>
      </c>
      <c r="AA544" s="345">
        <f t="shared" si="230"/>
        <v>-4.7733254773030867</v>
      </c>
      <c r="AB544" s="346">
        <f t="shared" si="231"/>
        <v>-85.77709576160396</v>
      </c>
      <c r="AD544">
        <f t="shared" si="235"/>
        <v>0</v>
      </c>
      <c r="AE544">
        <f t="shared" si="238"/>
        <v>0</v>
      </c>
    </row>
    <row r="545" spans="1:31" x14ac:dyDescent="0.2">
      <c r="A545" s="347">
        <v>83176</v>
      </c>
      <c r="B545" s="364">
        <f t="shared" si="232"/>
        <v>83.176000000000002</v>
      </c>
      <c r="C545" s="337">
        <f t="shared" si="213"/>
        <v>466.90880836089389</v>
      </c>
      <c r="D545" s="338">
        <f t="shared" si="214"/>
        <v>1.5686545793131461</v>
      </c>
      <c r="E545" s="338">
        <f t="shared" si="215"/>
        <v>1.0216160877812712</v>
      </c>
      <c r="F545" s="339">
        <f t="shared" si="216"/>
        <v>0.20607648178886698</v>
      </c>
      <c r="G545" s="338">
        <f t="shared" si="217"/>
        <v>1</v>
      </c>
      <c r="H545" s="339">
        <f t="shared" si="218"/>
        <v>0</v>
      </c>
      <c r="I545" s="337">
        <f t="shared" si="219"/>
        <v>274401.2624872789</v>
      </c>
      <c r="J545" s="340">
        <f t="shared" si="220"/>
        <v>1.5707926824967948</v>
      </c>
      <c r="K545" s="348">
        <f t="shared" si="236"/>
        <v>135.42245253954931</v>
      </c>
      <c r="L545" s="349">
        <f t="shared" si="237"/>
        <v>1.5634119598051484</v>
      </c>
      <c r="M545" s="337">
        <f t="shared" si="221"/>
        <v>1.0358817000957519</v>
      </c>
      <c r="N545" s="340">
        <f t="shared" si="222"/>
        <v>0.2639721327629706</v>
      </c>
      <c r="O545" s="341">
        <f t="shared" si="223"/>
        <v>0.931514409516214</v>
      </c>
      <c r="P545" s="342">
        <f t="shared" si="224"/>
        <v>0.13426643514973655</v>
      </c>
      <c r="Q545" s="343">
        <f t="shared" si="225"/>
        <v>-22.294502404654281</v>
      </c>
      <c r="R545" s="344">
        <f t="shared" si="226"/>
        <v>-101.31024780159002</v>
      </c>
      <c r="S545" s="346">
        <f t="shared" si="227"/>
        <v>78.689752198409977</v>
      </c>
      <c r="U545" s="319">
        <f t="shared" si="233"/>
        <v>83176</v>
      </c>
      <c r="V545" s="319">
        <f t="shared" si="234"/>
        <v>6918246976</v>
      </c>
      <c r="X545" s="345">
        <f t="shared" si="228"/>
        <v>31.267112574059933</v>
      </c>
      <c r="Y545" s="346">
        <f t="shared" si="229"/>
        <v>-15.547373394138495</v>
      </c>
      <c r="AA545" s="345">
        <f t="shared" si="230"/>
        <v>-4.8136481747645705</v>
      </c>
      <c r="AB545" s="346">
        <f t="shared" si="231"/>
        <v>-85.76287440745152</v>
      </c>
      <c r="AD545">
        <f t="shared" si="235"/>
        <v>0</v>
      </c>
      <c r="AE545">
        <f t="shared" si="238"/>
        <v>0</v>
      </c>
    </row>
    <row r="546" spans="1:31" x14ac:dyDescent="0.2">
      <c r="A546" s="347">
        <v>83660.5</v>
      </c>
      <c r="B546" s="364">
        <f t="shared" si="232"/>
        <v>83.660499999999999</v>
      </c>
      <c r="C546" s="337">
        <f t="shared" si="213"/>
        <v>469.62853860735572</v>
      </c>
      <c r="D546" s="338">
        <f t="shared" si="214"/>
        <v>1.5686669826995607</v>
      </c>
      <c r="E546" s="338">
        <f t="shared" si="215"/>
        <v>1.021865946061473</v>
      </c>
      <c r="F546" s="339">
        <f t="shared" si="216"/>
        <v>0.20724289408516303</v>
      </c>
      <c r="G546" s="338">
        <f t="shared" si="217"/>
        <v>1</v>
      </c>
      <c r="H546" s="339">
        <f t="shared" si="218"/>
        <v>0</v>
      </c>
      <c r="I546" s="337">
        <f t="shared" si="219"/>
        <v>275999.64918143739</v>
      </c>
      <c r="J546" s="340">
        <f t="shared" si="220"/>
        <v>1.5707927036018854</v>
      </c>
      <c r="K546" s="348">
        <f t="shared" si="236"/>
        <v>136.21124511097904</v>
      </c>
      <c r="L546" s="349">
        <f t="shared" si="237"/>
        <v>1.5634547230790465</v>
      </c>
      <c r="M546" s="337">
        <f t="shared" si="221"/>
        <v>1.0362935963556856</v>
      </c>
      <c r="N546" s="340">
        <f t="shared" si="222"/>
        <v>0.26543874635667231</v>
      </c>
      <c r="O546" s="341">
        <f t="shared" si="223"/>
        <v>0.93072196747089109</v>
      </c>
      <c r="P546" s="342">
        <f t="shared" si="224"/>
        <v>0.13516900584673364</v>
      </c>
      <c r="Q546" s="343">
        <f t="shared" si="225"/>
        <v>-22.33889016028678</v>
      </c>
      <c r="R546" s="344">
        <f t="shared" si="226"/>
        <v>-101.37742327647594</v>
      </c>
      <c r="S546" s="346">
        <f t="shared" si="227"/>
        <v>78.622576723524062</v>
      </c>
      <c r="U546" s="319">
        <f t="shared" si="233"/>
        <v>83660.5</v>
      </c>
      <c r="V546" s="319">
        <f t="shared" si="234"/>
        <v>6999079260.25</v>
      </c>
      <c r="X546" s="345">
        <f t="shared" si="228"/>
        <v>31.263656766878714</v>
      </c>
      <c r="Y546" s="346">
        <f t="shared" si="229"/>
        <v>-15.628955217447432</v>
      </c>
      <c r="AA546" s="345">
        <f t="shared" si="230"/>
        <v>-4.8545801232158503</v>
      </c>
      <c r="AB546" s="346">
        <f t="shared" si="231"/>
        <v>-85.748468059028468</v>
      </c>
      <c r="AD546">
        <f t="shared" si="235"/>
        <v>0</v>
      </c>
      <c r="AE546">
        <f t="shared" si="238"/>
        <v>0</v>
      </c>
    </row>
    <row r="547" spans="1:31" x14ac:dyDescent="0.2">
      <c r="A547" s="347">
        <v>84145</v>
      </c>
      <c r="B547" s="364">
        <f t="shared" si="232"/>
        <v>84.144999999999996</v>
      </c>
      <c r="C547" s="337">
        <f t="shared" si="213"/>
        <v>472.348268925235</v>
      </c>
      <c r="D547" s="338">
        <f t="shared" si="214"/>
        <v>1.5686792432512586</v>
      </c>
      <c r="E547" s="338">
        <f t="shared" si="215"/>
        <v>1.0221171939275158</v>
      </c>
      <c r="F547" s="339">
        <f t="shared" si="216"/>
        <v>0.20840873453251743</v>
      </c>
      <c r="G547" s="338">
        <f t="shared" si="217"/>
        <v>1</v>
      </c>
      <c r="H547" s="339">
        <f t="shared" si="218"/>
        <v>0</v>
      </c>
      <c r="I547" s="337">
        <f t="shared" si="219"/>
        <v>277598.03587559605</v>
      </c>
      <c r="J547" s="340">
        <f t="shared" si="220"/>
        <v>1.5707927244639333</v>
      </c>
      <c r="K547" s="348">
        <f t="shared" si="236"/>
        <v>137.00003792862967</v>
      </c>
      <c r="L547" s="349">
        <f t="shared" si="237"/>
        <v>1.5634969939244958</v>
      </c>
      <c r="M547" s="337">
        <f t="shared" si="221"/>
        <v>1.0367077198629324</v>
      </c>
      <c r="N547" s="340">
        <f t="shared" si="222"/>
        <v>0.26690419139277227</v>
      </c>
      <c r="O547" s="341">
        <f t="shared" si="223"/>
        <v>0.92992511668445077</v>
      </c>
      <c r="P547" s="342">
        <f t="shared" si="224"/>
        <v>0.13607387501592541</v>
      </c>
      <c r="Q547" s="343">
        <f t="shared" si="225"/>
        <v>-22.382945077224221</v>
      </c>
      <c r="R547" s="344">
        <f t="shared" si="226"/>
        <v>-101.44471627155026</v>
      </c>
      <c r="S547" s="346">
        <f t="shared" si="227"/>
        <v>78.555283728449737</v>
      </c>
      <c r="U547" s="319">
        <f t="shared" si="233"/>
        <v>84145</v>
      </c>
      <c r="V547" s="319">
        <f t="shared" si="234"/>
        <v>7080381025</v>
      </c>
      <c r="X547" s="345">
        <f t="shared" si="228"/>
        <v>31.260183718369316</v>
      </c>
      <c r="Y547" s="346">
        <f t="shared" si="229"/>
        <v>-15.710498287484137</v>
      </c>
      <c r="AA547" s="345">
        <f t="shared" si="230"/>
        <v>-4.895161991643894</v>
      </c>
      <c r="AB547" s="346">
        <f t="shared" si="231"/>
        <v>-85.73421798406612</v>
      </c>
      <c r="AD547">
        <f t="shared" si="235"/>
        <v>0</v>
      </c>
      <c r="AE547">
        <f t="shared" si="238"/>
        <v>0</v>
      </c>
    </row>
    <row r="548" spans="1:31" x14ac:dyDescent="0.2">
      <c r="A548" s="347">
        <v>84629.5</v>
      </c>
      <c r="B548" s="364">
        <f t="shared" si="232"/>
        <v>84.629499999999993</v>
      </c>
      <c r="C548" s="337">
        <f t="shared" si="213"/>
        <v>475.06799931330528</v>
      </c>
      <c r="D548" s="338">
        <f t="shared" si="214"/>
        <v>1.5686913634213915</v>
      </c>
      <c r="E548" s="338">
        <f t="shared" si="215"/>
        <v>1.0223698303549258</v>
      </c>
      <c r="F548" s="339">
        <f t="shared" si="216"/>
        <v>0.2095740003845164</v>
      </c>
      <c r="G548" s="338">
        <f t="shared" si="217"/>
        <v>1</v>
      </c>
      <c r="H548" s="339">
        <f t="shared" si="218"/>
        <v>0</v>
      </c>
      <c r="I548" s="337">
        <f t="shared" si="219"/>
        <v>279196.42256975477</v>
      </c>
      <c r="J548" s="340">
        <f t="shared" si="220"/>
        <v>1.5707927450871126</v>
      </c>
      <c r="K548" s="348">
        <f t="shared" si="236"/>
        <v>137.78883098827254</v>
      </c>
      <c r="L548" s="349">
        <f t="shared" si="237"/>
        <v>1.5635387807982883</v>
      </c>
      <c r="M548" s="337">
        <f t="shared" si="221"/>
        <v>1.0371240679494733</v>
      </c>
      <c r="N548" s="340">
        <f t="shared" si="222"/>
        <v>0.26836846298069728</v>
      </c>
      <c r="O548" s="341">
        <f t="shared" si="223"/>
        <v>0.92912386102888478</v>
      </c>
      <c r="P548" s="342">
        <f t="shared" si="224"/>
        <v>0.13698106218823139</v>
      </c>
      <c r="Q548" s="343">
        <f t="shared" si="225"/>
        <v>-22.42667039468509</v>
      </c>
      <c r="R548" s="344">
        <f t="shared" si="226"/>
        <v>-101.51212743925697</v>
      </c>
      <c r="S548" s="346">
        <f t="shared" si="227"/>
        <v>78.487872560743028</v>
      </c>
      <c r="U548" s="319">
        <f t="shared" si="233"/>
        <v>84629.5</v>
      </c>
      <c r="V548" s="319">
        <f t="shared" si="234"/>
        <v>7162152270.25</v>
      </c>
      <c r="X548" s="345">
        <f t="shared" si="228"/>
        <v>31.256693471064271</v>
      </c>
      <c r="Y548" s="346">
        <f t="shared" si="229"/>
        <v>-15.792001839740069</v>
      </c>
      <c r="AA548" s="345">
        <f t="shared" si="230"/>
        <v>-4.9353970617997174</v>
      </c>
      <c r="AB548" s="346">
        <f t="shared" si="231"/>
        <v>-85.720125599516905</v>
      </c>
      <c r="AD548">
        <f t="shared" si="235"/>
        <v>0</v>
      </c>
      <c r="AE548">
        <f t="shared" si="238"/>
        <v>0</v>
      </c>
    </row>
    <row r="549" spans="1:31" x14ac:dyDescent="0.2">
      <c r="A549" s="347">
        <v>85114</v>
      </c>
      <c r="B549" s="364">
        <f t="shared" si="232"/>
        <v>85.114000000000004</v>
      </c>
      <c r="C549" s="337">
        <f t="shared" si="213"/>
        <v>477.78772977036778</v>
      </c>
      <c r="D549" s="338">
        <f t="shared" si="214"/>
        <v>1.568703345607255</v>
      </c>
      <c r="E549" s="338">
        <f t="shared" si="215"/>
        <v>1.022623854314582</v>
      </c>
      <c r="F549" s="339">
        <f t="shared" si="216"/>
        <v>0.21073868890369438</v>
      </c>
      <c r="G549" s="338">
        <f t="shared" si="217"/>
        <v>1</v>
      </c>
      <c r="H549" s="339">
        <f t="shared" si="218"/>
        <v>0</v>
      </c>
      <c r="I549" s="337">
        <f t="shared" si="219"/>
        <v>280794.80926391354</v>
      </c>
      <c r="J549" s="340">
        <f t="shared" si="220"/>
        <v>1.5707927654755025</v>
      </c>
      <c r="K549" s="348">
        <f t="shared" si="236"/>
        <v>138.57762428577539</v>
      </c>
      <c r="L549" s="349">
        <f t="shared" si="237"/>
        <v>1.5635800919646758</v>
      </c>
      <c r="M549" s="337">
        <f t="shared" si="221"/>
        <v>1.0375426379372514</v>
      </c>
      <c r="N549" s="340">
        <f t="shared" si="222"/>
        <v>0.26983155625783045</v>
      </c>
      <c r="O549" s="341">
        <f t="shared" si="223"/>
        <v>0.92831820441475033</v>
      </c>
      <c r="P549" s="342">
        <f t="shared" si="224"/>
        <v>0.13789058702149432</v>
      </c>
      <c r="Q549" s="343">
        <f t="shared" si="225"/>
        <v>-22.470069294014799</v>
      </c>
      <c r="R549" s="344">
        <f t="shared" si="226"/>
        <v>-101.57965744822712</v>
      </c>
      <c r="S549" s="346">
        <f t="shared" si="227"/>
        <v>78.420342551772876</v>
      </c>
      <c r="U549" s="319">
        <f t="shared" si="233"/>
        <v>85114</v>
      </c>
      <c r="V549" s="319">
        <f t="shared" si="234"/>
        <v>7244392996</v>
      </c>
      <c r="X549" s="345">
        <f t="shared" si="228"/>
        <v>31.253186067660288</v>
      </c>
      <c r="Y549" s="346">
        <f t="shared" si="229"/>
        <v>-15.873465122334769</v>
      </c>
      <c r="AA549" s="345">
        <f t="shared" si="230"/>
        <v>-4.9752885577254427</v>
      </c>
      <c r="AB549" s="346">
        <f t="shared" si="231"/>
        <v>-85.70619232589236</v>
      </c>
      <c r="AD549">
        <f t="shared" si="235"/>
        <v>0</v>
      </c>
      <c r="AE549">
        <f t="shared" si="238"/>
        <v>0</v>
      </c>
    </row>
    <row r="550" spans="1:31" x14ac:dyDescent="0.2">
      <c r="A550" s="347">
        <v>85609.5</v>
      </c>
      <c r="B550" s="364">
        <f t="shared" si="232"/>
        <v>85.609499999999997</v>
      </c>
      <c r="C550" s="337">
        <f t="shared" si="213"/>
        <v>480.56920856388018</v>
      </c>
      <c r="D550" s="338">
        <f t="shared" si="214"/>
        <v>1.5687154595569459</v>
      </c>
      <c r="E550" s="338">
        <f t="shared" si="215"/>
        <v>1.0228850796540188</v>
      </c>
      <c r="F550" s="339">
        <f t="shared" si="216"/>
        <v>0.21192922031294481</v>
      </c>
      <c r="G550" s="338">
        <f t="shared" si="217"/>
        <v>1</v>
      </c>
      <c r="H550" s="339">
        <f t="shared" si="218"/>
        <v>0</v>
      </c>
      <c r="I550" s="337">
        <f t="shared" si="219"/>
        <v>282429.4854392609</v>
      </c>
      <c r="J550" s="340">
        <f t="shared" si="220"/>
        <v>1.5707927860880952</v>
      </c>
      <c r="K550" s="348">
        <f t="shared" si="236"/>
        <v>139.38432644484914</v>
      </c>
      <c r="L550" s="349">
        <f t="shared" si="237"/>
        <v>1.5636218574381695</v>
      </c>
      <c r="M550" s="337">
        <f t="shared" si="221"/>
        <v>1.0379730064030104</v>
      </c>
      <c r="N550" s="340">
        <f t="shared" si="222"/>
        <v>0.27132664355808883</v>
      </c>
      <c r="O550" s="341">
        <f t="shared" si="223"/>
        <v>0.92748970846464152</v>
      </c>
      <c r="P550" s="342">
        <f t="shared" si="224"/>
        <v>0.13882320003624837</v>
      </c>
      <c r="Q550" s="343">
        <f t="shared" si="225"/>
        <v>-22.514119151534473</v>
      </c>
      <c r="R550" s="344">
        <f t="shared" si="226"/>
        <v>-101.64884427899572</v>
      </c>
      <c r="S550" s="346">
        <f t="shared" si="227"/>
        <v>78.351155721004275</v>
      </c>
      <c r="U550" s="319">
        <f t="shared" si="233"/>
        <v>85609.5</v>
      </c>
      <c r="V550" s="319">
        <f t="shared" si="234"/>
        <v>7328986490.25</v>
      </c>
      <c r="X550" s="345">
        <f t="shared" si="228"/>
        <v>31.249581332687676</v>
      </c>
      <c r="Y550" s="346">
        <f t="shared" si="229"/>
        <v>-15.956735510392351</v>
      </c>
      <c r="AA550" s="345">
        <f t="shared" si="230"/>
        <v>-5.0157336802725014</v>
      </c>
      <c r="AB550" s="346">
        <f t="shared" si="231"/>
        <v>-85.692108768603362</v>
      </c>
      <c r="AD550">
        <f t="shared" si="235"/>
        <v>0</v>
      </c>
      <c r="AE550">
        <f t="shared" si="238"/>
        <v>0</v>
      </c>
    </row>
    <row r="551" spans="1:31" x14ac:dyDescent="0.2">
      <c r="A551" s="347">
        <v>86105</v>
      </c>
      <c r="B551" s="364">
        <f t="shared" si="232"/>
        <v>86.105000000000004</v>
      </c>
      <c r="C551" s="337">
        <f t="shared" si="213"/>
        <v>483.35068742710354</v>
      </c>
      <c r="D551" s="338">
        <f t="shared" si="214"/>
        <v>1.5687274340853206</v>
      </c>
      <c r="E551" s="338">
        <f t="shared" si="215"/>
        <v>1.0231477540534921</v>
      </c>
      <c r="F551" s="339">
        <f t="shared" si="216"/>
        <v>0.2131191421138699</v>
      </c>
      <c r="G551" s="338">
        <f t="shared" si="217"/>
        <v>1</v>
      </c>
      <c r="H551" s="339">
        <f t="shared" si="218"/>
        <v>0</v>
      </c>
      <c r="I551" s="337">
        <f t="shared" si="219"/>
        <v>284064.16161460825</v>
      </c>
      <c r="J551" s="340">
        <f t="shared" si="220"/>
        <v>1.5707928064634535</v>
      </c>
      <c r="K551" s="348">
        <f t="shared" si="236"/>
        <v>140.19102884426044</v>
      </c>
      <c r="L551" s="349">
        <f t="shared" si="237"/>
        <v>1.5636631422489138</v>
      </c>
      <c r="M551" s="337">
        <f t="shared" si="221"/>
        <v>1.0384056931091203</v>
      </c>
      <c r="N551" s="340">
        <f t="shared" si="222"/>
        <v>0.27282048823824639</v>
      </c>
      <c r="O551" s="341">
        <f t="shared" si="223"/>
        <v>0.92665661784843312</v>
      </c>
      <c r="P551" s="342">
        <f t="shared" si="224"/>
        <v>0.13975830006471185</v>
      </c>
      <c r="Q551" s="343">
        <f t="shared" si="225"/>
        <v>-22.55783415150912</v>
      </c>
      <c r="R551" s="344">
        <f t="shared" si="226"/>
        <v>-101.71815687435183</v>
      </c>
      <c r="S551" s="346">
        <f t="shared" si="227"/>
        <v>78.281843125648166</v>
      </c>
      <c r="U551" s="319">
        <f t="shared" si="233"/>
        <v>86105</v>
      </c>
      <c r="V551" s="319">
        <f t="shared" si="234"/>
        <v>7414071025</v>
      </c>
      <c r="X551" s="345">
        <f t="shared" si="228"/>
        <v>31.24595874459791</v>
      </c>
      <c r="Y551" s="346">
        <f t="shared" si="229"/>
        <v>-16.039962227916941</v>
      </c>
      <c r="AA551" s="345">
        <f t="shared" si="230"/>
        <v>-5.0558260921573916</v>
      </c>
      <c r="AB551" s="346">
        <f t="shared" si="231"/>
        <v>-85.678194646434903</v>
      </c>
      <c r="AD551">
        <f t="shared" si="235"/>
        <v>0</v>
      </c>
      <c r="AE551">
        <f t="shared" si="238"/>
        <v>0</v>
      </c>
    </row>
    <row r="552" spans="1:31" x14ac:dyDescent="0.2">
      <c r="A552" s="347">
        <v>86600.5</v>
      </c>
      <c r="B552" s="364">
        <f t="shared" si="232"/>
        <v>86.600499999999997</v>
      </c>
      <c r="C552" s="337">
        <f t="shared" si="213"/>
        <v>486.132166358841</v>
      </c>
      <c r="D552" s="338">
        <f t="shared" si="214"/>
        <v>1.5687392715855357</v>
      </c>
      <c r="E552" s="338">
        <f t="shared" si="215"/>
        <v>1.0234118763972317</v>
      </c>
      <c r="F552" s="339">
        <f t="shared" si="216"/>
        <v>0.2143084514075147</v>
      </c>
      <c r="G552" s="338">
        <f t="shared" si="217"/>
        <v>1</v>
      </c>
      <c r="H552" s="339">
        <f t="shared" si="218"/>
        <v>0</v>
      </c>
      <c r="I552" s="337">
        <f t="shared" si="219"/>
        <v>285698.83778995578</v>
      </c>
      <c r="J552" s="340">
        <f t="shared" si="220"/>
        <v>1.5707928266056492</v>
      </c>
      <c r="K552" s="348">
        <f t="shared" si="236"/>
        <v>140.99773147988412</v>
      </c>
      <c r="L552" s="349">
        <f t="shared" si="237"/>
        <v>1.56370395464694</v>
      </c>
      <c r="M552" s="337">
        <f t="shared" si="221"/>
        <v>1.0388406951588758</v>
      </c>
      <c r="N552" s="340">
        <f t="shared" si="222"/>
        <v>0.27431308518792807</v>
      </c>
      <c r="O552" s="341">
        <f t="shared" si="223"/>
        <v>0.92581893687661887</v>
      </c>
      <c r="P552" s="342">
        <f t="shared" si="224"/>
        <v>0.14069590855506783</v>
      </c>
      <c r="Q552" s="343">
        <f t="shared" si="225"/>
        <v>-22.60121751748121</v>
      </c>
      <c r="R552" s="344">
        <f t="shared" si="226"/>
        <v>-101.78759600113995</v>
      </c>
      <c r="S552" s="346">
        <f t="shared" si="227"/>
        <v>78.212403998860054</v>
      </c>
      <c r="U552" s="319">
        <f t="shared" si="233"/>
        <v>86600.5</v>
      </c>
      <c r="V552" s="319">
        <f t="shared" si="234"/>
        <v>7499646600.25</v>
      </c>
      <c r="X552" s="345">
        <f t="shared" si="228"/>
        <v>31.242318349577904</v>
      </c>
      <c r="Y552" s="346">
        <f t="shared" si="229"/>
        <v>-16.123144509646949</v>
      </c>
      <c r="AA552" s="345">
        <f t="shared" si="230"/>
        <v>-5.0955690631094726</v>
      </c>
      <c r="AB552" s="346">
        <f t="shared" si="231"/>
        <v>-85.664451491493011</v>
      </c>
      <c r="AD552">
        <f t="shared" si="235"/>
        <v>0</v>
      </c>
      <c r="AE552">
        <f t="shared" si="238"/>
        <v>0</v>
      </c>
    </row>
    <row r="553" spans="1:31" x14ac:dyDescent="0.2">
      <c r="A553" s="347">
        <v>87096</v>
      </c>
      <c r="B553" s="364">
        <f t="shared" si="232"/>
        <v>87.096000000000004</v>
      </c>
      <c r="C553" s="337">
        <f t="shared" si="213"/>
        <v>488.91364535792337</v>
      </c>
      <c r="D553" s="338">
        <f t="shared" si="214"/>
        <v>1.5687509743962891</v>
      </c>
      <c r="E553" s="338">
        <f t="shared" si="215"/>
        <v>1.0236774455644706</v>
      </c>
      <c r="F553" s="339">
        <f t="shared" si="216"/>
        <v>0.21549714530483882</v>
      </c>
      <c r="G553" s="338">
        <f t="shared" si="217"/>
        <v>1</v>
      </c>
      <c r="H553" s="339">
        <f t="shared" si="218"/>
        <v>0</v>
      </c>
      <c r="I553" s="337">
        <f t="shared" si="219"/>
        <v>287333.51396530343</v>
      </c>
      <c r="J553" s="340">
        <f t="shared" si="220"/>
        <v>1.5707928465186622</v>
      </c>
      <c r="K553" s="348">
        <f t="shared" si="236"/>
        <v>141.80443434768884</v>
      </c>
      <c r="L553" s="349">
        <f t="shared" si="237"/>
        <v>1.5637443026945537</v>
      </c>
      <c r="M553" s="337">
        <f t="shared" si="221"/>
        <v>1.0392780096449339</v>
      </c>
      <c r="N553" s="340">
        <f t="shared" si="222"/>
        <v>0.27580442932752991</v>
      </c>
      <c r="O553" s="341">
        <f t="shared" si="223"/>
        <v>0.92497666990347061</v>
      </c>
      <c r="P553" s="342">
        <f t="shared" si="224"/>
        <v>0.14163604710038596</v>
      </c>
      <c r="Q553" s="343">
        <f t="shared" si="225"/>
        <v>-22.644272415208476</v>
      </c>
      <c r="R553" s="344">
        <f t="shared" si="226"/>
        <v>-101.85716244333122</v>
      </c>
      <c r="S553" s="346">
        <f t="shared" si="227"/>
        <v>78.142837556668781</v>
      </c>
      <c r="U553" s="319">
        <f t="shared" si="233"/>
        <v>87096</v>
      </c>
      <c r="V553" s="319">
        <f t="shared" si="234"/>
        <v>7585713216</v>
      </c>
      <c r="X553" s="345">
        <f t="shared" si="228"/>
        <v>31.238660193982632</v>
      </c>
      <c r="Y553" s="346">
        <f t="shared" si="229"/>
        <v>-16.206281602834448</v>
      </c>
      <c r="AA553" s="345">
        <f t="shared" si="230"/>
        <v>-5.1349658052414657</v>
      </c>
      <c r="AB553" s="346">
        <f t="shared" si="231"/>
        <v>-85.650880840496768</v>
      </c>
      <c r="AD553">
        <f t="shared" si="235"/>
        <v>0</v>
      </c>
      <c r="AE553">
        <f t="shared" si="238"/>
        <v>0</v>
      </c>
    </row>
    <row r="554" spans="1:31" x14ac:dyDescent="0.2">
      <c r="A554" s="347">
        <v>87603.25</v>
      </c>
      <c r="B554" s="364">
        <f t="shared" si="232"/>
        <v>87.603250000000003</v>
      </c>
      <c r="C554" s="337">
        <f t="shared" si="213"/>
        <v>491.76108280748764</v>
      </c>
      <c r="D554" s="338">
        <f t="shared" si="214"/>
        <v>1.5687628175885875</v>
      </c>
      <c r="E554" s="338">
        <f t="shared" si="215"/>
        <v>1.023950809803768</v>
      </c>
      <c r="F554" s="339">
        <f t="shared" si="216"/>
        <v>0.21671338673583576</v>
      </c>
      <c r="G554" s="338">
        <f t="shared" si="217"/>
        <v>1</v>
      </c>
      <c r="H554" s="339">
        <f t="shared" si="218"/>
        <v>0</v>
      </c>
      <c r="I554" s="337">
        <f t="shared" si="219"/>
        <v>289006.95390464785</v>
      </c>
      <c r="J554" s="340">
        <f t="shared" si="220"/>
        <v>1.5707928666705415</v>
      </c>
      <c r="K554" s="348">
        <f t="shared" si="236"/>
        <v>142.63026713643993</v>
      </c>
      <c r="L554" s="349">
        <f t="shared" si="237"/>
        <v>1.5637851347602307</v>
      </c>
      <c r="M554" s="337">
        <f t="shared" si="221"/>
        <v>1.039728086647093</v>
      </c>
      <c r="N554" s="340">
        <f t="shared" si="222"/>
        <v>0.27732983534236683</v>
      </c>
      <c r="O554" s="341">
        <f t="shared" si="223"/>
        <v>0.92410968407619987</v>
      </c>
      <c r="P554" s="342">
        <f t="shared" si="224"/>
        <v>0.14260112300515979</v>
      </c>
      <c r="Q554" s="343">
        <f t="shared" si="225"/>
        <v>-22.68801129344531</v>
      </c>
      <c r="R554" s="344">
        <f t="shared" si="226"/>
        <v>-101.9285112600152</v>
      </c>
      <c r="S554" s="346">
        <f t="shared" si="227"/>
        <v>78.071488739984801</v>
      </c>
      <c r="U554" s="319">
        <f t="shared" si="233"/>
        <v>87603.25</v>
      </c>
      <c r="V554" s="319">
        <f t="shared" si="234"/>
        <v>7674329410.5625</v>
      </c>
      <c r="X554" s="345">
        <f t="shared" si="228"/>
        <v>31.234896942259489</v>
      </c>
      <c r="Y554" s="346">
        <f t="shared" si="229"/>
        <v>-16.2913425792112</v>
      </c>
      <c r="AA554" s="345">
        <f t="shared" si="230"/>
        <v>-5.1749414317551565</v>
      </c>
      <c r="AB554" s="346">
        <f t="shared" si="231"/>
        <v>-85.637168680803995</v>
      </c>
      <c r="AD554">
        <f t="shared" si="235"/>
        <v>0</v>
      </c>
      <c r="AE554">
        <f t="shared" si="238"/>
        <v>0</v>
      </c>
    </row>
    <row r="555" spans="1:31" x14ac:dyDescent="0.2">
      <c r="A555" s="347">
        <v>88110.5</v>
      </c>
      <c r="B555" s="364">
        <f t="shared" si="232"/>
        <v>88.110500000000002</v>
      </c>
      <c r="C555" s="337">
        <f t="shared" si="213"/>
        <v>494.60852032523275</v>
      </c>
      <c r="D555" s="338">
        <f t="shared" si="214"/>
        <v>1.5687745244195077</v>
      </c>
      <c r="E555" s="338">
        <f t="shared" si="215"/>
        <v>1.0242256879055227</v>
      </c>
      <c r="F555" s="339">
        <f t="shared" si="216"/>
        <v>0.217928977142956</v>
      </c>
      <c r="G555" s="338">
        <f t="shared" si="217"/>
        <v>1</v>
      </c>
      <c r="H555" s="339">
        <f t="shared" si="218"/>
        <v>0</v>
      </c>
      <c r="I555" s="337">
        <f t="shared" si="219"/>
        <v>290680.39384399238</v>
      </c>
      <c r="J555" s="340">
        <f t="shared" si="220"/>
        <v>1.5707928865903931</v>
      </c>
      <c r="K555" s="348">
        <f t="shared" si="236"/>
        <v>143.45610016025452</v>
      </c>
      <c r="L555" s="349">
        <f t="shared" si="237"/>
        <v>1.5638254967104726</v>
      </c>
      <c r="M555" s="337">
        <f t="shared" si="221"/>
        <v>1.0401805808576909</v>
      </c>
      <c r="N555" s="340">
        <f t="shared" si="222"/>
        <v>0.27885391775181395</v>
      </c>
      <c r="O555" s="341">
        <f t="shared" si="223"/>
        <v>0.92323790154622332</v>
      </c>
      <c r="P555" s="342">
        <f t="shared" si="224"/>
        <v>0.14356889664728856</v>
      </c>
      <c r="Q555" s="343">
        <f t="shared" si="225"/>
        <v>-22.731412474596201</v>
      </c>
      <c r="R555" s="344">
        <f t="shared" si="226"/>
        <v>-101.99999521898658</v>
      </c>
      <c r="S555" s="346">
        <f t="shared" si="227"/>
        <v>78.000004781013416</v>
      </c>
      <c r="U555" s="319">
        <f t="shared" si="233"/>
        <v>88110.5</v>
      </c>
      <c r="V555" s="319">
        <f t="shared" si="234"/>
        <v>7763460210.25</v>
      </c>
      <c r="X555" s="345">
        <f t="shared" si="228"/>
        <v>31.231115176484366</v>
      </c>
      <c r="Y555" s="346">
        <f t="shared" si="229"/>
        <v>-16.376354640921441</v>
      </c>
      <c r="AA555" s="345">
        <f t="shared" si="230"/>
        <v>-5.2145608471309268</v>
      </c>
      <c r="AB555" s="346">
        <f t="shared" si="231"/>
        <v>-85.623640578065149</v>
      </c>
      <c r="AD555">
        <f t="shared" si="235"/>
        <v>0</v>
      </c>
      <c r="AE555">
        <f t="shared" si="238"/>
        <v>0</v>
      </c>
    </row>
    <row r="556" spans="1:31" x14ac:dyDescent="0.2">
      <c r="A556" s="347">
        <v>88617.75</v>
      </c>
      <c r="B556" s="364">
        <f t="shared" si="232"/>
        <v>88.617750000000001</v>
      </c>
      <c r="C556" s="337">
        <f t="shared" si="213"/>
        <v>497.45595790998783</v>
      </c>
      <c r="D556" s="338">
        <f t="shared" si="214"/>
        <v>1.5687860972306442</v>
      </c>
      <c r="E556" s="338">
        <f t="shared" si="215"/>
        <v>1.0245020786512085</v>
      </c>
      <c r="F556" s="339">
        <f t="shared" si="216"/>
        <v>0.21914391345920964</v>
      </c>
      <c r="G556" s="338">
        <f t="shared" si="217"/>
        <v>1</v>
      </c>
      <c r="H556" s="339">
        <f t="shared" si="218"/>
        <v>0</v>
      </c>
      <c r="I556" s="337">
        <f t="shared" si="219"/>
        <v>292353.83378333703</v>
      </c>
      <c r="J556" s="340">
        <f t="shared" si="220"/>
        <v>1.5707929062822013</v>
      </c>
      <c r="K556" s="348">
        <f t="shared" si="236"/>
        <v>144.28193341509626</v>
      </c>
      <c r="L556" s="349">
        <f t="shared" si="237"/>
        <v>1.5638653966176115</v>
      </c>
      <c r="M556" s="337">
        <f t="shared" si="221"/>
        <v>1.0406354891235403</v>
      </c>
      <c r="N556" s="340">
        <f t="shared" si="222"/>
        <v>0.28037667120675536</v>
      </c>
      <c r="O556" s="341">
        <f t="shared" si="223"/>
        <v>0.92236132713030206</v>
      </c>
      <c r="P556" s="342">
        <f t="shared" si="224"/>
        <v>0.1445393916749062</v>
      </c>
      <c r="Q556" s="343">
        <f t="shared" si="225"/>
        <v>-22.77447917521603</v>
      </c>
      <c r="R556" s="344">
        <f t="shared" si="226"/>
        <v>-102.07161521630866</v>
      </c>
      <c r="S556" s="346">
        <f t="shared" si="227"/>
        <v>77.928384783691342</v>
      </c>
      <c r="U556" s="319">
        <f t="shared" si="233"/>
        <v>88617.75</v>
      </c>
      <c r="V556" s="319">
        <f t="shared" si="234"/>
        <v>7853105615.0625</v>
      </c>
      <c r="X556" s="345">
        <f t="shared" si="228"/>
        <v>31.227314946917772</v>
      </c>
      <c r="Y556" s="346">
        <f t="shared" si="229"/>
        <v>-16.461317019201118</v>
      </c>
      <c r="AA556" s="345">
        <f t="shared" si="230"/>
        <v>-5.2538273181841628</v>
      </c>
      <c r="AB556" s="346">
        <f t="shared" si="231"/>
        <v>-85.610298197107539</v>
      </c>
      <c r="AD556">
        <f t="shared" si="235"/>
        <v>0</v>
      </c>
      <c r="AE556">
        <f t="shared" si="238"/>
        <v>0</v>
      </c>
    </row>
    <row r="557" spans="1:31" x14ac:dyDescent="0.2">
      <c r="A557" s="347">
        <v>89125</v>
      </c>
      <c r="B557" s="364">
        <f t="shared" si="232"/>
        <v>89.125</v>
      </c>
      <c r="C557" s="337">
        <f t="shared" si="213"/>
        <v>500.30339556060886</v>
      </c>
      <c r="D557" s="338">
        <f t="shared" si="214"/>
        <v>1.5687975383102832</v>
      </c>
      <c r="E557" s="338">
        <f t="shared" si="215"/>
        <v>1.0247799808169116</v>
      </c>
      <c r="F557" s="339">
        <f t="shared" si="216"/>
        <v>0.22035819262863018</v>
      </c>
      <c r="G557" s="338">
        <f t="shared" si="217"/>
        <v>1</v>
      </c>
      <c r="H557" s="339">
        <f t="shared" si="218"/>
        <v>0</v>
      </c>
      <c r="I557" s="337">
        <f t="shared" si="219"/>
        <v>294027.2737226818</v>
      </c>
      <c r="J557" s="340">
        <f t="shared" si="220"/>
        <v>1.5707929257498598</v>
      </c>
      <c r="K557" s="348">
        <f t="shared" si="236"/>
        <v>145.10776689702072</v>
      </c>
      <c r="L557" s="349">
        <f t="shared" si="237"/>
        <v>1.563904842370222</v>
      </c>
      <c r="M557" s="337">
        <f t="shared" si="221"/>
        <v>1.0410928082801576</v>
      </c>
      <c r="N557" s="340">
        <f t="shared" si="222"/>
        <v>0.28189809039205194</v>
      </c>
      <c r="O557" s="341">
        <f t="shared" si="223"/>
        <v>0.92147996569515789</v>
      </c>
      <c r="P557" s="342">
        <f t="shared" si="224"/>
        <v>0.14551263190233643</v>
      </c>
      <c r="Q557" s="343">
        <f t="shared" si="225"/>
        <v>-22.817214553931798</v>
      </c>
      <c r="R557" s="344">
        <f t="shared" si="226"/>
        <v>-102.1433721663508</v>
      </c>
      <c r="S557" s="346">
        <f t="shared" si="227"/>
        <v>77.856627833649199</v>
      </c>
      <c r="U557" s="319">
        <f t="shared" si="233"/>
        <v>89125</v>
      </c>
      <c r="V557" s="319">
        <f t="shared" si="234"/>
        <v>7943265625</v>
      </c>
      <c r="X557" s="345">
        <f t="shared" si="228"/>
        <v>31.223496303992562</v>
      </c>
      <c r="Y557" s="346">
        <f t="shared" si="229"/>
        <v>-16.546228957756245</v>
      </c>
      <c r="AA557" s="345">
        <f t="shared" si="230"/>
        <v>-5.2927440539747135</v>
      </c>
      <c r="AB557" s="346">
        <f t="shared" si="231"/>
        <v>-85.597143208594559</v>
      </c>
      <c r="AD557">
        <f t="shared" si="235"/>
        <v>0</v>
      </c>
      <c r="AE557">
        <f t="shared" si="238"/>
        <v>0</v>
      </c>
    </row>
    <row r="558" spans="1:31" x14ac:dyDescent="0.2">
      <c r="A558" s="347">
        <v>89644</v>
      </c>
      <c r="B558" s="364">
        <f t="shared" si="232"/>
        <v>89.644000000000005</v>
      </c>
      <c r="C558" s="337">
        <f t="shared" si="213"/>
        <v>503.21679166639711</v>
      </c>
      <c r="D558" s="338">
        <f t="shared" si="214"/>
        <v>1.5688091104008246</v>
      </c>
      <c r="E558" s="338">
        <f t="shared" si="215"/>
        <v>1.0250658834012119</v>
      </c>
      <c r="F558" s="339">
        <f t="shared" si="216"/>
        <v>0.22159991617448274</v>
      </c>
      <c r="G558" s="338">
        <f t="shared" si="217"/>
        <v>1</v>
      </c>
      <c r="H558" s="339">
        <f t="shared" si="218"/>
        <v>0</v>
      </c>
      <c r="I558" s="337">
        <f t="shared" si="219"/>
        <v>295739.47742602322</v>
      </c>
      <c r="J558" s="340">
        <f t="shared" si="220"/>
        <v>1.5707929454404399</v>
      </c>
      <c r="K558" s="348">
        <f t="shared" si="236"/>
        <v>145.9527303160456</v>
      </c>
      <c r="L558" s="349">
        <f t="shared" si="237"/>
        <v>1.5639447398330215</v>
      </c>
      <c r="M558" s="337">
        <f t="shared" si="221"/>
        <v>1.0415632128272183</v>
      </c>
      <c r="N558" s="340">
        <f t="shared" si="222"/>
        <v>0.28345336541789301</v>
      </c>
      <c r="O558" s="341">
        <f t="shared" si="223"/>
        <v>0.9205732387925325</v>
      </c>
      <c r="P558" s="342">
        <f t="shared" si="224"/>
        <v>0.14651128271971861</v>
      </c>
      <c r="Q558" s="343">
        <f t="shared" si="225"/>
        <v>-22.860600172206411</v>
      </c>
      <c r="R558" s="344">
        <f t="shared" si="226"/>
        <v>-102.21693402384516</v>
      </c>
      <c r="S558" s="346">
        <f t="shared" si="227"/>
        <v>77.783065976154845</v>
      </c>
      <c r="U558" s="319">
        <f t="shared" si="233"/>
        <v>89644</v>
      </c>
      <c r="V558" s="319">
        <f t="shared" si="234"/>
        <v>8036046736</v>
      </c>
      <c r="X558" s="345">
        <f t="shared" si="228"/>
        <v>31.219570200250256</v>
      </c>
      <c r="Y558" s="346">
        <f t="shared" si="229"/>
        <v>-16.633054824773684</v>
      </c>
      <c r="AA558" s="345">
        <f t="shared" si="230"/>
        <v>-5.3322035685070226</v>
      </c>
      <c r="AB558" s="346">
        <f t="shared" si="231"/>
        <v>-85.583879199071475</v>
      </c>
      <c r="AD558">
        <f t="shared" si="235"/>
        <v>0</v>
      </c>
      <c r="AE558">
        <f t="shared" si="238"/>
        <v>0</v>
      </c>
    </row>
    <row r="559" spans="1:31" x14ac:dyDescent="0.2">
      <c r="A559" s="347">
        <v>90163</v>
      </c>
      <c r="B559" s="364">
        <f t="shared" si="232"/>
        <v>90.162999999999997</v>
      </c>
      <c r="C559" s="337">
        <f t="shared" si="213"/>
        <v>506.13018783879693</v>
      </c>
      <c r="D559" s="338">
        <f t="shared" si="214"/>
        <v>1.568820549268394</v>
      </c>
      <c r="E559" s="338">
        <f t="shared" si="215"/>
        <v>1.0253533656285674</v>
      </c>
      <c r="F559" s="339">
        <f t="shared" si="216"/>
        <v>0.2228409453394409</v>
      </c>
      <c r="G559" s="338">
        <f t="shared" si="217"/>
        <v>1</v>
      </c>
      <c r="H559" s="339">
        <f t="shared" si="218"/>
        <v>0</v>
      </c>
      <c r="I559" s="337">
        <f t="shared" si="219"/>
        <v>297451.68112936488</v>
      </c>
      <c r="J559" s="340">
        <f t="shared" si="220"/>
        <v>1.5707929649043326</v>
      </c>
      <c r="K559" s="348">
        <f t="shared" si="236"/>
        <v>146.79769396472463</v>
      </c>
      <c r="L559" s="349">
        <f t="shared" si="237"/>
        <v>1.5639841779983992</v>
      </c>
      <c r="M559" s="337">
        <f t="shared" si="221"/>
        <v>1.0420361345129012</v>
      </c>
      <c r="N559" s="340">
        <f t="shared" si="222"/>
        <v>0.28500723249552218</v>
      </c>
      <c r="O559" s="341">
        <f t="shared" si="223"/>
        <v>0.91966151099779281</v>
      </c>
      <c r="P559" s="342">
        <f t="shared" si="224"/>
        <v>0.14751285836909583</v>
      </c>
      <c r="Q559" s="343">
        <f t="shared" si="225"/>
        <v>-22.903645451019909</v>
      </c>
      <c r="R559" s="344">
        <f t="shared" si="226"/>
        <v>-102.29064124717465</v>
      </c>
      <c r="S559" s="346">
        <f t="shared" si="227"/>
        <v>77.709358752825352</v>
      </c>
      <c r="U559" s="319">
        <f t="shared" si="233"/>
        <v>90163</v>
      </c>
      <c r="V559" s="319">
        <f t="shared" si="234"/>
        <v>8129366569</v>
      </c>
      <c r="X559" s="345">
        <f t="shared" si="228"/>
        <v>31.215624927566022</v>
      </c>
      <c r="Y559" s="346">
        <f t="shared" si="229"/>
        <v>-16.71982632511634</v>
      </c>
      <c r="AA559" s="345">
        <f t="shared" si="230"/>
        <v>-5.3713035746362845</v>
      </c>
      <c r="AB559" s="346">
        <f t="shared" si="231"/>
        <v>-85.570814922058332</v>
      </c>
      <c r="AD559">
        <f t="shared" si="235"/>
        <v>0</v>
      </c>
      <c r="AE559">
        <f t="shared" si="238"/>
        <v>0</v>
      </c>
    </row>
    <row r="560" spans="1:31" x14ac:dyDescent="0.2">
      <c r="A560" s="347">
        <v>90682</v>
      </c>
      <c r="B560" s="364">
        <f t="shared" si="232"/>
        <v>90.682000000000002</v>
      </c>
      <c r="C560" s="337">
        <f t="shared" si="213"/>
        <v>509.04358407666467</v>
      </c>
      <c r="D560" s="338">
        <f t="shared" si="214"/>
        <v>1.5688318572004034</v>
      </c>
      <c r="E560" s="338">
        <f t="shared" si="215"/>
        <v>1.0256424261706811</v>
      </c>
      <c r="F560" s="339">
        <f t="shared" si="216"/>
        <v>0.22408127688626189</v>
      </c>
      <c r="G560" s="338">
        <f t="shared" si="217"/>
        <v>1</v>
      </c>
      <c r="H560" s="339">
        <f t="shared" si="218"/>
        <v>0</v>
      </c>
      <c r="I560" s="337">
        <f t="shared" si="219"/>
        <v>299163.88483270659</v>
      </c>
      <c r="J560" s="340">
        <f t="shared" si="220"/>
        <v>1.5707929841454302</v>
      </c>
      <c r="K560" s="348">
        <f t="shared" si="236"/>
        <v>147.64265783911475</v>
      </c>
      <c r="L560" s="349">
        <f t="shared" si="237"/>
        <v>1.5640231647519549</v>
      </c>
      <c r="M560" s="337">
        <f t="shared" si="221"/>
        <v>1.0425115699116059</v>
      </c>
      <c r="N560" s="340">
        <f t="shared" si="222"/>
        <v>0.28655968604252186</v>
      </c>
      <c r="O560" s="341">
        <f t="shared" si="223"/>
        <v>0.91874478768940593</v>
      </c>
      <c r="P560" s="342">
        <f t="shared" si="224"/>
        <v>0.14851738491066357</v>
      </c>
      <c r="Q560" s="343">
        <f t="shared" si="225"/>
        <v>-22.946353593715752</v>
      </c>
      <c r="R560" s="344">
        <f t="shared" si="226"/>
        <v>-102.36449487458034</v>
      </c>
      <c r="S560" s="346">
        <f t="shared" si="227"/>
        <v>77.635505125419655</v>
      </c>
      <c r="U560" s="319">
        <f t="shared" si="233"/>
        <v>90682</v>
      </c>
      <c r="V560" s="319">
        <f t="shared" si="234"/>
        <v>8223225124</v>
      </c>
      <c r="X560" s="345">
        <f t="shared" si="228"/>
        <v>31.211660540499956</v>
      </c>
      <c r="Y560" s="346">
        <f t="shared" si="229"/>
        <v>-16.806542687346653</v>
      </c>
      <c r="AA560" s="345">
        <f t="shared" si="230"/>
        <v>-5.4100473302660665</v>
      </c>
      <c r="AB560" s="346">
        <f t="shared" si="231"/>
        <v>-85.557952187233724</v>
      </c>
      <c r="AD560">
        <f t="shared" si="235"/>
        <v>0</v>
      </c>
      <c r="AE560">
        <f t="shared" si="238"/>
        <v>0</v>
      </c>
    </row>
    <row r="561" spans="1:31" x14ac:dyDescent="0.2">
      <c r="A561" s="347">
        <v>91201</v>
      </c>
      <c r="B561" s="364">
        <f t="shared" si="232"/>
        <v>91.200999999999993</v>
      </c>
      <c r="C561" s="337">
        <f t="shared" si="213"/>
        <v>511.95698037888263</v>
      </c>
      <c r="D561" s="338">
        <f t="shared" si="214"/>
        <v>1.568843036432197</v>
      </c>
      <c r="E561" s="338">
        <f t="shared" si="215"/>
        <v>1.025933063693464</v>
      </c>
      <c r="F561" s="339">
        <f t="shared" si="216"/>
        <v>0.22532090758992712</v>
      </c>
      <c r="G561" s="338">
        <f t="shared" si="217"/>
        <v>1</v>
      </c>
      <c r="H561" s="339">
        <f t="shared" si="218"/>
        <v>0</v>
      </c>
      <c r="I561" s="337">
        <f t="shared" si="219"/>
        <v>300876.08853604848</v>
      </c>
      <c r="J561" s="340">
        <f t="shared" si="220"/>
        <v>1.5707930031675361</v>
      </c>
      <c r="K561" s="348">
        <f t="shared" si="236"/>
        <v>148.48762193536285</v>
      </c>
      <c r="L561" s="349">
        <f t="shared" si="237"/>
        <v>1.5640617077998031</v>
      </c>
      <c r="M561" s="337">
        <f t="shared" si="221"/>
        <v>1.0429895155857858</v>
      </c>
      <c r="N561" s="340">
        <f t="shared" si="222"/>
        <v>0.2881107205138802</v>
      </c>
      <c r="O561" s="341">
        <f t="shared" si="223"/>
        <v>0.91782307430281262</v>
      </c>
      <c r="P561" s="342">
        <f t="shared" si="224"/>
        <v>0.14952488859500801</v>
      </c>
      <c r="Q561" s="343">
        <f t="shared" si="225"/>
        <v>-22.988727745688578</v>
      </c>
      <c r="R561" s="344">
        <f t="shared" si="226"/>
        <v>-102.43849596395013</v>
      </c>
      <c r="S561" s="346">
        <f t="shared" si="227"/>
        <v>77.561504036049868</v>
      </c>
      <c r="U561" s="319">
        <f t="shared" si="233"/>
        <v>91201</v>
      </c>
      <c r="V561" s="319">
        <f t="shared" si="234"/>
        <v>8317622401</v>
      </c>
      <c r="X561" s="345">
        <f t="shared" si="228"/>
        <v>31.207677093788053</v>
      </c>
      <c r="Y561" s="346">
        <f t="shared" si="229"/>
        <v>-16.893203152448923</v>
      </c>
      <c r="AA561" s="345">
        <f t="shared" si="230"/>
        <v>-5.4484380355269879</v>
      </c>
      <c r="AB561" s="346">
        <f t="shared" si="231"/>
        <v>-85.545292811501199</v>
      </c>
      <c r="AD561">
        <f t="shared" si="235"/>
        <v>0</v>
      </c>
      <c r="AE561">
        <f t="shared" si="238"/>
        <v>0</v>
      </c>
    </row>
    <row r="562" spans="1:31" x14ac:dyDescent="0.2">
      <c r="A562" s="347">
        <v>91732</v>
      </c>
      <c r="B562" s="364">
        <f t="shared" si="232"/>
        <v>91.731999999999999</v>
      </c>
      <c r="C562" s="337">
        <f t="shared" si="213"/>
        <v>514.9377385107739</v>
      </c>
      <c r="D562" s="338">
        <f t="shared" si="214"/>
        <v>1.5688543432233635</v>
      </c>
      <c r="E562" s="338">
        <f t="shared" si="215"/>
        <v>1.0262320518567367</v>
      </c>
      <c r="F562" s="339">
        <f t="shared" si="216"/>
        <v>0.2265884715873947</v>
      </c>
      <c r="G562" s="338">
        <f t="shared" si="217"/>
        <v>1</v>
      </c>
      <c r="H562" s="339">
        <f t="shared" si="218"/>
        <v>0</v>
      </c>
      <c r="I562" s="337">
        <f t="shared" si="219"/>
        <v>302627.88076432323</v>
      </c>
      <c r="J562" s="340">
        <f t="shared" si="220"/>
        <v>1.5707930224066906</v>
      </c>
      <c r="K562" s="348">
        <f t="shared" si="236"/>
        <v>149.35212299940531</v>
      </c>
      <c r="L562" s="349">
        <f t="shared" si="237"/>
        <v>1.5641006906574249</v>
      </c>
      <c r="M562" s="337">
        <f t="shared" si="221"/>
        <v>1.0434811064375262</v>
      </c>
      <c r="N562" s="340">
        <f t="shared" si="222"/>
        <v>0.28969614263872551</v>
      </c>
      <c r="O562" s="341">
        <f t="shared" si="223"/>
        <v>0.91687489087483465</v>
      </c>
      <c r="P562" s="342">
        <f t="shared" si="224"/>
        <v>0.15055879593368487</v>
      </c>
      <c r="Q562" s="343">
        <f t="shared" si="225"/>
        <v>-23.0317392043486</v>
      </c>
      <c r="R562" s="344">
        <f t="shared" si="226"/>
        <v>-102.51436180065423</v>
      </c>
      <c r="S562" s="346">
        <f t="shared" si="227"/>
        <v>77.485638199345772</v>
      </c>
      <c r="U562" s="319">
        <f t="shared" si="233"/>
        <v>91732</v>
      </c>
      <c r="V562" s="319">
        <f t="shared" si="234"/>
        <v>8414759824</v>
      </c>
      <c r="X562" s="345">
        <f t="shared" si="228"/>
        <v>31.203581875760023</v>
      </c>
      <c r="Y562" s="346">
        <f t="shared" si="229"/>
        <v>-16.981808698157735</v>
      </c>
      <c r="AA562" s="345">
        <f t="shared" si="230"/>
        <v>-5.48735427615898</v>
      </c>
      <c r="AB562" s="346">
        <f t="shared" si="231"/>
        <v>-85.532553102496479</v>
      </c>
      <c r="AD562">
        <f t="shared" si="235"/>
        <v>0</v>
      </c>
      <c r="AE562">
        <f t="shared" si="238"/>
        <v>0</v>
      </c>
    </row>
    <row r="563" spans="1:31" x14ac:dyDescent="0.2">
      <c r="A563" s="347">
        <v>92263</v>
      </c>
      <c r="B563" s="364">
        <f t="shared" si="232"/>
        <v>92.263000000000005</v>
      </c>
      <c r="C563" s="337">
        <f t="shared" si="213"/>
        <v>517.91849670773877</v>
      </c>
      <c r="D563" s="338">
        <f t="shared" si="214"/>
        <v>1.5688655198673724</v>
      </c>
      <c r="E563" s="338">
        <f t="shared" si="215"/>
        <v>1.0265326879239767</v>
      </c>
      <c r="F563" s="339">
        <f t="shared" si="216"/>
        <v>0.22785529516762834</v>
      </c>
      <c r="G563" s="338">
        <f t="shared" si="217"/>
        <v>1</v>
      </c>
      <c r="H563" s="339">
        <f t="shared" si="218"/>
        <v>0</v>
      </c>
      <c r="I563" s="337">
        <f t="shared" si="219"/>
        <v>304379.67299259797</v>
      </c>
      <c r="J563" s="340">
        <f t="shared" si="220"/>
        <v>1.5707930414243916</v>
      </c>
      <c r="K563" s="348">
        <f t="shared" si="236"/>
        <v>150.21662428780033</v>
      </c>
      <c r="L563" s="349">
        <f t="shared" si="237"/>
        <v>1.5641392248200177</v>
      </c>
      <c r="M563" s="337">
        <f t="shared" si="221"/>
        <v>1.0439753176711315</v>
      </c>
      <c r="N563" s="340">
        <f t="shared" si="222"/>
        <v>0.29128006768436027</v>
      </c>
      <c r="O563" s="341">
        <f t="shared" si="223"/>
        <v>0.91592149564197112</v>
      </c>
      <c r="P563" s="342">
        <f t="shared" si="224"/>
        <v>0.15159587588993401</v>
      </c>
      <c r="Q563" s="343">
        <f t="shared" si="225"/>
        <v>-23.074407530090774</v>
      </c>
      <c r="R563" s="344">
        <f t="shared" si="226"/>
        <v>-102.59038430017786</v>
      </c>
      <c r="S563" s="346">
        <f t="shared" si="227"/>
        <v>77.40961569982214</v>
      </c>
      <c r="U563" s="319">
        <f t="shared" si="233"/>
        <v>92263</v>
      </c>
      <c r="V563" s="319">
        <f t="shared" si="234"/>
        <v>8512461169</v>
      </c>
      <c r="X563" s="345">
        <f t="shared" si="228"/>
        <v>31.199466822993518</v>
      </c>
      <c r="Y563" s="346">
        <f t="shared" si="229"/>
        <v>-17.070354163189222</v>
      </c>
      <c r="AA563" s="345">
        <f t="shared" si="230"/>
        <v>-5.5259075491346499</v>
      </c>
      <c r="AB563" s="346">
        <f t="shared" si="231"/>
        <v>-85.520030136988652</v>
      </c>
      <c r="AD563">
        <f t="shared" si="235"/>
        <v>0</v>
      </c>
      <c r="AE563">
        <f t="shared" si="238"/>
        <v>0</v>
      </c>
    </row>
    <row r="564" spans="1:31" x14ac:dyDescent="0.2">
      <c r="A564" s="347">
        <v>92794</v>
      </c>
      <c r="B564" s="364">
        <f t="shared" si="232"/>
        <v>92.793999999999997</v>
      </c>
      <c r="C564" s="337">
        <f t="shared" si="213"/>
        <v>520.89925496866022</v>
      </c>
      <c r="D564" s="338">
        <f t="shared" si="214"/>
        <v>1.5688765685984567</v>
      </c>
      <c r="E564" s="338">
        <f t="shared" si="215"/>
        <v>1.0268349704477671</v>
      </c>
      <c r="F564" s="339">
        <f t="shared" si="216"/>
        <v>0.22912137491665416</v>
      </c>
      <c r="G564" s="338">
        <f t="shared" si="217"/>
        <v>1</v>
      </c>
      <c r="H564" s="339">
        <f t="shared" si="218"/>
        <v>0</v>
      </c>
      <c r="I564" s="337">
        <f t="shared" si="219"/>
        <v>306131.46522087295</v>
      </c>
      <c r="J564" s="340">
        <f t="shared" si="220"/>
        <v>1.5707930602244404</v>
      </c>
      <c r="K564" s="348">
        <f t="shared" si="236"/>
        <v>151.0811257966966</v>
      </c>
      <c r="L564" s="349">
        <f t="shared" si="237"/>
        <v>1.5641773179899015</v>
      </c>
      <c r="M564" s="337">
        <f t="shared" si="221"/>
        <v>1.0444721455669559</v>
      </c>
      <c r="N564" s="340">
        <f t="shared" si="222"/>
        <v>0.29286248983399549</v>
      </c>
      <c r="O564" s="341">
        <f t="shared" si="223"/>
        <v>0.91496289461449065</v>
      </c>
      <c r="P564" s="342">
        <f t="shared" si="224"/>
        <v>0.15263615721057736</v>
      </c>
      <c r="Q564" s="343">
        <f t="shared" si="225"/>
        <v>-23.116735911619557</v>
      </c>
      <c r="R564" s="344">
        <f t="shared" si="226"/>
        <v>-102.66656465884098</v>
      </c>
      <c r="S564" s="346">
        <f t="shared" si="227"/>
        <v>77.333435341159017</v>
      </c>
      <c r="U564" s="319">
        <f t="shared" si="233"/>
        <v>92794</v>
      </c>
      <c r="V564" s="319">
        <f t="shared" si="234"/>
        <v>8610726436</v>
      </c>
      <c r="X564" s="345">
        <f t="shared" si="228"/>
        <v>31.19533199466051</v>
      </c>
      <c r="Y564" s="346">
        <f t="shared" si="229"/>
        <v>-17.158838773173283</v>
      </c>
      <c r="AA564" s="345">
        <f t="shared" si="230"/>
        <v>-5.5641011023304205</v>
      </c>
      <c r="AB564" s="346">
        <f t="shared" si="231"/>
        <v>-85.507725885667696</v>
      </c>
      <c r="AD564">
        <f t="shared" si="235"/>
        <v>0</v>
      </c>
      <c r="AE564">
        <f t="shared" si="238"/>
        <v>0</v>
      </c>
    </row>
    <row r="565" spans="1:31" x14ac:dyDescent="0.2">
      <c r="A565" s="347">
        <v>93325</v>
      </c>
      <c r="B565" s="364">
        <f t="shared" si="232"/>
        <v>93.325000000000003</v>
      </c>
      <c r="C565" s="337">
        <f t="shared" si="213"/>
        <v>523.88001329244662</v>
      </c>
      <c r="D565" s="338">
        <f t="shared" si="214"/>
        <v>1.5688874916</v>
      </c>
      <c r="E565" s="338">
        <f t="shared" si="215"/>
        <v>1.0271388979744729</v>
      </c>
      <c r="F565" s="339">
        <f t="shared" si="216"/>
        <v>0.23038670743404477</v>
      </c>
      <c r="G565" s="338">
        <f t="shared" si="217"/>
        <v>1</v>
      </c>
      <c r="H565" s="339">
        <f t="shared" si="218"/>
        <v>0</v>
      </c>
      <c r="I565" s="337">
        <f t="shared" si="219"/>
        <v>307883.25744914799</v>
      </c>
      <c r="J565" s="340">
        <f t="shared" si="220"/>
        <v>1.5707930788105526</v>
      </c>
      <c r="K565" s="348">
        <f t="shared" si="236"/>
        <v>151.94562752233045</v>
      </c>
      <c r="L565" s="349">
        <f t="shared" si="237"/>
        <v>1.5642149776941106</v>
      </c>
      <c r="M565" s="337">
        <f t="shared" si="221"/>
        <v>1.0449715863927516</v>
      </c>
      <c r="N565" s="340">
        <f t="shared" si="222"/>
        <v>0.29444340331198199</v>
      </c>
      <c r="O565" s="341">
        <f t="shared" si="223"/>
        <v>0.91399909386772071</v>
      </c>
      <c r="P565" s="342">
        <f t="shared" si="224"/>
        <v>0.15367966886071974</v>
      </c>
      <c r="Q565" s="343">
        <f t="shared" si="225"/>
        <v>-23.158727479676195</v>
      </c>
      <c r="R565" s="344">
        <f t="shared" si="226"/>
        <v>-102.74290409417586</v>
      </c>
      <c r="S565" s="346">
        <f t="shared" si="227"/>
        <v>77.257095905824144</v>
      </c>
      <c r="U565" s="319">
        <f t="shared" si="233"/>
        <v>93325</v>
      </c>
      <c r="V565" s="319">
        <f t="shared" si="234"/>
        <v>8709555625</v>
      </c>
      <c r="X565" s="345">
        <f t="shared" si="228"/>
        <v>31.191177450111791</v>
      </c>
      <c r="Y565" s="346">
        <f t="shared" si="229"/>
        <v>-17.247261766135193</v>
      </c>
      <c r="AA565" s="345">
        <f t="shared" si="230"/>
        <v>-5.6019381258383447</v>
      </c>
      <c r="AB565" s="346">
        <f t="shared" si="231"/>
        <v>-85.495642328040674</v>
      </c>
      <c r="AD565">
        <f t="shared" si="235"/>
        <v>0</v>
      </c>
      <c r="AE565">
        <f t="shared" si="238"/>
        <v>0</v>
      </c>
    </row>
    <row r="566" spans="1:31" x14ac:dyDescent="0.2">
      <c r="A566" s="347">
        <v>93868.5</v>
      </c>
      <c r="B566" s="364">
        <f t="shared" si="232"/>
        <v>93.868499999999997</v>
      </c>
      <c r="C566" s="337">
        <f t="shared" si="213"/>
        <v>526.93094019066859</v>
      </c>
      <c r="D566" s="338">
        <f t="shared" si="214"/>
        <v>1.5688985437573286</v>
      </c>
      <c r="E566" s="338">
        <f t="shared" si="215"/>
        <v>1.0274516821252695</v>
      </c>
      <c r="F566" s="339">
        <f t="shared" si="216"/>
        <v>0.23168104913966855</v>
      </c>
      <c r="G566" s="338">
        <f t="shared" si="217"/>
        <v>1</v>
      </c>
      <c r="H566" s="339">
        <f t="shared" si="218"/>
        <v>0</v>
      </c>
      <c r="I566" s="337">
        <f t="shared" si="219"/>
        <v>309676.28772422805</v>
      </c>
      <c r="J566" s="340">
        <f t="shared" si="220"/>
        <v>1.5707930976164297</v>
      </c>
      <c r="K566" s="348">
        <f t="shared" si="236"/>
        <v>152.83048026249423</v>
      </c>
      <c r="L566" s="349">
        <f t="shared" si="237"/>
        <v>1.5642530827117012</v>
      </c>
      <c r="M566" s="337">
        <f t="shared" si="221"/>
        <v>1.0454854863100675</v>
      </c>
      <c r="N566" s="340">
        <f t="shared" si="222"/>
        <v>0.2960599639204507</v>
      </c>
      <c r="O566" s="341">
        <f t="shared" si="223"/>
        <v>0.91300722642346366</v>
      </c>
      <c r="P566" s="342">
        <f t="shared" si="224"/>
        <v>0.15475112103900809</v>
      </c>
      <c r="Q566" s="343">
        <f t="shared" si="225"/>
        <v>-23.201361957997747</v>
      </c>
      <c r="R566" s="344">
        <f t="shared" si="226"/>
        <v>-102.82120662802434</v>
      </c>
      <c r="S566" s="346">
        <f t="shared" si="227"/>
        <v>77.178793371975658</v>
      </c>
      <c r="U566" s="319">
        <f t="shared" si="233"/>
        <v>93868.5</v>
      </c>
      <c r="V566" s="319">
        <f t="shared" si="234"/>
        <v>8811295292.25</v>
      </c>
      <c r="X566" s="345">
        <f t="shared" si="228"/>
        <v>31.186904749806867</v>
      </c>
      <c r="Y566" s="346">
        <f t="shared" si="229"/>
        <v>-17.33770168724206</v>
      </c>
      <c r="AA566" s="345">
        <f t="shared" si="230"/>
        <v>-5.6402999038549693</v>
      </c>
      <c r="AB566" s="346">
        <f t="shared" si="231"/>
        <v>-85.483504940782254</v>
      </c>
      <c r="AD566">
        <f t="shared" si="235"/>
        <v>0</v>
      </c>
      <c r="AE566">
        <f t="shared" si="238"/>
        <v>0</v>
      </c>
    </row>
    <row r="567" spans="1:31" x14ac:dyDescent="0.2">
      <c r="A567" s="347">
        <v>94412</v>
      </c>
      <c r="B567" s="364">
        <f t="shared" si="232"/>
        <v>94.412000000000006</v>
      </c>
      <c r="C567" s="337">
        <f t="shared" si="213"/>
        <v>529.98186715251427</v>
      </c>
      <c r="D567" s="338">
        <f t="shared" si="214"/>
        <v>1.56890946866757</v>
      </c>
      <c r="E567" s="338">
        <f t="shared" si="215"/>
        <v>1.0277661865374932</v>
      </c>
      <c r="F567" s="339">
        <f t="shared" si="216"/>
        <v>0.23297460085413266</v>
      </c>
      <c r="G567" s="338">
        <f t="shared" si="217"/>
        <v>1</v>
      </c>
      <c r="H567" s="339">
        <f t="shared" si="218"/>
        <v>0</v>
      </c>
      <c r="I567" s="337">
        <f t="shared" si="219"/>
        <v>311469.31799930835</v>
      </c>
      <c r="J567" s="340">
        <f t="shared" si="220"/>
        <v>1.5707931162057882</v>
      </c>
      <c r="K567" s="348">
        <f t="shared" si="236"/>
        <v>153.71533322201194</v>
      </c>
      <c r="L567" s="349">
        <f t="shared" si="237"/>
        <v>1.564290749030917</v>
      </c>
      <c r="M567" s="337">
        <f t="shared" si="221"/>
        <v>1.0460021156726069</v>
      </c>
      <c r="N567" s="340">
        <f t="shared" si="222"/>
        <v>0.29767493187966582</v>
      </c>
      <c r="O567" s="341">
        <f t="shared" si="223"/>
        <v>0.91200992466162045</v>
      </c>
      <c r="P567" s="342">
        <f t="shared" si="224"/>
        <v>0.15582601953935779</v>
      </c>
      <c r="Q567" s="343">
        <f t="shared" si="225"/>
        <v>-23.243650035220121</v>
      </c>
      <c r="R567" s="344">
        <f t="shared" si="226"/>
        <v>-102.89967846509947</v>
      </c>
      <c r="S567" s="346">
        <f t="shared" si="227"/>
        <v>77.10032153490053</v>
      </c>
      <c r="U567" s="319">
        <f t="shared" si="233"/>
        <v>94412</v>
      </c>
      <c r="V567" s="319">
        <f t="shared" si="234"/>
        <v>8913625744</v>
      </c>
      <c r="X567" s="345">
        <f t="shared" si="228"/>
        <v>31.182611520480489</v>
      </c>
      <c r="Y567" s="346">
        <f t="shared" si="229"/>
        <v>-17.428075479428138</v>
      </c>
      <c r="AA567" s="345">
        <f t="shared" si="230"/>
        <v>-5.6782947517509701</v>
      </c>
      <c r="AB567" s="346">
        <f t="shared" si="231"/>
        <v>-85.471602985671311</v>
      </c>
      <c r="AD567">
        <f t="shared" si="235"/>
        <v>0</v>
      </c>
      <c r="AE567">
        <f t="shared" si="238"/>
        <v>0</v>
      </c>
    </row>
    <row r="568" spans="1:31" x14ac:dyDescent="0.2">
      <c r="A568" s="347">
        <v>94955.5</v>
      </c>
      <c r="B568" s="364">
        <f t="shared" si="232"/>
        <v>94.955500000000001</v>
      </c>
      <c r="C568" s="337">
        <f t="shared" si="213"/>
        <v>533.03279417689112</v>
      </c>
      <c r="D568" s="338">
        <f t="shared" si="214"/>
        <v>1.5689202685156991</v>
      </c>
      <c r="E568" s="338">
        <f t="shared" si="215"/>
        <v>1.0280824096323899</v>
      </c>
      <c r="F568" s="339">
        <f t="shared" si="216"/>
        <v>0.23426735897550033</v>
      </c>
      <c r="G568" s="338">
        <f t="shared" si="217"/>
        <v>1</v>
      </c>
      <c r="H568" s="339">
        <f t="shared" si="218"/>
        <v>0</v>
      </c>
      <c r="I568" s="337">
        <f t="shared" si="219"/>
        <v>313262.34827438864</v>
      </c>
      <c r="J568" s="340">
        <f t="shared" si="220"/>
        <v>1.5707931345823454</v>
      </c>
      <c r="K568" s="348">
        <f t="shared" si="236"/>
        <v>154.60018639711708</v>
      </c>
      <c r="L568" s="349">
        <f t="shared" si="237"/>
        <v>1.5643279841843125</v>
      </c>
      <c r="M568" s="337">
        <f t="shared" si="221"/>
        <v>1.0465214704380876</v>
      </c>
      <c r="N568" s="340">
        <f t="shared" si="222"/>
        <v>0.29928830113051935</v>
      </c>
      <c r="O568" s="341">
        <f t="shared" si="223"/>
        <v>0.91100719531305785</v>
      </c>
      <c r="P568" s="342">
        <f t="shared" si="224"/>
        <v>0.15690439614805182</v>
      </c>
      <c r="Q568" s="343">
        <f t="shared" si="225"/>
        <v>-23.28559488817001</v>
      </c>
      <c r="R568" s="344">
        <f t="shared" si="226"/>
        <v>-102.97832097965484</v>
      </c>
      <c r="S568" s="346">
        <f t="shared" si="227"/>
        <v>77.021679020345161</v>
      </c>
      <c r="U568" s="319">
        <f t="shared" si="233"/>
        <v>94955.5</v>
      </c>
      <c r="V568" s="319">
        <f t="shared" si="234"/>
        <v>9016546980.25</v>
      </c>
      <c r="X568" s="345">
        <f t="shared" si="228"/>
        <v>31.178297826334109</v>
      </c>
      <c r="Y568" s="346">
        <f t="shared" si="229"/>
        <v>-17.518382364161504</v>
      </c>
      <c r="AA568" s="345">
        <f t="shared" si="230"/>
        <v>-5.7159259105544766</v>
      </c>
      <c r="AB568" s="346">
        <f t="shared" si="231"/>
        <v>-85.459938615493343</v>
      </c>
      <c r="AD568">
        <f t="shared" si="235"/>
        <v>0</v>
      </c>
      <c r="AE568">
        <f t="shared" si="238"/>
        <v>0</v>
      </c>
    </row>
    <row r="569" spans="1:31" x14ac:dyDescent="0.2">
      <c r="A569" s="347">
        <v>95499</v>
      </c>
      <c r="B569" s="364">
        <f t="shared" si="232"/>
        <v>95.498999999999995</v>
      </c>
      <c r="C569" s="337">
        <f t="shared" si="213"/>
        <v>536.08372126273139</v>
      </c>
      <c r="D569" s="338">
        <f t="shared" si="214"/>
        <v>1.5689309454369511</v>
      </c>
      <c r="E569" s="338">
        <f t="shared" si="215"/>
        <v>1.0284003498245249</v>
      </c>
      <c r="F569" s="339">
        <f t="shared" si="216"/>
        <v>0.23555931991686316</v>
      </c>
      <c r="G569" s="338">
        <f t="shared" si="217"/>
        <v>1</v>
      </c>
      <c r="H569" s="339">
        <f t="shared" si="218"/>
        <v>0</v>
      </c>
      <c r="I569" s="337">
        <f t="shared" si="219"/>
        <v>315055.37854946905</v>
      </c>
      <c r="J569" s="340">
        <f t="shared" si="220"/>
        <v>1.5707931527497347</v>
      </c>
      <c r="K569" s="348">
        <f t="shared" si="236"/>
        <v>155.48503978412904</v>
      </c>
      <c r="L569" s="349">
        <f t="shared" si="237"/>
        <v>1.5643647955329778</v>
      </c>
      <c r="M569" s="337">
        <f t="shared" si="221"/>
        <v>1.0470435465509451</v>
      </c>
      <c r="N569" s="340">
        <f t="shared" si="222"/>
        <v>0.3009000656591842</v>
      </c>
      <c r="O569" s="341">
        <f t="shared" si="223"/>
        <v>0.90999904518316632</v>
      </c>
      <c r="P569" s="342">
        <f t="shared" si="224"/>
        <v>0.15798628290229164</v>
      </c>
      <c r="Q569" s="343">
        <f t="shared" si="225"/>
        <v>-23.327199635599744</v>
      </c>
      <c r="R569" s="344">
        <f t="shared" si="226"/>
        <v>-103.05713556902346</v>
      </c>
      <c r="S569" s="346">
        <f t="shared" si="227"/>
        <v>76.942864430976542</v>
      </c>
      <c r="U569" s="319">
        <f t="shared" si="233"/>
        <v>95499</v>
      </c>
      <c r="V569" s="319">
        <f t="shared" si="234"/>
        <v>9120059001</v>
      </c>
      <c r="X569" s="345">
        <f t="shared" si="228"/>
        <v>31.173963731750533</v>
      </c>
      <c r="Y569" s="346">
        <f t="shared" si="229"/>
        <v>-17.608621575324033</v>
      </c>
      <c r="AA569" s="345">
        <f t="shared" si="230"/>
        <v>-5.7531965634006372</v>
      </c>
      <c r="AB569" s="346">
        <f t="shared" si="231"/>
        <v>-85.448513993699436</v>
      </c>
      <c r="AD569">
        <f t="shared" si="235"/>
        <v>0</v>
      </c>
      <c r="AE569">
        <f t="shared" si="238"/>
        <v>0</v>
      </c>
    </row>
    <row r="570" spans="1:31" x14ac:dyDescent="0.2">
      <c r="A570" s="347">
        <v>96611.5</v>
      </c>
      <c r="B570" s="364">
        <f t="shared" si="232"/>
        <v>96.611500000000007</v>
      </c>
      <c r="C570" s="337">
        <f t="shared" si="213"/>
        <v>542.32871939483277</v>
      </c>
      <c r="D570" s="338">
        <f t="shared" si="214"/>
        <v>1.5689524256130118</v>
      </c>
      <c r="E570" s="338">
        <f t="shared" si="215"/>
        <v>1.0290564952504611</v>
      </c>
      <c r="F570" s="339">
        <f t="shared" si="216"/>
        <v>0.23820135725060695</v>
      </c>
      <c r="G570" s="338">
        <f t="shared" si="217"/>
        <v>1</v>
      </c>
      <c r="H570" s="339">
        <f t="shared" si="218"/>
        <v>0</v>
      </c>
      <c r="I570" s="337">
        <f t="shared" si="219"/>
        <v>318725.56471511244</v>
      </c>
      <c r="J570" s="340">
        <f t="shared" si="220"/>
        <v>1.5707931892994751</v>
      </c>
      <c r="K570" s="348">
        <f t="shared" si="236"/>
        <v>157.29626286421077</v>
      </c>
      <c r="L570" s="349">
        <f t="shared" si="237"/>
        <v>1.5644388538450227</v>
      </c>
      <c r="M570" s="337">
        <f t="shared" si="221"/>
        <v>1.0481206627168775</v>
      </c>
      <c r="N570" s="340">
        <f t="shared" si="222"/>
        <v>0.30419418646671015</v>
      </c>
      <c r="O570" s="341">
        <f t="shared" si="223"/>
        <v>0.90791856929726666</v>
      </c>
      <c r="P570" s="342">
        <f t="shared" si="224"/>
        <v>0.16021189865002053</v>
      </c>
      <c r="Q570" s="343">
        <f t="shared" si="225"/>
        <v>-23.41131338298398</v>
      </c>
      <c r="R570" s="344">
        <f t="shared" si="226"/>
        <v>-103.2190051781684</v>
      </c>
      <c r="S570" s="346">
        <f t="shared" si="227"/>
        <v>76.780994821831598</v>
      </c>
      <c r="U570" s="319">
        <f t="shared" si="233"/>
        <v>96611.5</v>
      </c>
      <c r="V570" s="319">
        <f t="shared" si="234"/>
        <v>9333781932.25</v>
      </c>
      <c r="X570" s="345">
        <f t="shared" si="228"/>
        <v>31.165028850132238</v>
      </c>
      <c r="Y570" s="346">
        <f t="shared" si="229"/>
        <v>-17.793119660440144</v>
      </c>
      <c r="AA570" s="345">
        <f t="shared" si="230"/>
        <v>-5.8283754291665693</v>
      </c>
      <c r="AB570" s="346">
        <f t="shared" si="231"/>
        <v>-85.425885517728261</v>
      </c>
      <c r="AD570">
        <f t="shared" si="235"/>
        <v>0</v>
      </c>
      <c r="AE570">
        <f t="shared" si="238"/>
        <v>0</v>
      </c>
    </row>
    <row r="571" spans="1:31" x14ac:dyDescent="0.2">
      <c r="A571" s="347">
        <v>97724</v>
      </c>
      <c r="B571" s="364">
        <f t="shared" si="232"/>
        <v>97.724000000000004</v>
      </c>
      <c r="C571" s="337">
        <f t="shared" si="213"/>
        <v>548.57371777146636</v>
      </c>
      <c r="D571" s="338">
        <f t="shared" si="214"/>
        <v>1.568973416725679</v>
      </c>
      <c r="E571" s="338">
        <f t="shared" si="215"/>
        <v>1.0297198146789135</v>
      </c>
      <c r="F571" s="339">
        <f t="shared" si="216"/>
        <v>0.24084000911633127</v>
      </c>
      <c r="G571" s="338">
        <f t="shared" si="217"/>
        <v>1</v>
      </c>
      <c r="H571" s="339">
        <f t="shared" si="218"/>
        <v>0</v>
      </c>
      <c r="I571" s="337">
        <f t="shared" si="219"/>
        <v>322395.75088075618</v>
      </c>
      <c r="J571" s="340">
        <f t="shared" si="220"/>
        <v>1.5707932250170435</v>
      </c>
      <c r="K571" s="348">
        <f t="shared" si="236"/>
        <v>159.10748678736329</v>
      </c>
      <c r="L571" s="349">
        <f t="shared" si="237"/>
        <v>1.5645112260496667</v>
      </c>
      <c r="M571" s="337">
        <f t="shared" si="221"/>
        <v>1.0492091288594441</v>
      </c>
      <c r="N571" s="340">
        <f t="shared" si="222"/>
        <v>0.30748150813832509</v>
      </c>
      <c r="O571" s="341">
        <f t="shared" si="223"/>
        <v>0.90581546994830953</v>
      </c>
      <c r="P571" s="342">
        <f t="shared" si="224"/>
        <v>0.16245263736167748</v>
      </c>
      <c r="Q571" s="343">
        <f t="shared" si="225"/>
        <v>-23.494040442457976</v>
      </c>
      <c r="R571" s="344">
        <f t="shared" si="226"/>
        <v>-103.38161421844774</v>
      </c>
      <c r="S571" s="346">
        <f t="shared" si="227"/>
        <v>76.618385781552263</v>
      </c>
      <c r="U571" s="319">
        <f t="shared" si="233"/>
        <v>97724</v>
      </c>
      <c r="V571" s="319">
        <f t="shared" si="234"/>
        <v>9549980176</v>
      </c>
      <c r="X571" s="345">
        <f t="shared" si="228"/>
        <v>31.1560093198926</v>
      </c>
      <c r="Y571" s="346">
        <f t="shared" si="229"/>
        <v>-17.977324742921819</v>
      </c>
      <c r="AA571" s="345">
        <f t="shared" si="230"/>
        <v>-5.9020829584009329</v>
      </c>
      <c r="AB571" s="346">
        <f t="shared" si="231"/>
        <v>-85.4042894755259</v>
      </c>
      <c r="AD571">
        <f t="shared" si="235"/>
        <v>0</v>
      </c>
      <c r="AE571">
        <f t="shared" si="238"/>
        <v>0</v>
      </c>
    </row>
    <row r="572" spans="1:31" x14ac:dyDescent="0.2">
      <c r="A572" s="347">
        <v>98862</v>
      </c>
      <c r="B572" s="364">
        <f t="shared" si="232"/>
        <v>98.861999999999995</v>
      </c>
      <c r="C572" s="337">
        <f t="shared" si="213"/>
        <v>554.96186017551236</v>
      </c>
      <c r="D572" s="338">
        <f t="shared" si="214"/>
        <v>1.5689944001889122</v>
      </c>
      <c r="E572" s="338">
        <f t="shared" si="215"/>
        <v>1.0304057463817153</v>
      </c>
      <c r="F572" s="339">
        <f t="shared" si="216"/>
        <v>0.24353560823271073</v>
      </c>
      <c r="G572" s="338">
        <f t="shared" si="217"/>
        <v>1</v>
      </c>
      <c r="H572" s="339">
        <f t="shared" si="218"/>
        <v>0</v>
      </c>
      <c r="I572" s="337">
        <f t="shared" si="219"/>
        <v>326150.06266188249</v>
      </c>
      <c r="J572" s="340">
        <f t="shared" si="220"/>
        <v>1.5707932607215933</v>
      </c>
      <c r="K572" s="348">
        <f t="shared" si="236"/>
        <v>160.96022724754152</v>
      </c>
      <c r="L572" s="349">
        <f t="shared" si="237"/>
        <v>1.5645835719412093</v>
      </c>
      <c r="M572" s="337">
        <f t="shared" si="221"/>
        <v>1.0503342505172375</v>
      </c>
      <c r="N572" s="340">
        <f t="shared" si="222"/>
        <v>0.31083709305159507</v>
      </c>
      <c r="O572" s="341">
        <f t="shared" si="223"/>
        <v>0.90364082148025471</v>
      </c>
      <c r="P572" s="342">
        <f t="shared" si="224"/>
        <v>0.1647606808065766</v>
      </c>
      <c r="Q572" s="343">
        <f t="shared" si="225"/>
        <v>-23.577254643079804</v>
      </c>
      <c r="R572" s="344">
        <f t="shared" si="226"/>
        <v>-103.54872896301698</v>
      </c>
      <c r="S572" s="346">
        <f t="shared" si="227"/>
        <v>76.451271036983016</v>
      </c>
      <c r="U572" s="319">
        <f t="shared" si="233"/>
        <v>98862</v>
      </c>
      <c r="V572" s="319">
        <f t="shared" si="234"/>
        <v>9773695044</v>
      </c>
      <c r="X572" s="345">
        <f t="shared" si="228"/>
        <v>31.146696051275924</v>
      </c>
      <c r="Y572" s="346">
        <f t="shared" si="229"/>
        <v>-18.165442527934431</v>
      </c>
      <c r="AA572" s="345">
        <f t="shared" si="230"/>
        <v>-5.9759838904060869</v>
      </c>
      <c r="AB572" s="346">
        <f t="shared" si="231"/>
        <v>-85.383286435082553</v>
      </c>
      <c r="AD572">
        <f t="shared" si="235"/>
        <v>0</v>
      </c>
      <c r="AE572">
        <f t="shared" si="238"/>
        <v>0</v>
      </c>
    </row>
    <row r="573" spans="1:31" x14ac:dyDescent="0.2">
      <c r="A573" s="347">
        <v>100000</v>
      </c>
      <c r="B573" s="364">
        <f t="shared" si="232"/>
        <v>100</v>
      </c>
      <c r="C573" s="337">
        <f t="shared" si="213"/>
        <v>561.35000281834982</v>
      </c>
      <c r="D573" s="338">
        <f t="shared" si="214"/>
        <v>1.5690149060700556</v>
      </c>
      <c r="E573" s="338">
        <f t="shared" si="215"/>
        <v>1.0310991552816915</v>
      </c>
      <c r="F573" s="339">
        <f t="shared" si="216"/>
        <v>0.24622760133479116</v>
      </c>
      <c r="G573" s="338">
        <f t="shared" si="217"/>
        <v>1</v>
      </c>
      <c r="H573" s="339">
        <f t="shared" si="218"/>
        <v>0</v>
      </c>
      <c r="I573" s="337">
        <f t="shared" si="219"/>
        <v>329904.37444300926</v>
      </c>
      <c r="J573" s="340">
        <f t="shared" si="220"/>
        <v>1.5707932956135076</v>
      </c>
      <c r="K573" s="348">
        <f t="shared" si="236"/>
        <v>162.81296853100051</v>
      </c>
      <c r="L573" s="349">
        <f t="shared" si="237"/>
        <v>1.5646542713030975</v>
      </c>
      <c r="M573" s="337">
        <f t="shared" si="221"/>
        <v>1.0514711734984747</v>
      </c>
      <c r="N573" s="340">
        <f t="shared" si="222"/>
        <v>0.31418545902110989</v>
      </c>
      <c r="O573" s="341">
        <f t="shared" si="223"/>
        <v>0.90144263198769925</v>
      </c>
      <c r="P573" s="342">
        <f t="shared" si="224"/>
        <v>0.16708515670543403</v>
      </c>
      <c r="Q573" s="343">
        <f t="shared" si="225"/>
        <v>-23.659068989824284</v>
      </c>
      <c r="R573" s="344">
        <f t="shared" si="226"/>
        <v>-103.71664514143781</v>
      </c>
      <c r="S573" s="346">
        <f t="shared" si="227"/>
        <v>76.283354858562191</v>
      </c>
      <c r="U573" s="319">
        <f t="shared" si="233"/>
        <v>100000</v>
      </c>
      <c r="V573" s="319">
        <f t="shared" si="234"/>
        <v>10000000000</v>
      </c>
      <c r="X573" s="345">
        <f t="shared" si="228"/>
        <v>31.137295395056356</v>
      </c>
      <c r="Y573" s="346">
        <f t="shared" si="229"/>
        <v>-18.353240990576417</v>
      </c>
      <c r="AA573" s="345">
        <f t="shared" si="230"/>
        <v>-6.0483975809309998</v>
      </c>
      <c r="AB573" s="346">
        <f t="shared" si="231"/>
        <v>-85.363404150861413</v>
      </c>
      <c r="AD573">
        <f t="shared" si="235"/>
        <v>0</v>
      </c>
      <c r="AE573">
        <f t="shared" si="238"/>
        <v>0</v>
      </c>
    </row>
    <row r="574" spans="1:31" x14ac:dyDescent="0.2">
      <c r="A574" s="347">
        <v>101165</v>
      </c>
      <c r="B574" s="364">
        <f t="shared" si="232"/>
        <v>101.16500000000001</v>
      </c>
      <c r="C574" s="337">
        <f t="shared" si="213"/>
        <v>567.88970971713991</v>
      </c>
      <c r="D574" s="338">
        <f t="shared" si="214"/>
        <v>1.569035420584258</v>
      </c>
      <c r="E574" s="338">
        <f t="shared" si="215"/>
        <v>1.0318167455526095</v>
      </c>
      <c r="F574" s="339">
        <f t="shared" si="216"/>
        <v>0.24897969575539144</v>
      </c>
      <c r="G574" s="338">
        <f t="shared" si="217"/>
        <v>1</v>
      </c>
      <c r="H574" s="339">
        <f t="shared" si="218"/>
        <v>0</v>
      </c>
      <c r="I574" s="337">
        <f t="shared" si="219"/>
        <v>333747.76040523523</v>
      </c>
      <c r="J574" s="340">
        <f t="shared" si="220"/>
        <v>1.5707933305201087</v>
      </c>
      <c r="K574" s="348">
        <f t="shared" si="236"/>
        <v>164.70966847187978</v>
      </c>
      <c r="L574" s="349">
        <f t="shared" si="237"/>
        <v>1.5647250004859758</v>
      </c>
      <c r="M574" s="337">
        <f t="shared" si="221"/>
        <v>1.0526472556401576</v>
      </c>
      <c r="N574" s="340">
        <f t="shared" si="222"/>
        <v>0.31760573604586462</v>
      </c>
      <c r="O574" s="341">
        <f t="shared" si="223"/>
        <v>0.89916797499029133</v>
      </c>
      <c r="P574" s="342">
        <f t="shared" si="224"/>
        <v>0.16948213396565268</v>
      </c>
      <c r="Q574" s="343">
        <f t="shared" si="225"/>
        <v>-23.741399906238549</v>
      </c>
      <c r="R574" s="344">
        <f t="shared" si="226"/>
        <v>-103.88939077681283</v>
      </c>
      <c r="S574" s="346">
        <f t="shared" si="227"/>
        <v>76.110609223187168</v>
      </c>
      <c r="U574" s="319">
        <f t="shared" si="233"/>
        <v>101165</v>
      </c>
      <c r="V574" s="319">
        <f t="shared" si="234"/>
        <v>10234357225</v>
      </c>
      <c r="X574" s="345">
        <f t="shared" si="228"/>
        <v>31.127581808990918</v>
      </c>
      <c r="Y574" s="346">
        <f t="shared" si="229"/>
        <v>-18.545157945413305</v>
      </c>
      <c r="AA574" s="345">
        <f t="shared" si="230"/>
        <v>-6.121014911279822</v>
      </c>
      <c r="AB574" s="346">
        <f t="shared" si="231"/>
        <v>-85.344232831399538</v>
      </c>
      <c r="AD574">
        <f t="shared" si="235"/>
        <v>0</v>
      </c>
      <c r="AE574">
        <f t="shared" si="238"/>
        <v>0</v>
      </c>
    </row>
    <row r="575" spans="1:31" x14ac:dyDescent="0.2">
      <c r="A575" s="347">
        <v>102330</v>
      </c>
      <c r="B575" s="364">
        <f t="shared" si="232"/>
        <v>102.33</v>
      </c>
      <c r="C575" s="337">
        <f t="shared" si="213"/>
        <v>574.4294168494821</v>
      </c>
      <c r="D575" s="338">
        <f t="shared" si="214"/>
        <v>1.5690554679952498</v>
      </c>
      <c r="E575" s="338">
        <f t="shared" si="215"/>
        <v>1.032542139931057</v>
      </c>
      <c r="F575" s="339">
        <f t="shared" si="216"/>
        <v>0.25172794409566823</v>
      </c>
      <c r="G575" s="338">
        <f t="shared" si="217"/>
        <v>1</v>
      </c>
      <c r="H575" s="339">
        <f t="shared" si="218"/>
        <v>0</v>
      </c>
      <c r="I575" s="337">
        <f t="shared" si="219"/>
        <v>337591.1463674616</v>
      </c>
      <c r="J575" s="340">
        <f t="shared" si="220"/>
        <v>1.5707933646319052</v>
      </c>
      <c r="K575" s="348">
        <f t="shared" si="236"/>
        <v>166.60636921797766</v>
      </c>
      <c r="L575" s="349">
        <f t="shared" si="237"/>
        <v>1.5647941192614454</v>
      </c>
      <c r="M575" s="337">
        <f t="shared" si="221"/>
        <v>1.0538356243906839</v>
      </c>
      <c r="N575" s="340">
        <f t="shared" si="222"/>
        <v>0.32101833909537619</v>
      </c>
      <c r="O575" s="341">
        <f t="shared" si="223"/>
        <v>0.89686879428358912</v>
      </c>
      <c r="P575" s="342">
        <f t="shared" si="224"/>
        <v>0.17189700755586723</v>
      </c>
      <c r="Q575" s="343">
        <f t="shared" si="225"/>
        <v>-23.822314644918386</v>
      </c>
      <c r="R575" s="344">
        <f t="shared" si="226"/>
        <v>-104.06300793510934</v>
      </c>
      <c r="S575" s="346">
        <f t="shared" si="227"/>
        <v>75.93699206489066</v>
      </c>
      <c r="U575" s="319">
        <f t="shared" si="233"/>
        <v>102330</v>
      </c>
      <c r="V575" s="319">
        <f t="shared" si="234"/>
        <v>10471428900</v>
      </c>
      <c r="X575" s="345">
        <f t="shared" si="228"/>
        <v>31.117777923817957</v>
      </c>
      <c r="Y575" s="346">
        <f t="shared" si="229"/>
        <v>-18.736727437865149</v>
      </c>
      <c r="AA575" s="345">
        <f t="shared" si="230"/>
        <v>-6.1921257647866987</v>
      </c>
      <c r="AB575" s="346">
        <f t="shared" si="231"/>
        <v>-85.326280497244198</v>
      </c>
      <c r="AD575">
        <f t="shared" si="235"/>
        <v>0</v>
      </c>
      <c r="AE575">
        <f t="shared" si="238"/>
        <v>0</v>
      </c>
    </row>
    <row r="576" spans="1:31" x14ac:dyDescent="0.2">
      <c r="A576" s="347">
        <v>103520</v>
      </c>
      <c r="B576" s="364">
        <f t="shared" si="232"/>
        <v>103.52</v>
      </c>
      <c r="C576" s="337">
        <f t="shared" si="213"/>
        <v>581.10946127767465</v>
      </c>
      <c r="D576" s="338">
        <f t="shared" si="214"/>
        <v>1.5690754797597204</v>
      </c>
      <c r="E576" s="338">
        <f t="shared" si="215"/>
        <v>1.0332911407308729</v>
      </c>
      <c r="F576" s="339">
        <f t="shared" si="216"/>
        <v>0.25453116225899713</v>
      </c>
      <c r="G576" s="338">
        <f t="shared" si="217"/>
        <v>1</v>
      </c>
      <c r="H576" s="339">
        <f t="shared" si="218"/>
        <v>0</v>
      </c>
      <c r="I576" s="337">
        <f t="shared" si="219"/>
        <v>341517.00842329831</v>
      </c>
      <c r="J576" s="340">
        <f t="shared" si="220"/>
        <v>1.5707933986830447</v>
      </c>
      <c r="K576" s="348">
        <f t="shared" si="236"/>
        <v>168.54377249988084</v>
      </c>
      <c r="L576" s="349">
        <f t="shared" si="237"/>
        <v>1.5648631151884491</v>
      </c>
      <c r="M576" s="337">
        <f t="shared" si="221"/>
        <v>1.0550621363740809</v>
      </c>
      <c r="N576" s="340">
        <f t="shared" si="222"/>
        <v>0.32449619567162985</v>
      </c>
      <c r="O576" s="341">
        <f t="shared" si="223"/>
        <v>0.89449503662168717</v>
      </c>
      <c r="P576" s="342">
        <f t="shared" si="224"/>
        <v>0.17438254339041756</v>
      </c>
      <c r="Q576" s="343">
        <f t="shared" si="225"/>
        <v>-23.903528961251364</v>
      </c>
      <c r="R576" s="344">
        <f t="shared" si="226"/>
        <v>-104.24126794742975</v>
      </c>
      <c r="S576" s="346">
        <f t="shared" si="227"/>
        <v>75.758732052570252</v>
      </c>
      <c r="U576" s="319">
        <f t="shared" si="233"/>
        <v>103520</v>
      </c>
      <c r="V576" s="319">
        <f t="shared" si="234"/>
        <v>10716390400</v>
      </c>
      <c r="X576" s="345">
        <f t="shared" si="228"/>
        <v>31.107671108498423</v>
      </c>
      <c r="Y576" s="346">
        <f t="shared" si="229"/>
        <v>-18.932042717225155</v>
      </c>
      <c r="AA576" s="345">
        <f t="shared" si="230"/>
        <v>-6.2632332658001406</v>
      </c>
      <c r="AB576" s="346">
        <f t="shared" si="231"/>
        <v>-85.309225230204589</v>
      </c>
      <c r="AD576">
        <f t="shared" si="235"/>
        <v>0</v>
      </c>
      <c r="AE576">
        <f t="shared" si="238"/>
        <v>0</v>
      </c>
    </row>
    <row r="577" spans="1:31" x14ac:dyDescent="0.2">
      <c r="A577" s="347">
        <v>104710</v>
      </c>
      <c r="B577" s="364">
        <f t="shared" si="232"/>
        <v>104.71</v>
      </c>
      <c r="C577" s="337">
        <f t="shared" si="213"/>
        <v>587.78950593329489</v>
      </c>
      <c r="D577" s="338">
        <f t="shared" si="214"/>
        <v>1.5690950366692582</v>
      </c>
      <c r="E577" s="338">
        <f t="shared" si="215"/>
        <v>1.0340482493656979</v>
      </c>
      <c r="F577" s="339">
        <f t="shared" si="216"/>
        <v>0.25733029747517105</v>
      </c>
      <c r="G577" s="338">
        <f t="shared" si="217"/>
        <v>1</v>
      </c>
      <c r="H577" s="339">
        <f t="shared" si="218"/>
        <v>0</v>
      </c>
      <c r="I577" s="337">
        <f t="shared" si="219"/>
        <v>345442.87047913542</v>
      </c>
      <c r="J577" s="340">
        <f t="shared" si="220"/>
        <v>1.5707934319602208</v>
      </c>
      <c r="K577" s="348">
        <f t="shared" si="236"/>
        <v>170.48117656589002</v>
      </c>
      <c r="L577" s="349">
        <f t="shared" si="237"/>
        <v>1.5649305429310307</v>
      </c>
      <c r="M577" s="337">
        <f t="shared" si="221"/>
        <v>1.0563013801215335</v>
      </c>
      <c r="N577" s="340">
        <f t="shared" si="222"/>
        <v>0.32796593375121236</v>
      </c>
      <c r="O577" s="341">
        <f t="shared" si="223"/>
        <v>0.89209585656733481</v>
      </c>
      <c r="P577" s="342">
        <f t="shared" si="224"/>
        <v>0.17688749777064361</v>
      </c>
      <c r="Q577" s="343">
        <f t="shared" si="225"/>
        <v>-23.983316030673485</v>
      </c>
      <c r="R577" s="344">
        <f t="shared" si="226"/>
        <v>-104.42047308524354</v>
      </c>
      <c r="S577" s="346">
        <f t="shared" si="227"/>
        <v>75.579526914756457</v>
      </c>
      <c r="U577" s="319">
        <f t="shared" si="233"/>
        <v>104710</v>
      </c>
      <c r="V577" s="319">
        <f t="shared" si="234"/>
        <v>10964184100</v>
      </c>
      <c r="X577" s="345">
        <f t="shared" si="228"/>
        <v>31.097471459630643</v>
      </c>
      <c r="Y577" s="346">
        <f t="shared" si="229"/>
        <v>-19.126982646993536</v>
      </c>
      <c r="AA577" s="345">
        <f t="shared" si="230"/>
        <v>-6.3328206863544843</v>
      </c>
      <c r="AB577" s="346">
        <f t="shared" si="231"/>
        <v>-85.293490438250018</v>
      </c>
      <c r="AD577">
        <f t="shared" si="235"/>
        <v>0</v>
      </c>
      <c r="AE577">
        <f t="shared" si="238"/>
        <v>0</v>
      </c>
    </row>
    <row r="578" spans="1:31" x14ac:dyDescent="0.2">
      <c r="A578" s="347">
        <v>105930</v>
      </c>
      <c r="B578" s="364">
        <f t="shared" si="232"/>
        <v>105.93</v>
      </c>
      <c r="C578" s="337">
        <f t="shared" si="213"/>
        <v>594.63795530410823</v>
      </c>
      <c r="D578" s="338">
        <f t="shared" si="214"/>
        <v>1.5691146304577714</v>
      </c>
      <c r="E578" s="338">
        <f t="shared" si="215"/>
        <v>1.0348328431523359</v>
      </c>
      <c r="F578" s="339">
        <f t="shared" si="216"/>
        <v>0.26019572399974356</v>
      </c>
      <c r="G578" s="338">
        <f t="shared" si="217"/>
        <v>1</v>
      </c>
      <c r="H578" s="339">
        <f t="shared" si="218"/>
        <v>0</v>
      </c>
      <c r="I578" s="337">
        <f t="shared" si="219"/>
        <v>349467.70384730498</v>
      </c>
      <c r="J578" s="340">
        <f t="shared" si="220"/>
        <v>1.5707934653001463</v>
      </c>
      <c r="K578" s="348">
        <f t="shared" si="236"/>
        <v>172.46742353755383</v>
      </c>
      <c r="L578" s="349">
        <f t="shared" si="237"/>
        <v>1.564998097872857</v>
      </c>
      <c r="M578" s="337">
        <f t="shared" si="221"/>
        <v>1.057585035714989</v>
      </c>
      <c r="N578" s="340">
        <f t="shared" si="222"/>
        <v>0.33151465871995978</v>
      </c>
      <c r="O578" s="341">
        <f t="shared" si="223"/>
        <v>0.88960989171680172</v>
      </c>
      <c r="P578" s="342">
        <f t="shared" si="224"/>
        <v>0.17947616673826838</v>
      </c>
      <c r="Q578" s="343">
        <f t="shared" si="225"/>
        <v>-24.06365803626306</v>
      </c>
      <c r="R578" s="344">
        <f t="shared" si="226"/>
        <v>-104.60519694742668</v>
      </c>
      <c r="S578" s="346">
        <f t="shared" si="227"/>
        <v>75.394803052573323</v>
      </c>
      <c r="U578" s="319">
        <f t="shared" si="233"/>
        <v>105930</v>
      </c>
      <c r="V578" s="319">
        <f t="shared" si="234"/>
        <v>11221164900</v>
      </c>
      <c r="X578" s="345">
        <f t="shared" si="228"/>
        <v>31.086919039138053</v>
      </c>
      <c r="Y578" s="346">
        <f t="shared" si="229"/>
        <v>-19.32644090776849</v>
      </c>
      <c r="AA578" s="345">
        <f t="shared" si="230"/>
        <v>-6.4026102714514685</v>
      </c>
      <c r="AB578" s="346">
        <f t="shared" si="231"/>
        <v>-85.278756039658191</v>
      </c>
      <c r="AD578">
        <f t="shared" si="235"/>
        <v>0</v>
      </c>
      <c r="AE578">
        <f t="shared" si="238"/>
        <v>0</v>
      </c>
    </row>
    <row r="579" spans="1:31" x14ac:dyDescent="0.2">
      <c r="A579" s="347">
        <v>107150</v>
      </c>
      <c r="B579" s="364">
        <f t="shared" si="232"/>
        <v>107.15</v>
      </c>
      <c r="C579" s="337">
        <f t="shared" si="213"/>
        <v>601.48640489801437</v>
      </c>
      <c r="D579" s="338">
        <f t="shared" si="214"/>
        <v>1.5691337780614008</v>
      </c>
      <c r="E579" s="338">
        <f t="shared" si="215"/>
        <v>1.03562592069422</v>
      </c>
      <c r="F579" s="339">
        <f t="shared" si="216"/>
        <v>0.26305678532494647</v>
      </c>
      <c r="G579" s="338">
        <f t="shared" si="217"/>
        <v>1</v>
      </c>
      <c r="H579" s="339">
        <f t="shared" si="218"/>
        <v>0</v>
      </c>
      <c r="I579" s="337">
        <f t="shared" si="219"/>
        <v>353492.53721547493</v>
      </c>
      <c r="J579" s="340">
        <f t="shared" si="220"/>
        <v>1.5707934978808611</v>
      </c>
      <c r="K579" s="348">
        <f t="shared" si="236"/>
        <v>174.45367127837929</v>
      </c>
      <c r="L579" s="349">
        <f t="shared" si="237"/>
        <v>1.5650641145171651</v>
      </c>
      <c r="M579" s="337">
        <f t="shared" si="221"/>
        <v>1.0588819775621472</v>
      </c>
      <c r="N579" s="340">
        <f t="shared" si="222"/>
        <v>0.33505473506773858</v>
      </c>
      <c r="O579" s="341">
        <f t="shared" si="223"/>
        <v>0.8870973929405912</v>
      </c>
      <c r="P579" s="342">
        <f t="shared" si="224"/>
        <v>0.18208607787464726</v>
      </c>
      <c r="Q579" s="343">
        <f t="shared" si="225"/>
        <v>-24.142550145331718</v>
      </c>
      <c r="R579" s="344">
        <f t="shared" si="226"/>
        <v>-104.79095500419396</v>
      </c>
      <c r="S579" s="346">
        <f t="shared" si="227"/>
        <v>75.209044995806039</v>
      </c>
      <c r="U579" s="319">
        <f t="shared" si="233"/>
        <v>107150</v>
      </c>
      <c r="V579" s="319">
        <f t="shared" si="234"/>
        <v>11481122500</v>
      </c>
      <c r="X579" s="345">
        <f t="shared" si="228"/>
        <v>31.076270544742215</v>
      </c>
      <c r="Y579" s="346">
        <f t="shared" si="229"/>
        <v>-19.525491733518738</v>
      </c>
      <c r="AA579" s="345">
        <f t="shared" si="230"/>
        <v>-6.4708538861242912</v>
      </c>
      <c r="AB579" s="346">
        <f t="shared" si="231"/>
        <v>-85.265463270675227</v>
      </c>
      <c r="AD579">
        <f t="shared" si="235"/>
        <v>0</v>
      </c>
      <c r="AE579">
        <f t="shared" si="238"/>
        <v>0</v>
      </c>
    </row>
    <row r="580" spans="1:31" x14ac:dyDescent="0.2">
      <c r="A580" s="347">
        <v>108400</v>
      </c>
      <c r="B580" s="364">
        <f t="shared" si="232"/>
        <v>108.4</v>
      </c>
      <c r="C580" s="337">
        <f t="shared" si="213"/>
        <v>608.50325921364367</v>
      </c>
      <c r="D580" s="338">
        <f t="shared" si="214"/>
        <v>1.5691529494834797</v>
      </c>
      <c r="E580" s="338">
        <f t="shared" si="215"/>
        <v>1.0364472790223269</v>
      </c>
      <c r="F580" s="339">
        <f t="shared" si="216"/>
        <v>0.26598363464494351</v>
      </c>
      <c r="G580" s="338">
        <f t="shared" si="217"/>
        <v>1</v>
      </c>
      <c r="H580" s="339">
        <f t="shared" si="218"/>
        <v>0</v>
      </c>
      <c r="I580" s="337">
        <f t="shared" si="219"/>
        <v>357616.34189597727</v>
      </c>
      <c r="J580" s="340">
        <f t="shared" si="220"/>
        <v>1.5707935305021021</v>
      </c>
      <c r="K580" s="348">
        <f t="shared" si="236"/>
        <v>176.48876194737551</v>
      </c>
      <c r="L580" s="349">
        <f t="shared" si="237"/>
        <v>1.5651302133279938</v>
      </c>
      <c r="M580" s="337">
        <f t="shared" si="221"/>
        <v>1.0602245407703326</v>
      </c>
      <c r="N580" s="340">
        <f t="shared" si="222"/>
        <v>0.3386728328161408</v>
      </c>
      <c r="O580" s="341">
        <f t="shared" si="223"/>
        <v>0.88449569315038712</v>
      </c>
      <c r="P580" s="342">
        <f t="shared" si="224"/>
        <v>0.18478265241508374</v>
      </c>
      <c r="Q580" s="343">
        <f t="shared" si="225"/>
        <v>-24.221903513130819</v>
      </c>
      <c r="R580" s="344">
        <f t="shared" si="226"/>
        <v>-104.98237609000532</v>
      </c>
      <c r="S580" s="346">
        <f t="shared" si="227"/>
        <v>75.017623909994683</v>
      </c>
      <c r="U580" s="319">
        <f t="shared" si="233"/>
        <v>108400</v>
      </c>
      <c r="V580" s="319">
        <f t="shared" si="234"/>
        <v>11750560000</v>
      </c>
      <c r="X580" s="345">
        <f t="shared" si="228"/>
        <v>31.065261353596398</v>
      </c>
      <c r="Y580" s="346">
        <f t="shared" si="229"/>
        <v>-19.729008150768632</v>
      </c>
      <c r="AA580" s="345">
        <f t="shared" si="230"/>
        <v>-6.5391980627775705</v>
      </c>
      <c r="AB580" s="346">
        <f t="shared" si="231"/>
        <v>-85.253367939236668</v>
      </c>
      <c r="AD580">
        <f t="shared" si="235"/>
        <v>0</v>
      </c>
      <c r="AE580">
        <f t="shared" si="238"/>
        <v>0</v>
      </c>
    </row>
    <row r="581" spans="1:31" x14ac:dyDescent="0.2">
      <c r="A581" s="347">
        <v>109650</v>
      </c>
      <c r="B581" s="364">
        <f t="shared" si="232"/>
        <v>109.65</v>
      </c>
      <c r="C581" s="337">
        <f t="shared" si="213"/>
        <v>615.52011374782512</v>
      </c>
      <c r="D581" s="338">
        <f t="shared" si="214"/>
        <v>1.5691716838017993</v>
      </c>
      <c r="E581" s="338">
        <f t="shared" si="215"/>
        <v>1.037277501915749</v>
      </c>
      <c r="F581" s="339">
        <f t="shared" si="216"/>
        <v>0.26890582374321936</v>
      </c>
      <c r="G581" s="338">
        <f t="shared" si="217"/>
        <v>1</v>
      </c>
      <c r="H581" s="339">
        <f t="shared" si="218"/>
        <v>0</v>
      </c>
      <c r="I581" s="337">
        <f t="shared" si="219"/>
        <v>361740.14657648001</v>
      </c>
      <c r="J581" s="340">
        <f t="shared" si="220"/>
        <v>1.570793562379585</v>
      </c>
      <c r="K581" s="348">
        <f t="shared" si="236"/>
        <v>178.52385336988033</v>
      </c>
      <c r="L581" s="349">
        <f t="shared" si="237"/>
        <v>1.5651948051458275</v>
      </c>
      <c r="M581" s="337">
        <f t="shared" si="221"/>
        <v>1.0615809477761784</v>
      </c>
      <c r="N581" s="340">
        <f t="shared" si="222"/>
        <v>0.34228173184962329</v>
      </c>
      <c r="O581" s="341">
        <f t="shared" si="223"/>
        <v>0.88186634923923324</v>
      </c>
      <c r="P581" s="342">
        <f t="shared" si="224"/>
        <v>0.18750245674715496</v>
      </c>
      <c r="Q581" s="343">
        <f t="shared" si="225"/>
        <v>-24.299784860337162</v>
      </c>
      <c r="R581" s="344">
        <f t="shared" si="226"/>
        <v>-105.1749293658555</v>
      </c>
      <c r="S581" s="346">
        <f t="shared" si="227"/>
        <v>74.825070634144495</v>
      </c>
      <c r="U581" s="319">
        <f t="shared" si="233"/>
        <v>109650</v>
      </c>
      <c r="V581" s="319">
        <f t="shared" si="234"/>
        <v>12023122500</v>
      </c>
      <c r="X581" s="345">
        <f t="shared" si="228"/>
        <v>31.054152930564271</v>
      </c>
      <c r="Y581" s="346">
        <f t="shared" si="229"/>
        <v>-19.932083822200344</v>
      </c>
      <c r="AA581" s="345">
        <f t="shared" si="230"/>
        <v>-6.6059709869517853</v>
      </c>
      <c r="AB581" s="346">
        <f t="shared" si="231"/>
        <v>-85.24284554365515</v>
      </c>
      <c r="AD581">
        <f t="shared" si="235"/>
        <v>0</v>
      </c>
      <c r="AE581">
        <f t="shared" si="238"/>
        <v>0</v>
      </c>
    </row>
    <row r="582" spans="1:31" x14ac:dyDescent="0.2">
      <c r="A582" s="347">
        <v>110925</v>
      </c>
      <c r="B582" s="364">
        <f t="shared" si="232"/>
        <v>110.925</v>
      </c>
      <c r="C582" s="337">
        <f t="shared" si="213"/>
        <v>622.67730559018037</v>
      </c>
      <c r="D582" s="338">
        <f t="shared" si="214"/>
        <v>1.5691903578268958</v>
      </c>
      <c r="E582" s="338">
        <f t="shared" si="215"/>
        <v>1.0381334394850141</v>
      </c>
      <c r="F582" s="339">
        <f t="shared" si="216"/>
        <v>0.27188161556705343</v>
      </c>
      <c r="G582" s="338">
        <f t="shared" si="217"/>
        <v>1</v>
      </c>
      <c r="H582" s="339">
        <f t="shared" si="218"/>
        <v>0</v>
      </c>
      <c r="I582" s="337">
        <f t="shared" si="219"/>
        <v>365946.42735059315</v>
      </c>
      <c r="J582" s="340">
        <f t="shared" si="220"/>
        <v>1.5707935941544737</v>
      </c>
      <c r="K582" s="348">
        <f t="shared" si="236"/>
        <v>180.59964737068279</v>
      </c>
      <c r="L582" s="349">
        <f t="shared" si="237"/>
        <v>1.5652591891284646</v>
      </c>
      <c r="M582" s="337">
        <f t="shared" si="221"/>
        <v>1.0629786898393752</v>
      </c>
      <c r="N582" s="340">
        <f t="shared" si="222"/>
        <v>0.34595327157174471</v>
      </c>
      <c r="O582" s="341">
        <f t="shared" si="223"/>
        <v>0.87915605438864908</v>
      </c>
      <c r="P582" s="342">
        <f t="shared" si="224"/>
        <v>0.19030109116958355</v>
      </c>
      <c r="Q582" s="343">
        <f t="shared" si="225"/>
        <v>-24.377732155684551</v>
      </c>
      <c r="R582" s="344">
        <f t="shared" si="226"/>
        <v>-105.37252555798166</v>
      </c>
      <c r="S582" s="346">
        <f t="shared" si="227"/>
        <v>74.62747444201834</v>
      </c>
      <c r="U582" s="319">
        <f t="shared" si="233"/>
        <v>110925</v>
      </c>
      <c r="V582" s="319">
        <f t="shared" si="234"/>
        <v>12304355625</v>
      </c>
      <c r="X582" s="345">
        <f t="shared" si="228"/>
        <v>31.042720967539829</v>
      </c>
      <c r="Y582" s="346">
        <f t="shared" si="229"/>
        <v>-20.138760442922383</v>
      </c>
      <c r="AA582" s="345">
        <f t="shared" si="230"/>
        <v>-6.6724863192747392</v>
      </c>
      <c r="AB582" s="346">
        <f t="shared" si="231"/>
        <v>-85.233765115059271</v>
      </c>
      <c r="AD582">
        <f t="shared" si="235"/>
        <v>0</v>
      </c>
      <c r="AE582">
        <f t="shared" si="238"/>
        <v>0</v>
      </c>
    </row>
    <row r="583" spans="1:31" x14ac:dyDescent="0.2">
      <c r="A583" s="347">
        <v>112200</v>
      </c>
      <c r="B583" s="364">
        <f t="shared" si="232"/>
        <v>112.2</v>
      </c>
      <c r="C583" s="337">
        <f t="shared" si="213"/>
        <v>629.83449764474005</v>
      </c>
      <c r="D583" s="338">
        <f t="shared" si="214"/>
        <v>1.5692086074434135</v>
      </c>
      <c r="E583" s="338">
        <f t="shared" si="215"/>
        <v>1.0389985548816636</v>
      </c>
      <c r="F583" s="339">
        <f t="shared" si="216"/>
        <v>0.27485247811509572</v>
      </c>
      <c r="G583" s="338">
        <f t="shared" si="217"/>
        <v>1</v>
      </c>
      <c r="H583" s="339">
        <f t="shared" si="218"/>
        <v>0</v>
      </c>
      <c r="I583" s="337">
        <f t="shared" si="219"/>
        <v>370152.7081247067</v>
      </c>
      <c r="J583" s="340">
        <f t="shared" si="220"/>
        <v>1.5707936252072057</v>
      </c>
      <c r="K583" s="348">
        <f t="shared" si="236"/>
        <v>182.67544210311041</v>
      </c>
      <c r="L583" s="349">
        <f t="shared" si="237"/>
        <v>1.5653221098831265</v>
      </c>
      <c r="M583" s="337">
        <f t="shared" si="221"/>
        <v>1.0643907233258754</v>
      </c>
      <c r="N583" s="340">
        <f t="shared" si="222"/>
        <v>0.34961511913055943</v>
      </c>
      <c r="O583" s="341">
        <f t="shared" si="223"/>
        <v>0.87641723451805076</v>
      </c>
      <c r="P583" s="342">
        <f t="shared" si="224"/>
        <v>0.19312492290097441</v>
      </c>
      <c r="Q583" s="343">
        <f t="shared" si="225"/>
        <v>-24.454197255281297</v>
      </c>
      <c r="R583" s="344">
        <f t="shared" si="226"/>
        <v>-105.57135203480549</v>
      </c>
      <c r="S583" s="346">
        <f t="shared" si="227"/>
        <v>74.428647965194514</v>
      </c>
      <c r="U583" s="319">
        <f t="shared" si="233"/>
        <v>112200</v>
      </c>
      <c r="V583" s="319">
        <f t="shared" si="234"/>
        <v>12588840000</v>
      </c>
      <c r="X583" s="345">
        <f t="shared" si="228"/>
        <v>31.031187503356872</v>
      </c>
      <c r="Y583" s="346">
        <f t="shared" si="229"/>
        <v>-20.344965539002946</v>
      </c>
      <c r="AA583" s="345">
        <f t="shared" si="230"/>
        <v>-6.7374179546885236</v>
      </c>
      <c r="AB583" s="346">
        <f t="shared" si="231"/>
        <v>-85.226386495802558</v>
      </c>
      <c r="AD583">
        <f t="shared" si="235"/>
        <v>0</v>
      </c>
      <c r="AE583">
        <f t="shared" si="238"/>
        <v>0</v>
      </c>
    </row>
    <row r="584" spans="1:31" x14ac:dyDescent="0.2">
      <c r="A584" s="347">
        <v>113510</v>
      </c>
      <c r="B584" s="364">
        <f t="shared" si="232"/>
        <v>113.51</v>
      </c>
      <c r="C584" s="337">
        <f t="shared" si="213"/>
        <v>637.18816185155879</v>
      </c>
      <c r="D584" s="338">
        <f t="shared" si="214"/>
        <v>1.5692269310176825</v>
      </c>
      <c r="E584" s="338">
        <f t="shared" si="215"/>
        <v>1.0398969536623965</v>
      </c>
      <c r="F584" s="339">
        <f t="shared" si="216"/>
        <v>0.27789971753260728</v>
      </c>
      <c r="G584" s="338">
        <f t="shared" si="217"/>
        <v>1</v>
      </c>
      <c r="H584" s="339">
        <f t="shared" si="218"/>
        <v>0</v>
      </c>
      <c r="I584" s="337">
        <f t="shared" si="219"/>
        <v>374474.45542987465</v>
      </c>
      <c r="J584" s="340">
        <f t="shared" si="220"/>
        <v>1.5707936563857792</v>
      </c>
      <c r="K584" s="348">
        <f t="shared" si="236"/>
        <v>184.80822017215016</v>
      </c>
      <c r="L584" s="349">
        <f t="shared" si="237"/>
        <v>1.5653852856681572</v>
      </c>
      <c r="M584" s="337">
        <f t="shared" si="221"/>
        <v>1.0658563440893178</v>
      </c>
      <c r="N584" s="340">
        <f t="shared" si="222"/>
        <v>0.35336733057524861</v>
      </c>
      <c r="O584" s="341">
        <f t="shared" si="223"/>
        <v>0.87357365121832586</v>
      </c>
      <c r="P584" s="342">
        <f t="shared" si="224"/>
        <v>0.19605307895765708</v>
      </c>
      <c r="Q584" s="343">
        <f t="shared" si="225"/>
        <v>-24.53124229226027</v>
      </c>
      <c r="R584" s="344">
        <f t="shared" si="226"/>
        <v>-105.77694688469826</v>
      </c>
      <c r="S584" s="346">
        <f t="shared" si="227"/>
        <v>74.223053115301738</v>
      </c>
      <c r="U584" s="319">
        <f t="shared" si="233"/>
        <v>113510</v>
      </c>
      <c r="V584" s="319">
        <f t="shared" si="234"/>
        <v>12884520100</v>
      </c>
      <c r="X584" s="345">
        <f t="shared" si="228"/>
        <v>31.019232642805925</v>
      </c>
      <c r="Y584" s="346">
        <f t="shared" si="229"/>
        <v>-20.556333499416827</v>
      </c>
      <c r="AA584" s="345">
        <f t="shared" si="230"/>
        <v>-6.8025081311165501</v>
      </c>
      <c r="AB584" s="346">
        <f t="shared" si="231"/>
        <v>-85.220613385281439</v>
      </c>
      <c r="AD584">
        <f t="shared" si="235"/>
        <v>0</v>
      </c>
      <c r="AE584">
        <f t="shared" si="238"/>
        <v>0</v>
      </c>
    </row>
    <row r="585" spans="1:31" x14ac:dyDescent="0.2">
      <c r="A585" s="347">
        <v>114820</v>
      </c>
      <c r="B585" s="364">
        <f t="shared" si="232"/>
        <v>114.82</v>
      </c>
      <c r="C585" s="337">
        <f t="shared" si="213"/>
        <v>644.54182626743398</v>
      </c>
      <c r="D585" s="338">
        <f t="shared" si="214"/>
        <v>1.5692448364797091</v>
      </c>
      <c r="E585" s="338">
        <f t="shared" si="215"/>
        <v>1.0408049918589046</v>
      </c>
      <c r="F585" s="339">
        <f t="shared" si="216"/>
        <v>0.28094166809870164</v>
      </c>
      <c r="G585" s="338">
        <f t="shared" si="217"/>
        <v>1</v>
      </c>
      <c r="H585" s="339">
        <f t="shared" si="218"/>
        <v>0</v>
      </c>
      <c r="I585" s="337">
        <f t="shared" si="219"/>
        <v>378796.20273504301</v>
      </c>
      <c r="J585" s="340">
        <f t="shared" si="220"/>
        <v>1.57079368685291</v>
      </c>
      <c r="K585" s="348">
        <f t="shared" si="236"/>
        <v>186.94099896196232</v>
      </c>
      <c r="L585" s="349">
        <f t="shared" si="237"/>
        <v>1.5654470199293649</v>
      </c>
      <c r="M585" s="337">
        <f t="shared" si="221"/>
        <v>1.0673369298059141</v>
      </c>
      <c r="N585" s="340">
        <f t="shared" si="222"/>
        <v>0.35710918461448293</v>
      </c>
      <c r="O585" s="341">
        <f t="shared" si="223"/>
        <v>0.87070022400220592</v>
      </c>
      <c r="P585" s="342">
        <f t="shared" si="224"/>
        <v>0.19900899332651631</v>
      </c>
      <c r="Q585" s="343">
        <f t="shared" si="225"/>
        <v>-24.606771932701655</v>
      </c>
      <c r="R585" s="344">
        <f t="shared" si="226"/>
        <v>-105.98390035837372</v>
      </c>
      <c r="S585" s="346">
        <f t="shared" si="227"/>
        <v>74.016099641626283</v>
      </c>
      <c r="U585" s="319">
        <f t="shared" si="233"/>
        <v>114820</v>
      </c>
      <c r="V585" s="319">
        <f t="shared" si="234"/>
        <v>13183632400</v>
      </c>
      <c r="X585" s="345">
        <f t="shared" si="228"/>
        <v>31.007172522934493</v>
      </c>
      <c r="Y585" s="346">
        <f t="shared" si="229"/>
        <v>-20.767190576679329</v>
      </c>
      <c r="AA585" s="345">
        <f t="shared" si="230"/>
        <v>-6.865977651686503</v>
      </c>
      <c r="AB585" s="346">
        <f t="shared" si="231"/>
        <v>-85.216709781694405</v>
      </c>
      <c r="AD585">
        <f t="shared" si="235"/>
        <v>0</v>
      </c>
      <c r="AE585">
        <f t="shared" si="238"/>
        <v>0</v>
      </c>
    </row>
    <row r="586" spans="1:31" x14ac:dyDescent="0.2">
      <c r="A586" s="347">
        <v>116155</v>
      </c>
      <c r="B586" s="364">
        <f t="shared" si="232"/>
        <v>116.155</v>
      </c>
      <c r="C586" s="337">
        <f t="shared" si="213"/>
        <v>652.03582799823778</v>
      </c>
      <c r="D586" s="338">
        <f t="shared" si="214"/>
        <v>1.5692626681383037</v>
      </c>
      <c r="E586" s="338">
        <f t="shared" si="215"/>
        <v>1.041740250038022</v>
      </c>
      <c r="F586" s="339">
        <f t="shared" si="216"/>
        <v>0.28403618605494085</v>
      </c>
      <c r="G586" s="338">
        <f t="shared" si="217"/>
        <v>1</v>
      </c>
      <c r="H586" s="339">
        <f t="shared" si="218"/>
        <v>0</v>
      </c>
      <c r="I586" s="337">
        <f t="shared" si="219"/>
        <v>383200.42613382178</v>
      </c>
      <c r="J586" s="340">
        <f t="shared" si="220"/>
        <v>1.5707937171944584</v>
      </c>
      <c r="K586" s="348">
        <f t="shared" si="236"/>
        <v>189.11448035336468</v>
      </c>
      <c r="L586" s="349">
        <f t="shared" si="237"/>
        <v>1.5655084997689996</v>
      </c>
      <c r="M586" s="337">
        <f t="shared" si="221"/>
        <v>1.0688611026494814</v>
      </c>
      <c r="N586" s="340">
        <f t="shared" si="222"/>
        <v>0.36091172861067283</v>
      </c>
      <c r="O586" s="341">
        <f t="shared" si="223"/>
        <v>0.8677414034526213</v>
      </c>
      <c r="P586" s="342">
        <f t="shared" si="224"/>
        <v>0.20205050367278166</v>
      </c>
      <c r="Q586" s="343">
        <f t="shared" si="225"/>
        <v>-24.682208311698197</v>
      </c>
      <c r="R586" s="344">
        <f t="shared" si="226"/>
        <v>-106.1962338505629</v>
      </c>
      <c r="S586" s="346">
        <f t="shared" si="227"/>
        <v>73.803766149437095</v>
      </c>
      <c r="U586" s="319">
        <f t="shared" si="233"/>
        <v>116155</v>
      </c>
      <c r="V586" s="319">
        <f t="shared" si="234"/>
        <v>13491984025</v>
      </c>
      <c r="X586" s="345">
        <f t="shared" si="228"/>
        <v>30.994774952347974</v>
      </c>
      <c r="Y586" s="346">
        <f t="shared" si="229"/>
        <v>-20.981539502425207</v>
      </c>
      <c r="AA586" s="345">
        <f t="shared" si="230"/>
        <v>-6.9290164600965296</v>
      </c>
      <c r="AB586" s="346">
        <f t="shared" si="231"/>
        <v>-85.214694348137726</v>
      </c>
      <c r="AD586">
        <f t="shared" si="235"/>
        <v>0</v>
      </c>
      <c r="AE586">
        <f t="shared" si="238"/>
        <v>0</v>
      </c>
    </row>
    <row r="587" spans="1:31" x14ac:dyDescent="0.2">
      <c r="A587" s="347">
        <v>117490</v>
      </c>
      <c r="B587" s="364">
        <f t="shared" si="232"/>
        <v>117.49</v>
      </c>
      <c r="C587" s="337">
        <f t="shared" si="213"/>
        <v>659.52982993165665</v>
      </c>
      <c r="D587" s="338">
        <f t="shared" si="214"/>
        <v>1.5692800945673659</v>
      </c>
      <c r="E587" s="338">
        <f t="shared" si="215"/>
        <v>1.0426854660133111</v>
      </c>
      <c r="F587" s="339">
        <f t="shared" si="216"/>
        <v>0.28712512305723809</v>
      </c>
      <c r="G587" s="338">
        <f t="shared" si="217"/>
        <v>1</v>
      </c>
      <c r="H587" s="339">
        <f t="shared" si="218"/>
        <v>0</v>
      </c>
      <c r="I587" s="337">
        <f t="shared" si="219"/>
        <v>387604.64953260089</v>
      </c>
      <c r="J587" s="340">
        <f t="shared" si="220"/>
        <v>1.5707937468464848</v>
      </c>
      <c r="K587" s="348">
        <f t="shared" si="236"/>
        <v>191.28796244333256</v>
      </c>
      <c r="L587" s="349">
        <f t="shared" si="237"/>
        <v>1.5655685824971035</v>
      </c>
      <c r="M587" s="337">
        <f t="shared" si="221"/>
        <v>1.0704006863762314</v>
      </c>
      <c r="N587" s="340">
        <f t="shared" si="222"/>
        <v>0.36470338871524083</v>
      </c>
      <c r="O587" s="341">
        <f t="shared" si="223"/>
        <v>0.86475189031547617</v>
      </c>
      <c r="P587" s="342">
        <f t="shared" si="224"/>
        <v>0.20512212657056561</v>
      </c>
      <c r="Q587" s="343">
        <f t="shared" si="225"/>
        <v>-24.756119333460049</v>
      </c>
      <c r="R587" s="344">
        <f t="shared" si="226"/>
        <v>-106.4100456200637</v>
      </c>
      <c r="S587" s="346">
        <f t="shared" si="227"/>
        <v>73.589954379936302</v>
      </c>
      <c r="U587" s="319">
        <f t="shared" si="233"/>
        <v>117490</v>
      </c>
      <c r="V587" s="319">
        <f t="shared" si="234"/>
        <v>13803900100</v>
      </c>
      <c r="X587" s="345">
        <f t="shared" si="228"/>
        <v>30.982270085769038</v>
      </c>
      <c r="Y587" s="346">
        <f t="shared" si="229"/>
        <v>-21.195344836203375</v>
      </c>
      <c r="AA587" s="345">
        <f t="shared" si="230"/>
        <v>-6.990422615279444</v>
      </c>
      <c r="AB587" s="346">
        <f t="shared" si="231"/>
        <v>-85.214700783860309</v>
      </c>
      <c r="AD587">
        <f t="shared" si="235"/>
        <v>0</v>
      </c>
      <c r="AE587">
        <f t="shared" si="238"/>
        <v>0</v>
      </c>
    </row>
    <row r="588" spans="1:31" x14ac:dyDescent="0.2">
      <c r="A588" s="347">
        <v>118860</v>
      </c>
      <c r="B588" s="364">
        <f t="shared" si="232"/>
        <v>118.86</v>
      </c>
      <c r="C588" s="337">
        <f t="shared" si="213"/>
        <v>667.22030402936946</v>
      </c>
      <c r="D588" s="338">
        <f t="shared" si="214"/>
        <v>1.5692975708842338</v>
      </c>
      <c r="E588" s="338">
        <f t="shared" si="215"/>
        <v>1.0436657873724207</v>
      </c>
      <c r="F588" s="339">
        <f t="shared" si="216"/>
        <v>0.29028919525041447</v>
      </c>
      <c r="G588" s="338">
        <f t="shared" si="217"/>
        <v>1</v>
      </c>
      <c r="H588" s="339">
        <f t="shared" si="218"/>
        <v>0</v>
      </c>
      <c r="I588" s="337">
        <f t="shared" si="219"/>
        <v>392124.33946243447</v>
      </c>
      <c r="J588" s="340">
        <f t="shared" si="220"/>
        <v>1.5707937765833964</v>
      </c>
      <c r="K588" s="348">
        <f t="shared" si="236"/>
        <v>193.51842791140859</v>
      </c>
      <c r="L588" s="349">
        <f t="shared" si="237"/>
        <v>1.5656288372627731</v>
      </c>
      <c r="M588" s="337">
        <f t="shared" si="221"/>
        <v>1.071996586306307</v>
      </c>
      <c r="N588" s="340">
        <f t="shared" si="222"/>
        <v>0.36858307509097599</v>
      </c>
      <c r="O588" s="341">
        <f t="shared" si="223"/>
        <v>0.86165225645350652</v>
      </c>
      <c r="P588" s="342">
        <f t="shared" si="224"/>
        <v>0.2083062886669948</v>
      </c>
      <c r="Q588" s="343">
        <f t="shared" si="225"/>
        <v>-24.830406388232873</v>
      </c>
      <c r="R588" s="344">
        <f t="shared" si="226"/>
        <v>-106.6310370213765</v>
      </c>
      <c r="S588" s="346">
        <f t="shared" si="227"/>
        <v>73.3689629786235</v>
      </c>
      <c r="U588" s="319">
        <f t="shared" si="233"/>
        <v>118860</v>
      </c>
      <c r="V588" s="319">
        <f t="shared" si="234"/>
        <v>14127699600</v>
      </c>
      <c r="X588" s="345">
        <f t="shared" si="228"/>
        <v>30.969326896036531</v>
      </c>
      <c r="Y588" s="346">
        <f t="shared" si="229"/>
        <v>-21.414183851648573</v>
      </c>
      <c r="AA588" s="345">
        <f t="shared" si="230"/>
        <v>-7.0517664803197642</v>
      </c>
      <c r="AB588" s="346">
        <f t="shared" si="231"/>
        <v>-85.216853169727941</v>
      </c>
      <c r="AD588">
        <f t="shared" si="235"/>
        <v>0</v>
      </c>
      <c r="AE588">
        <f t="shared" si="238"/>
        <v>0</v>
      </c>
    </row>
    <row r="589" spans="1:31" x14ac:dyDescent="0.2">
      <c r="A589" s="347">
        <v>120230</v>
      </c>
      <c r="B589" s="364">
        <f t="shared" si="232"/>
        <v>120.23</v>
      </c>
      <c r="C589" s="337">
        <f t="shared" ref="C589:C613" si="239">SQRT(1+(A589/pole1)^2)</f>
        <v>674.91077832622159</v>
      </c>
      <c r="D589" s="338">
        <f t="shared" ref="D589:D613" si="240">ATAN(A589/pole1)</f>
        <v>1.5693146489227858</v>
      </c>
      <c r="E589" s="338">
        <f t="shared" ref="E589:E613" si="241">SQRT(1+(A589/Zero1)^2)</f>
        <v>1.0446565375669556</v>
      </c>
      <c r="F589" s="339">
        <f t="shared" ref="F589:F613" si="242">ATAN(A589/Zero1)</f>
        <v>0.29344729741112296</v>
      </c>
      <c r="G589" s="338">
        <f t="shared" ref="G589:G613" si="243">IF(VIN_nom&gt;Vout, 1, SQRT(1+(A589/z_RHP)^2))</f>
        <v>1</v>
      </c>
      <c r="H589" s="339">
        <f t="shared" ref="H589:H613" si="244">IF(VIN_nom&gt;Vout, 0, -ATAN(A589/z_RHP))</f>
        <v>0</v>
      </c>
      <c r="I589" s="337">
        <f t="shared" ref="I589:I613" si="245">SQRT(1+(A589/Pole2)^2)</f>
        <v>396644.02939226845</v>
      </c>
      <c r="J589" s="340">
        <f t="shared" ref="J589:J613" si="246">ATAN(A589/Pole2)</f>
        <v>1.5707938056426143</v>
      </c>
      <c r="K589" s="348">
        <f t="shared" si="236"/>
        <v>195.74889406606823</v>
      </c>
      <c r="L589" s="349">
        <f t="shared" si="237"/>
        <v>1.5656877188794847</v>
      </c>
      <c r="M589" s="337">
        <f t="shared" ref="M589:M613" si="247">SQRT(1+(A589/pole4)^2)</f>
        <v>1.073608573780791</v>
      </c>
      <c r="N589" s="340">
        <f t="shared" ref="N589:N613" si="248">ATAN(A589/pole4)</f>
        <v>0.37245116910472126</v>
      </c>
      <c r="O589" s="341">
        <f t="shared" ref="O589:O613" si="249">SQRT((1-(V589/pterm2))^2+(A589/pterm1)^2)</f>
        <v>0.85852064248270887</v>
      </c>
      <c r="P589" s="342">
        <f t="shared" ref="P589:P613" si="250">IF((ATAN((A589/pterm1)/(1-A589^2/pterm2))&gt;0),ATAN((A589/pterm1)/(1-A589^2/pterm2)),PI()+ATAN((A589/pterm1)/(1-A589^2/pterm2)))</f>
        <v>0.21152360889794997</v>
      </c>
      <c r="Q589" s="343">
        <f t="shared" ref="Q589:Q613" si="251">20*LOG10(((E589*K589*G589)/(C589*I589*O589*M589))*Adc)</f>
        <v>-24.903135248534195</v>
      </c>
      <c r="R589" s="344">
        <f t="shared" ref="R589:R613" si="252">((F589+L589+H589)-(D589+J589+P589+N589))*radconv</f>
        <v>-106.85366192524782</v>
      </c>
      <c r="S589" s="346">
        <f t="shared" ref="S589:S613" si="253">IF(R589&gt;0,R589,R589+180)</f>
        <v>73.14633807475218</v>
      </c>
      <c r="U589" s="319">
        <f t="shared" si="233"/>
        <v>120230</v>
      </c>
      <c r="V589" s="319">
        <f t="shared" si="234"/>
        <v>14455252900</v>
      </c>
      <c r="X589" s="345">
        <f t="shared" ref="X589:X613" si="254">20*LOG10((K589/(I589*M589))*AEA)</f>
        <v>30.956272893994985</v>
      </c>
      <c r="Y589" s="346">
        <f t="shared" ref="Y589:Y613" si="255">(L589-(J589+N589))*radconv</f>
        <v>-21.63243731048745</v>
      </c>
      <c r="AA589" s="345">
        <f t="shared" ref="AA589:AA613" si="256">20*LOG10((E589*G589/(C589*O589))*Acs*Am)</f>
        <v>-7.1114413385795361</v>
      </c>
      <c r="AB589" s="346">
        <f t="shared" ref="AB589:AB613" si="257">(F589+H589-(D589+P589))*radconv</f>
        <v>-85.221224614760374</v>
      </c>
      <c r="AD589">
        <f t="shared" si="235"/>
        <v>0</v>
      </c>
      <c r="AE589">
        <f t="shared" si="238"/>
        <v>0</v>
      </c>
    </row>
    <row r="590" spans="1:31" x14ac:dyDescent="0.2">
      <c r="A590" s="347">
        <v>126030</v>
      </c>
      <c r="B590" s="364">
        <f t="shared" ref="B590:B613" si="258">A590/1000</f>
        <v>126.03</v>
      </c>
      <c r="C590" s="337">
        <f t="shared" si="239"/>
        <v>707.46899273450776</v>
      </c>
      <c r="D590" s="338">
        <f t="shared" si="240"/>
        <v>1.5693828368140463</v>
      </c>
      <c r="E590" s="338">
        <f t="shared" si="241"/>
        <v>1.0489658029752091</v>
      </c>
      <c r="F590" s="339">
        <f t="shared" si="242"/>
        <v>0.30675018145500621</v>
      </c>
      <c r="G590" s="338">
        <f t="shared" si="243"/>
        <v>1</v>
      </c>
      <c r="H590" s="339">
        <f t="shared" si="244"/>
        <v>0</v>
      </c>
      <c r="I590" s="337">
        <f t="shared" si="245"/>
        <v>415778.48310981703</v>
      </c>
      <c r="J590" s="340">
        <f t="shared" si="246"/>
        <v>1.5707939216680307</v>
      </c>
      <c r="K590" s="348">
        <f t="shared" si="236"/>
        <v>205.19175057078832</v>
      </c>
      <c r="L590" s="349">
        <f t="shared" si="237"/>
        <v>1.5659228172325232</v>
      </c>
      <c r="M590" s="337">
        <f t="shared" si="247"/>
        <v>1.0806095994835043</v>
      </c>
      <c r="N590" s="340">
        <f t="shared" si="248"/>
        <v>0.38869719158643895</v>
      </c>
      <c r="O590" s="341">
        <f t="shared" si="249"/>
        <v>0.84491269599485108</v>
      </c>
      <c r="P590" s="342">
        <f t="shared" si="250"/>
        <v>0.2255294893156389</v>
      </c>
      <c r="Q590" s="343">
        <f t="shared" si="251"/>
        <v>-25.19428917868985</v>
      </c>
      <c r="R590" s="344">
        <f t="shared" si="252"/>
        <v>-107.81521255640591</v>
      </c>
      <c r="S590" s="346">
        <f t="shared" si="253"/>
        <v>72.184787443594089</v>
      </c>
      <c r="U590" s="319">
        <f t="shared" ref="U590:U613" si="259">IF(Q590&lt;0,A590,1000000000)</f>
        <v>126030</v>
      </c>
      <c r="V590" s="319">
        <f t="shared" ref="V590:V613" si="260">A590^2</f>
        <v>15883560900</v>
      </c>
      <c r="X590" s="345">
        <f t="shared" si="254"/>
        <v>30.89980569919836</v>
      </c>
      <c r="Y590" s="346">
        <f t="shared" si="255"/>
        <v>-22.549802337979862</v>
      </c>
      <c r="AA590" s="345">
        <f t="shared" si="256"/>
        <v>-7.3461280739385639</v>
      </c>
      <c r="AB590" s="346">
        <f t="shared" si="257"/>
        <v>-85.265410218426055</v>
      </c>
      <c r="AD590">
        <f t="shared" ref="AD590:AD613" si="261">SUM((Q591&lt;0)*(Q590&gt;0))*A590</f>
        <v>0</v>
      </c>
      <c r="AE590">
        <f t="shared" si="238"/>
        <v>0</v>
      </c>
    </row>
    <row r="591" spans="1:31" x14ac:dyDescent="0.2">
      <c r="A591" s="347">
        <v>131830</v>
      </c>
      <c r="B591" s="364">
        <f t="shared" si="258"/>
        <v>131.83000000000001</v>
      </c>
      <c r="C591" s="337">
        <f t="shared" si="239"/>
        <v>740.02721014278939</v>
      </c>
      <c r="D591" s="338">
        <f t="shared" si="240"/>
        <v>1.5694450247202834</v>
      </c>
      <c r="E591" s="338">
        <f t="shared" si="241"/>
        <v>1.0534591626685519</v>
      </c>
      <c r="F591" s="339">
        <f t="shared" si="242"/>
        <v>0.31994190113019561</v>
      </c>
      <c r="G591" s="338">
        <f t="shared" si="243"/>
        <v>1</v>
      </c>
      <c r="H591" s="339">
        <f t="shared" si="244"/>
        <v>0</v>
      </c>
      <c r="I591" s="337">
        <f t="shared" si="245"/>
        <v>434912.93682737078</v>
      </c>
      <c r="J591" s="340">
        <f t="shared" si="246"/>
        <v>1.5707940274841259</v>
      </c>
      <c r="K591" s="348">
        <f t="shared" si="236"/>
        <v>214.63461741879667</v>
      </c>
      <c r="L591" s="349">
        <f t="shared" si="237"/>
        <v>1.5661372292555518</v>
      </c>
      <c r="M591" s="337">
        <f t="shared" si="247"/>
        <v>1.087892119547732</v>
      </c>
      <c r="N591" s="340">
        <f t="shared" si="248"/>
        <v>0.40472989252778435</v>
      </c>
      <c r="O591" s="341">
        <f t="shared" si="249"/>
        <v>0.83074978561201884</v>
      </c>
      <c r="P591" s="342">
        <f t="shared" si="250"/>
        <v>0.24020484929850258</v>
      </c>
      <c r="Q591" s="343">
        <f t="shared" si="251"/>
        <v>-25.459484359056948</v>
      </c>
      <c r="R591" s="344">
        <f t="shared" si="252"/>
        <v>-108.81010924700587</v>
      </c>
      <c r="S591" s="346">
        <f t="shared" si="253"/>
        <v>71.189890752994131</v>
      </c>
      <c r="U591" s="319">
        <f t="shared" si="259"/>
        <v>131830</v>
      </c>
      <c r="V591" s="319">
        <f t="shared" si="260"/>
        <v>17379148900</v>
      </c>
      <c r="X591" s="345">
        <f t="shared" si="254"/>
        <v>30.841456630518159</v>
      </c>
      <c r="Y591" s="346">
        <f t="shared" si="255"/>
        <v>-23.456129595969259</v>
      </c>
      <c r="AA591" s="345">
        <f t="shared" si="256"/>
        <v>-7.5529741856254624</v>
      </c>
      <c r="AB591" s="346">
        <f t="shared" si="257"/>
        <v>-85.353979651036624</v>
      </c>
      <c r="AD591">
        <f t="shared" si="261"/>
        <v>0</v>
      </c>
      <c r="AE591">
        <f t="shared" si="238"/>
        <v>0</v>
      </c>
    </row>
    <row r="592" spans="1:31" x14ac:dyDescent="0.2">
      <c r="A592" s="347">
        <v>144540</v>
      </c>
      <c r="B592" s="364">
        <f t="shared" si="258"/>
        <v>144.54</v>
      </c>
      <c r="C592" s="337">
        <f t="shared" si="239"/>
        <v>811.37462287893277</v>
      </c>
      <c r="D592" s="338">
        <f t="shared" si="240"/>
        <v>1.5695638501743951</v>
      </c>
      <c r="E592" s="338">
        <f t="shared" si="241"/>
        <v>1.0639380178165623</v>
      </c>
      <c r="F592" s="339">
        <f t="shared" si="242"/>
        <v>0.34844618857667631</v>
      </c>
      <c r="G592" s="338">
        <f t="shared" si="243"/>
        <v>1</v>
      </c>
      <c r="H592" s="339">
        <f t="shared" si="244"/>
        <v>0</v>
      </c>
      <c r="I592" s="337">
        <f t="shared" si="245"/>
        <v>476843.78281878354</v>
      </c>
      <c r="J592" s="340">
        <f t="shared" si="246"/>
        <v>1.5707942296720316</v>
      </c>
      <c r="K592" s="348">
        <f t="shared" si="236"/>
        <v>235.32755054494328</v>
      </c>
      <c r="L592" s="349">
        <f t="shared" si="237"/>
        <v>1.5665469178018989</v>
      </c>
      <c r="M592" s="337">
        <f t="shared" si="247"/>
        <v>1.1048076942753973</v>
      </c>
      <c r="N592" s="340">
        <f t="shared" si="248"/>
        <v>0.43909939773320811</v>
      </c>
      <c r="O592" s="341">
        <f t="shared" si="249"/>
        <v>0.79785809226067472</v>
      </c>
      <c r="P592" s="342">
        <f t="shared" si="250"/>
        <v>0.27504602371340275</v>
      </c>
      <c r="Q592" s="343">
        <f t="shared" si="251"/>
        <v>-25.956127895722329</v>
      </c>
      <c r="R592" s="344">
        <f t="shared" si="252"/>
        <v>-111.12576007732997</v>
      </c>
      <c r="S592" s="346">
        <f t="shared" si="253"/>
        <v>68.874239922670029</v>
      </c>
      <c r="U592" s="319">
        <f t="shared" si="259"/>
        <v>144540</v>
      </c>
      <c r="V592" s="319">
        <f t="shared" si="260"/>
        <v>20891811600</v>
      </c>
      <c r="X592" s="345">
        <f t="shared" si="254"/>
        <v>30.707423593308036</v>
      </c>
      <c r="Y592" s="346">
        <f t="shared" si="255"/>
        <v>-25.401895350309445</v>
      </c>
      <c r="AA592" s="345">
        <f t="shared" si="256"/>
        <v>-7.9155846850807219</v>
      </c>
      <c r="AB592" s="346">
        <f t="shared" si="257"/>
        <v>-85.723864727020498</v>
      </c>
      <c r="AD592">
        <f t="shared" si="261"/>
        <v>0</v>
      </c>
      <c r="AE592">
        <f t="shared" si="238"/>
        <v>0</v>
      </c>
    </row>
    <row r="593" spans="1:31" x14ac:dyDescent="0.2">
      <c r="A593" s="347">
        <v>158490</v>
      </c>
      <c r="B593" s="364">
        <f t="shared" si="258"/>
        <v>158.49</v>
      </c>
      <c r="C593" s="337">
        <f t="shared" si="239"/>
        <v>889.68276977782398</v>
      </c>
      <c r="D593" s="338">
        <f t="shared" si="240"/>
        <v>1.569672330417164</v>
      </c>
      <c r="E593" s="338">
        <f t="shared" si="241"/>
        <v>1.0764134173640778</v>
      </c>
      <c r="F593" s="339">
        <f t="shared" si="242"/>
        <v>0.37906487092882779</v>
      </c>
      <c r="G593" s="338">
        <f t="shared" si="243"/>
        <v>1</v>
      </c>
      <c r="H593" s="339">
        <f t="shared" si="244"/>
        <v>0</v>
      </c>
      <c r="I593" s="337">
        <f t="shared" si="245"/>
        <v>522865.4430532796</v>
      </c>
      <c r="J593" s="340">
        <f t="shared" si="246"/>
        <v>1.5707944142569517</v>
      </c>
      <c r="K593" s="348">
        <f t="shared" si="236"/>
        <v>258.03934423388642</v>
      </c>
      <c r="L593" s="349">
        <f t="shared" si="237"/>
        <v>1.5669209390857921</v>
      </c>
      <c r="M593" s="337">
        <f t="shared" si="247"/>
        <v>1.1248273013739063</v>
      </c>
      <c r="N593" s="340">
        <f t="shared" si="248"/>
        <v>0.47558426484516703</v>
      </c>
      <c r="O593" s="341">
        <f t="shared" si="249"/>
        <v>0.75904648643604777</v>
      </c>
      <c r="P593" s="342">
        <f t="shared" si="250"/>
        <v>0.31838236405967463</v>
      </c>
      <c r="Q593" s="343">
        <f t="shared" si="251"/>
        <v>-26.377998364583615</v>
      </c>
      <c r="R593" s="344">
        <f t="shared" si="252"/>
        <v>-113.92965330549163</v>
      </c>
      <c r="S593" s="346">
        <f t="shared" si="253"/>
        <v>66.070346694508373</v>
      </c>
      <c r="U593" s="319">
        <f t="shared" si="259"/>
        <v>158490</v>
      </c>
      <c r="V593" s="319">
        <f t="shared" si="260"/>
        <v>25119080100</v>
      </c>
      <c r="X593" s="345">
        <f t="shared" si="254"/>
        <v>30.55142722232139</v>
      </c>
      <c r="Y593" s="346">
        <f t="shared" si="255"/>
        <v>-27.470904989206286</v>
      </c>
      <c r="AA593" s="345">
        <f t="shared" si="256"/>
        <v>-8.181458782955362</v>
      </c>
      <c r="AB593" s="346">
        <f t="shared" si="257"/>
        <v>-86.458748316285337</v>
      </c>
      <c r="AD593">
        <f t="shared" si="261"/>
        <v>0</v>
      </c>
      <c r="AE593">
        <f t="shared" si="238"/>
        <v>0</v>
      </c>
    </row>
    <row r="594" spans="1:31" x14ac:dyDescent="0.2">
      <c r="A594" s="347">
        <v>173780</v>
      </c>
      <c r="B594" s="364">
        <f t="shared" si="258"/>
        <v>173.78</v>
      </c>
      <c r="C594" s="337">
        <f t="shared" si="239"/>
        <v>975.51299957181834</v>
      </c>
      <c r="D594" s="338">
        <f t="shared" si="240"/>
        <v>1.5697712249504538</v>
      </c>
      <c r="E594" s="338">
        <f t="shared" si="241"/>
        <v>1.0912178892792042</v>
      </c>
      <c r="F594" s="339">
        <f t="shared" si="242"/>
        <v>0.41178645105943507</v>
      </c>
      <c r="G594" s="338">
        <f t="shared" si="243"/>
        <v>1</v>
      </c>
      <c r="H594" s="339">
        <f t="shared" si="244"/>
        <v>0</v>
      </c>
      <c r="I594" s="337">
        <f t="shared" si="245"/>
        <v>573307.8219052999</v>
      </c>
      <c r="J594" s="340">
        <f t="shared" si="246"/>
        <v>1.5707945825312362</v>
      </c>
      <c r="K594" s="348">
        <f t="shared" si="236"/>
        <v>282.93280707393825</v>
      </c>
      <c r="L594" s="349">
        <f t="shared" si="237"/>
        <v>1.5672619113541411</v>
      </c>
      <c r="M594" s="337">
        <f t="shared" si="247"/>
        <v>1.1484255816556075</v>
      </c>
      <c r="N594" s="340">
        <f t="shared" si="248"/>
        <v>0.51405590119992661</v>
      </c>
      <c r="O594" s="341">
        <f t="shared" si="249"/>
        <v>0.71370050939087859</v>
      </c>
      <c r="P594" s="342">
        <f t="shared" si="250"/>
        <v>0.37367276830959506</v>
      </c>
      <c r="Q594" s="343">
        <f t="shared" si="251"/>
        <v>-26.70461230464614</v>
      </c>
      <c r="R594" s="344">
        <f t="shared" si="252"/>
        <v>-117.41315368304492</v>
      </c>
      <c r="S594" s="346">
        <f t="shared" si="253"/>
        <v>62.586846316955075</v>
      </c>
      <c r="U594" s="319">
        <f t="shared" si="259"/>
        <v>173780</v>
      </c>
      <c r="V594" s="319">
        <f t="shared" si="260"/>
        <v>30199488400</v>
      </c>
      <c r="X594" s="345">
        <f t="shared" si="254"/>
        <v>30.371076065859551</v>
      </c>
      <c r="Y594" s="346">
        <f t="shared" si="255"/>
        <v>-29.655640755291408</v>
      </c>
      <c r="AA594" s="345">
        <f t="shared" si="256"/>
        <v>-8.3277215665560504</v>
      </c>
      <c r="AB594" s="346">
        <f t="shared" si="257"/>
        <v>-87.757512927753524</v>
      </c>
      <c r="AD594">
        <f t="shared" si="261"/>
        <v>0</v>
      </c>
      <c r="AE594">
        <f t="shared" si="238"/>
        <v>0</v>
      </c>
    </row>
    <row r="595" spans="1:31" x14ac:dyDescent="0.2">
      <c r="A595" s="347">
        <v>190550</v>
      </c>
      <c r="B595" s="364">
        <f t="shared" si="258"/>
        <v>190.55</v>
      </c>
      <c r="C595" s="337">
        <f t="shared" si="239"/>
        <v>1069.65120056352</v>
      </c>
      <c r="D595" s="338">
        <f t="shared" si="240"/>
        <v>1.5698614424651811</v>
      </c>
      <c r="E595" s="338">
        <f t="shared" si="241"/>
        <v>1.1087603025896673</v>
      </c>
      <c r="F595" s="339">
        <f t="shared" si="242"/>
        <v>0.44662913914353713</v>
      </c>
      <c r="G595" s="338">
        <f t="shared" si="243"/>
        <v>1</v>
      </c>
      <c r="H595" s="339">
        <f t="shared" si="244"/>
        <v>0</v>
      </c>
      <c r="I595" s="337">
        <f t="shared" si="245"/>
        <v>628632.78549906157</v>
      </c>
      <c r="J595" s="340">
        <f t="shared" si="246"/>
        <v>1.5707947360410843</v>
      </c>
      <c r="K595" s="348">
        <f t="shared" si="236"/>
        <v>310.23587135518181</v>
      </c>
      <c r="L595" s="349">
        <f t="shared" si="237"/>
        <v>1.5675729673319556</v>
      </c>
      <c r="M595" s="337">
        <f t="shared" si="247"/>
        <v>1.176178489340491</v>
      </c>
      <c r="N595" s="340">
        <f t="shared" si="248"/>
        <v>0.55441018047769441</v>
      </c>
      <c r="O595" s="341">
        <f t="shared" si="249"/>
        <v>0.66143348056272855</v>
      </c>
      <c r="P595" s="342">
        <f t="shared" si="250"/>
        <v>0.44659052637361302</v>
      </c>
      <c r="Q595" s="343">
        <f t="shared" si="251"/>
        <v>-26.913090888268162</v>
      </c>
      <c r="R595" s="344">
        <f t="shared" si="252"/>
        <v>-121.89418007416538</v>
      </c>
      <c r="S595" s="346">
        <f t="shared" si="253"/>
        <v>58.105819925834624</v>
      </c>
      <c r="U595" s="319">
        <f t="shared" si="259"/>
        <v>190550</v>
      </c>
      <c r="V595" s="319">
        <f t="shared" si="260"/>
        <v>36309302500</v>
      </c>
      <c r="X595" s="345">
        <f t="shared" si="254"/>
        <v>30.16365944719044</v>
      </c>
      <c r="Y595" s="346">
        <f t="shared" si="255"/>
        <v>-31.94995724656669</v>
      </c>
      <c r="AA595" s="345">
        <f t="shared" si="256"/>
        <v>-8.3287835315089556</v>
      </c>
      <c r="AB595" s="346">
        <f t="shared" si="257"/>
        <v>-89.944222827598679</v>
      </c>
      <c r="AD595">
        <f t="shared" si="261"/>
        <v>0</v>
      </c>
      <c r="AE595">
        <f t="shared" si="238"/>
        <v>0</v>
      </c>
    </row>
    <row r="596" spans="1:31" x14ac:dyDescent="0.2">
      <c r="A596" s="347">
        <v>208930</v>
      </c>
      <c r="B596" s="364">
        <f t="shared" si="258"/>
        <v>208.93</v>
      </c>
      <c r="C596" s="337">
        <f t="shared" si="239"/>
        <v>1172.827126247093</v>
      </c>
      <c r="D596" s="338">
        <f t="shared" si="240"/>
        <v>1.5699436861125773</v>
      </c>
      <c r="E596" s="338">
        <f t="shared" si="241"/>
        <v>1.1294814251067797</v>
      </c>
      <c r="F596" s="339">
        <f t="shared" si="242"/>
        <v>0.48352410722887018</v>
      </c>
      <c r="G596" s="338">
        <f t="shared" si="243"/>
        <v>1</v>
      </c>
      <c r="H596" s="339">
        <f t="shared" si="244"/>
        <v>0</v>
      </c>
      <c r="I596" s="337">
        <f t="shared" si="245"/>
        <v>689269.20952133811</v>
      </c>
      <c r="J596" s="340">
        <f t="shared" si="246"/>
        <v>1.5707948759829553</v>
      </c>
      <c r="K596" s="348">
        <f t="shared" si="236"/>
        <v>340.16018873225818</v>
      </c>
      <c r="L596" s="349">
        <f t="shared" si="237"/>
        <v>1.5678565311529431</v>
      </c>
      <c r="M596" s="337">
        <f t="shared" si="247"/>
        <v>1.2086876701411309</v>
      </c>
      <c r="N596" s="340">
        <f t="shared" si="248"/>
        <v>0.59643450727802605</v>
      </c>
      <c r="O596" s="341">
        <f t="shared" si="249"/>
        <v>0.60275526352793618</v>
      </c>
      <c r="P596" s="342">
        <f t="shared" si="250"/>
        <v>0.54644433858760311</v>
      </c>
      <c r="Q596" s="343">
        <f t="shared" si="251"/>
        <v>-26.982020298131019</v>
      </c>
      <c r="R596" s="344">
        <f t="shared" si="252"/>
        <v>-127.89774591695796</v>
      </c>
      <c r="S596" s="346">
        <f t="shared" si="253"/>
        <v>52.102254083042041</v>
      </c>
      <c r="U596" s="319">
        <f t="shared" si="259"/>
        <v>208930</v>
      </c>
      <c r="V596" s="319">
        <f t="shared" si="260"/>
        <v>43651744900</v>
      </c>
      <c r="X596" s="345">
        <f t="shared" si="254"/>
        <v>29.926834669635976</v>
      </c>
      <c r="Y596" s="346">
        <f t="shared" si="255"/>
        <v>-34.341534819750386</v>
      </c>
      <c r="AA596" s="345">
        <f t="shared" si="256"/>
        <v>-8.1608881638173543</v>
      </c>
      <c r="AB596" s="346">
        <f t="shared" si="257"/>
        <v>-93.55621109720758</v>
      </c>
      <c r="AD596">
        <f t="shared" si="261"/>
        <v>0</v>
      </c>
      <c r="AE596">
        <f t="shared" si="238"/>
        <v>0</v>
      </c>
    </row>
    <row r="597" spans="1:31" x14ac:dyDescent="0.2">
      <c r="A597" s="347">
        <v>229090</v>
      </c>
      <c r="B597" s="364">
        <f t="shared" si="258"/>
        <v>229.09</v>
      </c>
      <c r="C597" s="337">
        <f t="shared" si="239"/>
        <v>1285.9950697316863</v>
      </c>
      <c r="D597" s="338">
        <f t="shared" si="240"/>
        <v>1.5700187187586638</v>
      </c>
      <c r="E597" s="338">
        <f t="shared" si="241"/>
        <v>1.1539092035687333</v>
      </c>
      <c r="F597" s="339">
        <f t="shared" si="242"/>
        <v>0.52240973467035967</v>
      </c>
      <c r="G597" s="338">
        <f t="shared" si="243"/>
        <v>1</v>
      </c>
      <c r="H597" s="339">
        <f t="shared" si="244"/>
        <v>0</v>
      </c>
      <c r="I597" s="337">
        <f t="shared" si="245"/>
        <v>755777.93140867946</v>
      </c>
      <c r="J597" s="340">
        <f t="shared" si="246"/>
        <v>1.5707950036549128</v>
      </c>
      <c r="K597" s="348">
        <f t="shared" si="236"/>
        <v>372.98253471584064</v>
      </c>
      <c r="L597" s="349">
        <f t="shared" si="237"/>
        <v>1.5681152328964734</v>
      </c>
      <c r="M597" s="337">
        <f t="shared" si="247"/>
        <v>1.2466629032257508</v>
      </c>
      <c r="N597" s="340">
        <f t="shared" si="248"/>
        <v>0.63992346993704152</v>
      </c>
      <c r="O597" s="341">
        <f t="shared" si="249"/>
        <v>0.54012166417620289</v>
      </c>
      <c r="P597" s="342">
        <f t="shared" si="250"/>
        <v>0.68913437840201919</v>
      </c>
      <c r="Q597" s="343">
        <f t="shared" si="251"/>
        <v>-26.911992360574519</v>
      </c>
      <c r="R597" s="344">
        <f t="shared" si="252"/>
        <v>-136.32651851711097</v>
      </c>
      <c r="S597" s="346">
        <f t="shared" si="253"/>
        <v>43.673481482889031</v>
      </c>
      <c r="U597" s="319">
        <f t="shared" si="259"/>
        <v>229090</v>
      </c>
      <c r="V597" s="319">
        <f t="shared" si="260"/>
        <v>52482228100</v>
      </c>
      <c r="X597" s="345">
        <f t="shared" si="254"/>
        <v>29.658129463403501</v>
      </c>
      <c r="Y597" s="346">
        <f t="shared" si="255"/>
        <v>-36.818453635351645</v>
      </c>
      <c r="AA597" s="345">
        <f t="shared" si="256"/>
        <v>-7.8221550200283749</v>
      </c>
      <c r="AB597" s="346">
        <f t="shared" si="257"/>
        <v>-99.508064881759296</v>
      </c>
      <c r="AD597">
        <f t="shared" si="261"/>
        <v>0</v>
      </c>
      <c r="AE597">
        <f t="shared" si="238"/>
        <v>0</v>
      </c>
    </row>
    <row r="598" spans="1:31" x14ac:dyDescent="0.2">
      <c r="A598" s="347">
        <v>251190</v>
      </c>
      <c r="B598" s="364">
        <f t="shared" si="258"/>
        <v>251.19</v>
      </c>
      <c r="C598" s="337">
        <f t="shared" si="239"/>
        <v>1410.0531893000591</v>
      </c>
      <c r="D598" s="338">
        <f t="shared" si="240"/>
        <v>1.5700871336301181</v>
      </c>
      <c r="E598" s="338">
        <f t="shared" si="241"/>
        <v>1.1826036805923756</v>
      </c>
      <c r="F598" s="339">
        <f t="shared" si="242"/>
        <v>0.56312349893870728</v>
      </c>
      <c r="G598" s="338">
        <f t="shared" si="243"/>
        <v>1</v>
      </c>
      <c r="H598" s="339">
        <f t="shared" si="244"/>
        <v>0</v>
      </c>
      <c r="I598" s="337">
        <f t="shared" si="245"/>
        <v>828686.79816019139</v>
      </c>
      <c r="J598" s="340">
        <f t="shared" si="246"/>
        <v>1.5707951200663688</v>
      </c>
      <c r="K598" s="348">
        <f t="shared" si="236"/>
        <v>408.96340411928327</v>
      </c>
      <c r="L598" s="349">
        <f t="shared" si="237"/>
        <v>1.5683511177946878</v>
      </c>
      <c r="M598" s="337">
        <f t="shared" si="247"/>
        <v>1.2908312570209206</v>
      </c>
      <c r="N598" s="340">
        <f t="shared" si="248"/>
        <v>0.68456435149072326</v>
      </c>
      <c r="O598" s="341">
        <f t="shared" si="249"/>
        <v>0.4808012612069491</v>
      </c>
      <c r="P598" s="342">
        <f t="shared" si="250"/>
        <v>0.89984638069685152</v>
      </c>
      <c r="Q598" s="343">
        <f t="shared" si="251"/>
        <v>-26.790458420581707</v>
      </c>
      <c r="R598" s="344">
        <f t="shared" si="252"/>
        <v>-148.61484554565661</v>
      </c>
      <c r="S598" s="346">
        <f t="shared" si="253"/>
        <v>31.385154454343393</v>
      </c>
      <c r="U598" s="319">
        <f t="shared" si="259"/>
        <v>251190</v>
      </c>
      <c r="V598" s="319">
        <f t="shared" si="260"/>
        <v>63096416100</v>
      </c>
      <c r="X598" s="345">
        <f t="shared" si="254"/>
        <v>29.355715477496997</v>
      </c>
      <c r="Y598" s="346">
        <f t="shared" si="255"/>
        <v>-39.362679205794784</v>
      </c>
      <c r="AA598" s="345">
        <f t="shared" si="256"/>
        <v>-7.3982070941290576</v>
      </c>
      <c r="AB598" s="346">
        <f t="shared" si="257"/>
        <v>-109.25216633986179</v>
      </c>
      <c r="AD598">
        <f t="shared" si="261"/>
        <v>0</v>
      </c>
      <c r="AE598">
        <f t="shared" si="238"/>
        <v>0</v>
      </c>
    </row>
    <row r="599" spans="1:31" x14ac:dyDescent="0.2">
      <c r="A599" s="347">
        <v>275420</v>
      </c>
      <c r="B599" s="364">
        <f t="shared" si="258"/>
        <v>275.42</v>
      </c>
      <c r="C599" s="337">
        <f t="shared" si="239"/>
        <v>1546.0680479682346</v>
      </c>
      <c r="D599" s="338">
        <f t="shared" si="240"/>
        <v>1.5701495246887154</v>
      </c>
      <c r="E599" s="338">
        <f t="shared" si="241"/>
        <v>1.2162027332937653</v>
      </c>
      <c r="F599" s="339">
        <f t="shared" si="242"/>
        <v>0.60547588802671393</v>
      </c>
      <c r="G599" s="338">
        <f t="shared" si="243"/>
        <v>1</v>
      </c>
      <c r="H599" s="339">
        <f t="shared" si="244"/>
        <v>0</v>
      </c>
      <c r="I599" s="337">
        <f t="shared" si="245"/>
        <v>908622.62808731222</v>
      </c>
      <c r="J599" s="340">
        <f t="shared" si="246"/>
        <v>1.5707952262279845</v>
      </c>
      <c r="K599" s="348">
        <f t="shared" ref="K599:K613" si="262">SQRT(1+(A599/Zero2)^2)</f>
        <v>448.41213472390916</v>
      </c>
      <c r="L599" s="349">
        <f t="shared" ref="L599:L613" si="263">ATAN(A599/Zero2)</f>
        <v>1.5685662336474351</v>
      </c>
      <c r="M599" s="337">
        <f t="shared" si="247"/>
        <v>1.3420051122443049</v>
      </c>
      <c r="N599" s="340">
        <f t="shared" si="248"/>
        <v>0.7300311271139962</v>
      </c>
      <c r="O599" s="341">
        <f t="shared" si="249"/>
        <v>0.44179945094733858</v>
      </c>
      <c r="P599" s="342">
        <f t="shared" si="250"/>
        <v>1.207119987817344</v>
      </c>
      <c r="Q599" s="343">
        <f t="shared" si="251"/>
        <v>-26.949875419418174</v>
      </c>
      <c r="R599" s="344">
        <f t="shared" si="252"/>
        <v>-166.39002321045672</v>
      </c>
      <c r="S599" s="346">
        <f t="shared" si="253"/>
        <v>13.609976789543282</v>
      </c>
      <c r="U599" s="319">
        <f t="shared" si="259"/>
        <v>275420</v>
      </c>
      <c r="V599" s="319">
        <f t="shared" si="260"/>
        <v>75856176400</v>
      </c>
      <c r="X599" s="345">
        <f t="shared" si="254"/>
        <v>29.018017167757645</v>
      </c>
      <c r="Y599" s="346">
        <f t="shared" si="255"/>
        <v>-41.955414412183011</v>
      </c>
      <c r="AA599" s="345">
        <f t="shared" si="256"/>
        <v>-7.2199257832261754</v>
      </c>
      <c r="AB599" s="346">
        <f t="shared" si="257"/>
        <v>-124.43460879827376</v>
      </c>
      <c r="AD599">
        <f t="shared" si="261"/>
        <v>0</v>
      </c>
      <c r="AE599">
        <f t="shared" si="238"/>
        <v>0</v>
      </c>
    </row>
    <row r="600" spans="1:31" x14ac:dyDescent="0.2">
      <c r="A600" s="347">
        <v>302000</v>
      </c>
      <c r="B600" s="364">
        <f t="shared" si="258"/>
        <v>302</v>
      </c>
      <c r="C600" s="337">
        <f t="shared" si="239"/>
        <v>1695.2746135029031</v>
      </c>
      <c r="D600" s="338">
        <f t="shared" si="240"/>
        <v>1.5702064518271321</v>
      </c>
      <c r="E600" s="338">
        <f t="shared" si="241"/>
        <v>1.2554259574158417</v>
      </c>
      <c r="F600" s="339">
        <f t="shared" si="242"/>
        <v>0.6492418431913719</v>
      </c>
      <c r="G600" s="338">
        <f t="shared" si="243"/>
        <v>1</v>
      </c>
      <c r="H600" s="339">
        <f t="shared" si="244"/>
        <v>0</v>
      </c>
      <c r="I600" s="337">
        <f t="shared" si="245"/>
        <v>996311.2108138128</v>
      </c>
      <c r="J600" s="340">
        <f t="shared" si="246"/>
        <v>1.5707953230924498</v>
      </c>
      <c r="K600" s="348">
        <f t="shared" si="262"/>
        <v>491.68690733901286</v>
      </c>
      <c r="L600" s="349">
        <f t="shared" si="263"/>
        <v>1.5687625108146959</v>
      </c>
      <c r="M600" s="337">
        <f t="shared" si="247"/>
        <v>1.4010845407681893</v>
      </c>
      <c r="N600" s="340">
        <f t="shared" si="248"/>
        <v>0.77598308939522576</v>
      </c>
      <c r="O600" s="341">
        <f t="shared" si="249"/>
        <v>0.45294950744329149</v>
      </c>
      <c r="P600" s="342">
        <f t="shared" si="250"/>
        <v>1.6003354326750798</v>
      </c>
      <c r="Q600" s="343">
        <f t="shared" si="251"/>
        <v>-28.065101368819899</v>
      </c>
      <c r="R600" s="344">
        <f t="shared" si="252"/>
        <v>-189.03687902920436</v>
      </c>
      <c r="S600" s="346">
        <f t="shared" si="253"/>
        <v>-9.036879029204357</v>
      </c>
      <c r="U600" s="319">
        <f t="shared" si="259"/>
        <v>302000</v>
      </c>
      <c r="V600" s="319">
        <f t="shared" si="260"/>
        <v>91204000000</v>
      </c>
      <c r="X600" s="345">
        <f t="shared" si="254"/>
        <v>28.64381011398639</v>
      </c>
      <c r="Y600" s="346">
        <f t="shared" si="255"/>
        <v>-44.577027610863659</v>
      </c>
      <c r="AA600" s="345">
        <f t="shared" si="256"/>
        <v>-7.9609446788566469</v>
      </c>
      <c r="AB600" s="346">
        <f t="shared" si="257"/>
        <v>-144.45985141834069</v>
      </c>
      <c r="AD600">
        <f t="shared" si="261"/>
        <v>0</v>
      </c>
      <c r="AE600">
        <f t="shared" si="238"/>
        <v>0</v>
      </c>
    </row>
    <row r="601" spans="1:31" x14ac:dyDescent="0.2">
      <c r="A601" s="347">
        <v>331130</v>
      </c>
      <c r="B601" s="364">
        <f t="shared" si="258"/>
        <v>331.13</v>
      </c>
      <c r="C601" s="337">
        <f t="shared" si="239"/>
        <v>1858.795583913804</v>
      </c>
      <c r="D601" s="338">
        <f t="shared" si="240"/>
        <v>1.5702583439973843</v>
      </c>
      <c r="E601" s="338">
        <f t="shared" si="241"/>
        <v>1.3009961156629355</v>
      </c>
      <c r="F601" s="339">
        <f t="shared" si="242"/>
        <v>0.69408113854468168</v>
      </c>
      <c r="G601" s="338">
        <f t="shared" si="243"/>
        <v>1</v>
      </c>
      <c r="H601" s="339">
        <f t="shared" si="244"/>
        <v>0</v>
      </c>
      <c r="I601" s="337">
        <f t="shared" si="245"/>
        <v>1092412.3550885757</v>
      </c>
      <c r="J601" s="340">
        <f t="shared" si="246"/>
        <v>1.5707954113896512</v>
      </c>
      <c r="K601" s="348">
        <f t="shared" si="262"/>
        <v>539.11334102011642</v>
      </c>
      <c r="L601" s="349">
        <f t="shared" si="263"/>
        <v>1.5689414282098431</v>
      </c>
      <c r="M601" s="337">
        <f t="shared" si="247"/>
        <v>1.4689388493696509</v>
      </c>
      <c r="N601" s="340">
        <f t="shared" si="248"/>
        <v>0.82199183589662239</v>
      </c>
      <c r="O601" s="341">
        <f t="shared" si="249"/>
        <v>0.54230161103546137</v>
      </c>
      <c r="P601" s="342">
        <f t="shared" si="250"/>
        <v>1.985091789374464</v>
      </c>
      <c r="Q601" s="343">
        <f t="shared" si="251"/>
        <v>-30.529847511808768</v>
      </c>
      <c r="R601" s="344">
        <f t="shared" si="252"/>
        <v>-211.14152609907828</v>
      </c>
      <c r="S601" s="346">
        <f t="shared" si="253"/>
        <v>-31.141526099078277</v>
      </c>
      <c r="U601" s="319">
        <f t="shared" si="259"/>
        <v>331130</v>
      </c>
      <c r="V601" s="319">
        <f t="shared" si="260"/>
        <v>109647076900</v>
      </c>
      <c r="X601" s="345">
        <f t="shared" si="254"/>
        <v>28.23301957888177</v>
      </c>
      <c r="Y601" s="346">
        <f t="shared" si="255"/>
        <v>-47.202888456515026</v>
      </c>
      <c r="AA601" s="345">
        <f t="shared" si="256"/>
        <v>-10.014900286740895</v>
      </c>
      <c r="AB601" s="346">
        <f t="shared" si="257"/>
        <v>-163.93863764256324</v>
      </c>
      <c r="AD601">
        <f t="shared" si="261"/>
        <v>0</v>
      </c>
      <c r="AE601">
        <f t="shared" si="238"/>
        <v>0</v>
      </c>
    </row>
    <row r="602" spans="1:31" x14ac:dyDescent="0.2">
      <c r="A602" s="347">
        <v>363080</v>
      </c>
      <c r="B602" s="364">
        <f t="shared" si="258"/>
        <v>363.08</v>
      </c>
      <c r="C602" s="337">
        <f t="shared" si="239"/>
        <v>2038.1466015617607</v>
      </c>
      <c r="D602" s="338">
        <f t="shared" si="240"/>
        <v>1.5703056849346126</v>
      </c>
      <c r="E602" s="338">
        <f t="shared" si="241"/>
        <v>1.3537695376434671</v>
      </c>
      <c r="F602" s="339">
        <f t="shared" si="242"/>
        <v>0.73968908901653452</v>
      </c>
      <c r="G602" s="338">
        <f t="shared" si="243"/>
        <v>1</v>
      </c>
      <c r="H602" s="339">
        <f t="shared" si="244"/>
        <v>0</v>
      </c>
      <c r="I602" s="337">
        <f t="shared" si="245"/>
        <v>1197816.8027225926</v>
      </c>
      <c r="J602" s="340">
        <f t="shared" si="246"/>
        <v>1.5707954919426907</v>
      </c>
      <c r="K602" s="348">
        <f t="shared" si="262"/>
        <v>591.13102165653947</v>
      </c>
      <c r="L602" s="349">
        <f t="shared" si="263"/>
        <v>1.5691046536457569</v>
      </c>
      <c r="M602" s="337">
        <f t="shared" si="247"/>
        <v>1.5466039169587735</v>
      </c>
      <c r="N602" s="340">
        <f t="shared" si="248"/>
        <v>0.86770634501915955</v>
      </c>
      <c r="O602" s="341">
        <f t="shared" si="249"/>
        <v>0.71573349750056003</v>
      </c>
      <c r="P602" s="342">
        <f t="shared" si="250"/>
        <v>2.277496082946783</v>
      </c>
      <c r="Q602" s="343">
        <f t="shared" si="251"/>
        <v>-33.842267769975514</v>
      </c>
      <c r="R602" s="344">
        <f t="shared" si="252"/>
        <v>-227.89452833503788</v>
      </c>
      <c r="S602" s="346">
        <f t="shared" si="253"/>
        <v>-47.894528335037876</v>
      </c>
      <c r="U602" s="319">
        <f t="shared" si="259"/>
        <v>363080</v>
      </c>
      <c r="V602" s="319">
        <f t="shared" si="260"/>
        <v>131827086400</v>
      </c>
      <c r="X602" s="345">
        <f t="shared" si="254"/>
        <v>27.785509287266699</v>
      </c>
      <c r="Y602" s="346">
        <f t="shared" si="255"/>
        <v>-49.812789381493118</v>
      </c>
      <c r="AA602" s="345">
        <f t="shared" si="256"/>
        <v>-12.87981025329257</v>
      </c>
      <c r="AB602" s="346">
        <f t="shared" si="257"/>
        <v>-178.08173895354477</v>
      </c>
      <c r="AD602">
        <f t="shared" si="261"/>
        <v>0</v>
      </c>
      <c r="AE602">
        <f t="shared" ref="AE602:AE613" si="264">IF(AD602&gt;0,S602,0)</f>
        <v>0</v>
      </c>
    </row>
    <row r="603" spans="1:31" x14ac:dyDescent="0.2">
      <c r="A603" s="347">
        <v>398110</v>
      </c>
      <c r="B603" s="364">
        <f t="shared" si="258"/>
        <v>398.11</v>
      </c>
      <c r="C603" s="337">
        <f t="shared" si="239"/>
        <v>2234.7871739471334</v>
      </c>
      <c r="D603" s="338">
        <f t="shared" si="240"/>
        <v>1.5703488568769424</v>
      </c>
      <c r="E603" s="338">
        <f t="shared" si="241"/>
        <v>1.4146092863167894</v>
      </c>
      <c r="F603" s="339">
        <f t="shared" si="242"/>
        <v>0.78567786509182436</v>
      </c>
      <c r="G603" s="338">
        <f t="shared" si="243"/>
        <v>1</v>
      </c>
      <c r="H603" s="339">
        <f t="shared" si="244"/>
        <v>0</v>
      </c>
      <c r="I603" s="337">
        <f t="shared" si="245"/>
        <v>1313382.3050894111</v>
      </c>
      <c r="J603" s="340">
        <f t="shared" si="246"/>
        <v>1.5707955654019679</v>
      </c>
      <c r="K603" s="348">
        <f t="shared" si="262"/>
        <v>648.1632543228227</v>
      </c>
      <c r="L603" s="349">
        <f t="shared" si="263"/>
        <v>1.5692535049980001</v>
      </c>
      <c r="M603" s="337">
        <f t="shared" si="247"/>
        <v>1.6350958147150481</v>
      </c>
      <c r="N603" s="340">
        <f t="shared" si="248"/>
        <v>0.9127340003995007</v>
      </c>
      <c r="O603" s="341">
        <f t="shared" si="249"/>
        <v>0.96714173291868577</v>
      </c>
      <c r="P603" s="342">
        <f t="shared" si="250"/>
        <v>2.4765212818010998</v>
      </c>
      <c r="Q603" s="343">
        <f t="shared" si="251"/>
        <v>-37.358507168462069</v>
      </c>
      <c r="R603" s="344">
        <f t="shared" si="252"/>
        <v>-239.23671332441634</v>
      </c>
      <c r="S603" s="346">
        <f t="shared" si="253"/>
        <v>-59.236713324416343</v>
      </c>
      <c r="U603" s="319">
        <f t="shared" si="259"/>
        <v>398110</v>
      </c>
      <c r="V603" s="319">
        <f t="shared" si="260"/>
        <v>158491572100</v>
      </c>
      <c r="X603" s="345">
        <f t="shared" si="254"/>
        <v>27.302225173354163</v>
      </c>
      <c r="Y603" s="346">
        <f t="shared" si="255"/>
        <v>-52.384159653742607</v>
      </c>
      <c r="AA603" s="345">
        <f t="shared" si="256"/>
        <v>-15.912765537866587</v>
      </c>
      <c r="AB603" s="346">
        <f t="shared" si="257"/>
        <v>-186.8525536706737</v>
      </c>
      <c r="AD603">
        <f t="shared" si="261"/>
        <v>0</v>
      </c>
      <c r="AE603">
        <f t="shared" si="264"/>
        <v>0</v>
      </c>
    </row>
    <row r="604" spans="1:31" x14ac:dyDescent="0.2">
      <c r="A604" s="347">
        <v>436520</v>
      </c>
      <c r="B604" s="364">
        <f t="shared" si="258"/>
        <v>436.52</v>
      </c>
      <c r="C604" s="337">
        <f t="shared" si="239"/>
        <v>2450.4013482209734</v>
      </c>
      <c r="D604" s="338">
        <f t="shared" si="240"/>
        <v>1.5703882303708219</v>
      </c>
      <c r="E604" s="338">
        <f t="shared" si="241"/>
        <v>1.4844582055076618</v>
      </c>
      <c r="F604" s="339">
        <f t="shared" si="242"/>
        <v>0.83166462068233271</v>
      </c>
      <c r="G604" s="338">
        <f t="shared" si="243"/>
        <v>1</v>
      </c>
      <c r="H604" s="339">
        <f t="shared" si="244"/>
        <v>0</v>
      </c>
      <c r="I604" s="337">
        <f t="shared" si="245"/>
        <v>1440098.5753123553</v>
      </c>
      <c r="J604" s="340">
        <f t="shared" si="246"/>
        <v>1.5707956323979873</v>
      </c>
      <c r="K604" s="348">
        <f t="shared" si="262"/>
        <v>710.69846807265696</v>
      </c>
      <c r="L604" s="349">
        <f t="shared" si="263"/>
        <v>1.5693892598390822</v>
      </c>
      <c r="M604" s="337">
        <f t="shared" si="247"/>
        <v>1.735524539415036</v>
      </c>
      <c r="N604" s="340">
        <f t="shared" si="248"/>
        <v>0.95673121770894731</v>
      </c>
      <c r="O604" s="341">
        <f t="shared" si="249"/>
        <v>1.2947763032411899</v>
      </c>
      <c r="P604" s="342">
        <f t="shared" si="250"/>
        <v>2.6117100818554664</v>
      </c>
      <c r="Q604" s="343">
        <f t="shared" si="251"/>
        <v>-40.791743969211069</v>
      </c>
      <c r="R604" s="344">
        <f t="shared" si="252"/>
        <v>-246.86295046116987</v>
      </c>
      <c r="S604" s="346">
        <f t="shared" si="253"/>
        <v>-66.862950461169874</v>
      </c>
      <c r="U604" s="319">
        <f t="shared" si="259"/>
        <v>436520</v>
      </c>
      <c r="V604" s="319">
        <f t="shared" si="260"/>
        <v>190549710400</v>
      </c>
      <c r="X604" s="345">
        <f t="shared" si="254"/>
        <v>26.784472397068928</v>
      </c>
      <c r="Y604" s="346">
        <f t="shared" si="255"/>
        <v>-54.897240177912117</v>
      </c>
      <c r="AA604" s="345">
        <f t="shared" si="256"/>
        <v>-18.828249562330356</v>
      </c>
      <c r="AB604" s="346">
        <f t="shared" si="257"/>
        <v>-191.96571028325775</v>
      </c>
      <c r="AD604">
        <f t="shared" si="261"/>
        <v>0</v>
      </c>
      <c r="AE604">
        <f t="shared" si="264"/>
        <v>0</v>
      </c>
    </row>
    <row r="605" spans="1:31" x14ac:dyDescent="0.2">
      <c r="A605" s="347">
        <v>478630</v>
      </c>
      <c r="B605" s="364">
        <f t="shared" si="258"/>
        <v>478.63</v>
      </c>
      <c r="C605" s="337">
        <f t="shared" si="239"/>
        <v>2686.7854413773307</v>
      </c>
      <c r="D605" s="338">
        <f t="shared" si="240"/>
        <v>1.5704241348037955</v>
      </c>
      <c r="E605" s="338">
        <f t="shared" si="241"/>
        <v>1.5643007116323484</v>
      </c>
      <c r="F605" s="339">
        <f t="shared" si="242"/>
        <v>0.87725648472592421</v>
      </c>
      <c r="G605" s="338">
        <f t="shared" si="243"/>
        <v>1</v>
      </c>
      <c r="H605" s="339">
        <f t="shared" si="244"/>
        <v>0</v>
      </c>
      <c r="I605" s="337">
        <f t="shared" si="245"/>
        <v>1579021.3073896379</v>
      </c>
      <c r="J605" s="340">
        <f t="shared" si="246"/>
        <v>1.5707956934912197</v>
      </c>
      <c r="K605" s="348">
        <f t="shared" si="262"/>
        <v>779.25765401018487</v>
      </c>
      <c r="L605" s="349">
        <f t="shared" si="263"/>
        <v>1.5695130538372057</v>
      </c>
      <c r="M605" s="337">
        <f t="shared" si="247"/>
        <v>1.8490439509904302</v>
      </c>
      <c r="N605" s="340">
        <f t="shared" si="248"/>
        <v>0.99938462080227197</v>
      </c>
      <c r="O605" s="341">
        <f t="shared" si="249"/>
        <v>1.7038676606472845</v>
      </c>
      <c r="P605" s="342">
        <f t="shared" si="250"/>
        <v>2.7069005204082512</v>
      </c>
      <c r="Q605" s="343">
        <f t="shared" si="251"/>
        <v>-44.071767187896697</v>
      </c>
      <c r="R605" s="344">
        <f t="shared" si="252"/>
        <v>-252.14356723480159</v>
      </c>
      <c r="S605" s="346">
        <f t="shared" si="253"/>
        <v>-72.143567234801594</v>
      </c>
      <c r="U605" s="319">
        <f t="shared" si="259"/>
        <v>478630</v>
      </c>
      <c r="V605" s="319">
        <f t="shared" si="260"/>
        <v>229086676900</v>
      </c>
      <c r="X605" s="345">
        <f t="shared" si="254"/>
        <v>26.234141440092174</v>
      </c>
      <c r="Y605" s="346">
        <f t="shared" si="255"/>
        <v>-57.334010786577146</v>
      </c>
      <c r="AA605" s="345">
        <f t="shared" si="256"/>
        <v>-21.557941824039226</v>
      </c>
      <c r="AB605" s="346">
        <f t="shared" si="257"/>
        <v>-194.80955644822441</v>
      </c>
      <c r="AD605">
        <f t="shared" si="261"/>
        <v>0</v>
      </c>
      <c r="AE605">
        <f t="shared" si="264"/>
        <v>0</v>
      </c>
    </row>
    <row r="606" spans="1:31" x14ac:dyDescent="0.2">
      <c r="A606" s="347">
        <v>524810</v>
      </c>
      <c r="B606" s="364">
        <f t="shared" si="258"/>
        <v>524.80999999999995</v>
      </c>
      <c r="C606" s="337">
        <f t="shared" si="239"/>
        <v>2946.0164449734066</v>
      </c>
      <c r="D606" s="338">
        <f t="shared" si="240"/>
        <v>1.5704568853702197</v>
      </c>
      <c r="E606" s="338">
        <f t="shared" si="241"/>
        <v>1.6552154812330901</v>
      </c>
      <c r="F606" s="339">
        <f t="shared" si="242"/>
        <v>0.92209637572958525</v>
      </c>
      <c r="G606" s="338">
        <f t="shared" si="243"/>
        <v>1</v>
      </c>
      <c r="H606" s="339">
        <f t="shared" si="244"/>
        <v>0</v>
      </c>
      <c r="I606" s="337">
        <f t="shared" si="245"/>
        <v>1731371.1475066917</v>
      </c>
      <c r="J606" s="340">
        <f t="shared" si="246"/>
        <v>1.5707957492179851</v>
      </c>
      <c r="K606" s="348">
        <f t="shared" si="262"/>
        <v>854.4432082127621</v>
      </c>
      <c r="L606" s="349">
        <f t="shared" si="263"/>
        <v>1.5696259737290921</v>
      </c>
      <c r="M606" s="337">
        <f t="shared" si="247"/>
        <v>1.9769327490304351</v>
      </c>
      <c r="N606" s="340">
        <f t="shared" si="248"/>
        <v>1.0404477081861887</v>
      </c>
      <c r="O606" s="341">
        <f t="shared" si="249"/>
        <v>2.2054019879629827</v>
      </c>
      <c r="P606" s="342">
        <f t="shared" si="250"/>
        <v>2.7768027355585168</v>
      </c>
      <c r="Q606" s="343">
        <f t="shared" si="251"/>
        <v>-47.203057327365215</v>
      </c>
      <c r="R606" s="344">
        <f t="shared" si="252"/>
        <v>-255.9276840673032</v>
      </c>
      <c r="S606" s="346">
        <f t="shared" si="253"/>
        <v>-75.927684067303204</v>
      </c>
      <c r="U606" s="319">
        <f t="shared" si="259"/>
        <v>524810</v>
      </c>
      <c r="V606" s="319">
        <f t="shared" si="260"/>
        <v>275425536100</v>
      </c>
      <c r="X606" s="345">
        <f t="shared" si="254"/>
        <v>25.653247006222003</v>
      </c>
      <c r="Y606" s="346">
        <f t="shared" si="255"/>
        <v>-59.680285749813791</v>
      </c>
      <c r="AA606" s="345">
        <f t="shared" si="256"/>
        <v>-24.108337529637573</v>
      </c>
      <c r="AB606" s="346">
        <f t="shared" si="257"/>
        <v>-196.24739831748943</v>
      </c>
      <c r="AD606">
        <f t="shared" si="261"/>
        <v>0</v>
      </c>
      <c r="AE606">
        <f t="shared" si="264"/>
        <v>0</v>
      </c>
    </row>
    <row r="607" spans="1:31" x14ac:dyDescent="0.2">
      <c r="A607" s="347">
        <v>575440</v>
      </c>
      <c r="B607" s="364">
        <f t="shared" si="258"/>
        <v>575.44000000000005</v>
      </c>
      <c r="C607" s="337">
        <f t="shared" si="239"/>
        <v>3230.2274855007108</v>
      </c>
      <c r="D607" s="338">
        <f t="shared" si="240"/>
        <v>1.5704867510698242</v>
      </c>
      <c r="E607" s="338">
        <f t="shared" si="241"/>
        <v>1.758296244113376</v>
      </c>
      <c r="F607" s="339">
        <f t="shared" si="242"/>
        <v>0.96583243642243854</v>
      </c>
      <c r="G607" s="338">
        <f t="shared" si="243"/>
        <v>1</v>
      </c>
      <c r="H607" s="339">
        <f t="shared" si="244"/>
        <v>0</v>
      </c>
      <c r="I607" s="337">
        <f t="shared" si="245"/>
        <v>1898401.7322863946</v>
      </c>
      <c r="J607" s="340">
        <f t="shared" si="246"/>
        <v>1.5707958000360009</v>
      </c>
      <c r="K607" s="348">
        <f t="shared" si="262"/>
        <v>936.87380782712933</v>
      </c>
      <c r="L607" s="349">
        <f t="shared" si="263"/>
        <v>1.569728946981811</v>
      </c>
      <c r="M607" s="337">
        <f t="shared" si="247"/>
        <v>2.1204877279772871</v>
      </c>
      <c r="N607" s="340">
        <f t="shared" si="248"/>
        <v>1.0797037549448938</v>
      </c>
      <c r="O607" s="341">
        <f t="shared" si="249"/>
        <v>2.8146992956329435</v>
      </c>
      <c r="P607" s="342">
        <f t="shared" si="250"/>
        <v>2.8300855173081949</v>
      </c>
      <c r="Q607" s="343">
        <f t="shared" si="251"/>
        <v>-50.206029185937844</v>
      </c>
      <c r="R607" s="344">
        <f t="shared" si="252"/>
        <v>-258.71969085229409</v>
      </c>
      <c r="S607" s="346">
        <f t="shared" si="253"/>
        <v>-78.719690852294093</v>
      </c>
      <c r="U607" s="319">
        <f t="shared" si="259"/>
        <v>575440</v>
      </c>
      <c r="V607" s="319">
        <f t="shared" si="260"/>
        <v>331131193600</v>
      </c>
      <c r="X607" s="345">
        <f t="shared" si="254"/>
        <v>25.044368653938506</v>
      </c>
      <c r="Y607" s="346">
        <f t="shared" si="255"/>
        <v>-61.92359453089346</v>
      </c>
      <c r="AA607" s="345">
        <f t="shared" si="256"/>
        <v>-26.502431035926705</v>
      </c>
      <c r="AB607" s="346">
        <f t="shared" si="257"/>
        <v>-196.79609632140068</v>
      </c>
      <c r="AD607">
        <f t="shared" si="261"/>
        <v>0</v>
      </c>
      <c r="AE607">
        <f t="shared" si="264"/>
        <v>0</v>
      </c>
    </row>
    <row r="608" spans="1:31" x14ac:dyDescent="0.2">
      <c r="A608" s="347">
        <v>630960</v>
      </c>
      <c r="B608" s="364">
        <f t="shared" si="258"/>
        <v>630.96</v>
      </c>
      <c r="C608" s="337">
        <f t="shared" si="239"/>
        <v>3541.8884989227022</v>
      </c>
      <c r="D608" s="338">
        <f t="shared" si="240"/>
        <v>1.5705139915340351</v>
      </c>
      <c r="E608" s="338">
        <f t="shared" si="241"/>
        <v>1.8747489811063367</v>
      </c>
      <c r="F608" s="339">
        <f t="shared" si="242"/>
        <v>1.0081756609788364</v>
      </c>
      <c r="G608" s="338">
        <f t="shared" si="243"/>
        <v>1</v>
      </c>
      <c r="H608" s="339">
        <f t="shared" si="244"/>
        <v>0</v>
      </c>
      <c r="I608" s="337">
        <f t="shared" si="245"/>
        <v>2081564.6409762888</v>
      </c>
      <c r="J608" s="340">
        <f t="shared" si="246"/>
        <v>1.5707958463870437</v>
      </c>
      <c r="K608" s="348">
        <f t="shared" si="262"/>
        <v>1027.2658159546725</v>
      </c>
      <c r="L608" s="349">
        <f t="shared" si="263"/>
        <v>1.5698228687644573</v>
      </c>
      <c r="M608" s="337">
        <f t="shared" si="247"/>
        <v>2.2811650176534299</v>
      </c>
      <c r="N608" s="340">
        <f t="shared" si="248"/>
        <v>1.1170092213978362</v>
      </c>
      <c r="O608" s="341">
        <f t="shared" si="249"/>
        <v>3.5517290653496065</v>
      </c>
      <c r="P608" s="342">
        <f t="shared" si="250"/>
        <v>2.8720121743633782</v>
      </c>
      <c r="Q608" s="343">
        <f t="shared" si="251"/>
        <v>-53.103619290681195</v>
      </c>
      <c r="R608" s="344">
        <f t="shared" si="252"/>
        <v>-260.82945117312386</v>
      </c>
      <c r="S608" s="346">
        <f t="shared" si="253"/>
        <v>-80.829451173123857</v>
      </c>
      <c r="U608" s="319">
        <f t="shared" si="259"/>
        <v>630960</v>
      </c>
      <c r="V608" s="319">
        <f t="shared" si="260"/>
        <v>398110521600</v>
      </c>
      <c r="X608" s="345">
        <f t="shared" si="254"/>
        <v>24.409949030617213</v>
      </c>
      <c r="Y608" s="346">
        <f t="shared" si="255"/>
        <v>-64.055661647819321</v>
      </c>
      <c r="AA608" s="345">
        <f t="shared" si="256"/>
        <v>-28.765601517348767</v>
      </c>
      <c r="AB608" s="346">
        <f t="shared" si="257"/>
        <v>-196.77378952530452</v>
      </c>
      <c r="AD608">
        <f t="shared" si="261"/>
        <v>0</v>
      </c>
      <c r="AE608">
        <f t="shared" si="264"/>
        <v>0</v>
      </c>
    </row>
    <row r="609" spans="1:31" x14ac:dyDescent="0.2">
      <c r="A609" s="347">
        <v>691830</v>
      </c>
      <c r="B609" s="364">
        <f t="shared" si="258"/>
        <v>691.83</v>
      </c>
      <c r="C609" s="337">
        <f t="shared" si="239"/>
        <v>3883.5816910421927</v>
      </c>
      <c r="D609" s="338">
        <f t="shared" si="240"/>
        <v>1.570538832530425</v>
      </c>
      <c r="E609" s="338">
        <f t="shared" si="241"/>
        <v>2.0058117791395209</v>
      </c>
      <c r="F609" s="339">
        <f t="shared" si="242"/>
        <v>1.0488695999067397</v>
      </c>
      <c r="G609" s="338">
        <f t="shared" si="243"/>
        <v>1</v>
      </c>
      <c r="H609" s="339">
        <f t="shared" si="244"/>
        <v>0</v>
      </c>
      <c r="I609" s="337">
        <f t="shared" si="245"/>
        <v>2282377.4336988046</v>
      </c>
      <c r="J609" s="340">
        <f t="shared" si="246"/>
        <v>1.5707958886552684</v>
      </c>
      <c r="K609" s="348">
        <f t="shared" si="262"/>
        <v>1126.3681577346549</v>
      </c>
      <c r="L609" s="349">
        <f t="shared" si="263"/>
        <v>1.56990851748983</v>
      </c>
      <c r="M609" s="337">
        <f t="shared" si="247"/>
        <v>2.4604712788033396</v>
      </c>
      <c r="N609" s="340">
        <f t="shared" si="248"/>
        <v>1.152257099337632</v>
      </c>
      <c r="O609" s="341">
        <f t="shared" si="249"/>
        <v>4.4409119506376715</v>
      </c>
      <c r="P609" s="342">
        <f t="shared" si="250"/>
        <v>2.9058652045339222</v>
      </c>
      <c r="Q609" s="343">
        <f t="shared" si="251"/>
        <v>-55.914508759314046</v>
      </c>
      <c r="R609" s="344">
        <f t="shared" si="252"/>
        <v>-262.45356901344991</v>
      </c>
      <c r="S609" s="346">
        <f t="shared" si="253"/>
        <v>-82.453569013449908</v>
      </c>
      <c r="U609" s="319">
        <f t="shared" si="259"/>
        <v>691830</v>
      </c>
      <c r="V609" s="319">
        <f t="shared" si="260"/>
        <v>478628748900</v>
      </c>
      <c r="X609" s="345">
        <f t="shared" si="254"/>
        <v>23.75271639966131</v>
      </c>
      <c r="Y609" s="346">
        <f t="shared" si="255"/>
        <v>-66.070311404170326</v>
      </c>
      <c r="AA609" s="345">
        <f t="shared" si="256"/>
        <v>-30.919258355025715</v>
      </c>
      <c r="AB609" s="346">
        <f t="shared" si="257"/>
        <v>-196.38325760927955</v>
      </c>
      <c r="AD609">
        <f t="shared" si="261"/>
        <v>0</v>
      </c>
      <c r="AE609">
        <f t="shared" si="264"/>
        <v>0</v>
      </c>
    </row>
    <row r="610" spans="1:31" s="627" customFormat="1" x14ac:dyDescent="0.2">
      <c r="A610" s="629">
        <v>758580</v>
      </c>
      <c r="B610" s="630">
        <f t="shared" si="258"/>
        <v>758.58</v>
      </c>
      <c r="C610" s="621">
        <f t="shared" si="239"/>
        <v>4258.2822120452247</v>
      </c>
      <c r="D610" s="618">
        <f t="shared" si="240"/>
        <v>1.5705614903140352</v>
      </c>
      <c r="E610" s="618">
        <f t="shared" si="241"/>
        <v>2.1528624050443566</v>
      </c>
      <c r="F610" s="619">
        <f t="shared" si="242"/>
        <v>1.0877288113827936</v>
      </c>
      <c r="G610" s="618">
        <f t="shared" si="243"/>
        <v>1</v>
      </c>
      <c r="H610" s="619">
        <f t="shared" si="244"/>
        <v>0</v>
      </c>
      <c r="I610" s="621">
        <f t="shared" si="245"/>
        <v>2502588.6036384823</v>
      </c>
      <c r="J610" s="622">
        <f t="shared" si="246"/>
        <v>1.5707959272086447</v>
      </c>
      <c r="K610" s="616">
        <f t="shared" si="262"/>
        <v>1235.0437252509837</v>
      </c>
      <c r="L610" s="617">
        <f t="shared" si="263"/>
        <v>1.5699866387742862</v>
      </c>
      <c r="M610" s="621">
        <f t="shared" si="247"/>
        <v>2.660113318633111</v>
      </c>
      <c r="N610" s="622">
        <f t="shared" si="248"/>
        <v>1.1854027922064176</v>
      </c>
      <c r="O610" s="631">
        <f t="shared" si="249"/>
        <v>5.5124044248481638</v>
      </c>
      <c r="P610" s="623">
        <f t="shared" si="250"/>
        <v>2.933793544702767</v>
      </c>
      <c r="Q610" s="624">
        <f t="shared" si="251"/>
        <v>-58.655042270904318</v>
      </c>
      <c r="R610" s="625">
        <f t="shared" si="252"/>
        <v>-263.72320891744545</v>
      </c>
      <c r="S610" s="626">
        <f t="shared" si="253"/>
        <v>-83.723208917445447</v>
      </c>
      <c r="U610" s="627">
        <f t="shared" si="259"/>
        <v>758580</v>
      </c>
      <c r="V610" s="627">
        <f t="shared" si="260"/>
        <v>575443616400</v>
      </c>
      <c r="X610" s="628">
        <f t="shared" si="254"/>
        <v>23.075079068700568</v>
      </c>
      <c r="Y610" s="626">
        <f t="shared" si="255"/>
        <v>-67.964945905809785</v>
      </c>
      <c r="AA610" s="628">
        <f t="shared" si="256"/>
        <v>-32.982154535655241</v>
      </c>
      <c r="AB610" s="626">
        <f t="shared" si="257"/>
        <v>-195.75826301163568</v>
      </c>
      <c r="AD610" s="2">
        <f t="shared" si="261"/>
        <v>0</v>
      </c>
      <c r="AE610" s="2">
        <f t="shared" si="264"/>
        <v>0</v>
      </c>
    </row>
    <row r="611" spans="1:31" x14ac:dyDescent="0.2">
      <c r="A611" s="347">
        <v>831760</v>
      </c>
      <c r="B611" s="364">
        <f t="shared" si="258"/>
        <v>831.76</v>
      </c>
      <c r="C611" s="337">
        <f t="shared" si="239"/>
        <v>4669.0774819549733</v>
      </c>
      <c r="D611" s="338">
        <f t="shared" si="240"/>
        <v>1.5705821517225167</v>
      </c>
      <c r="E611" s="338">
        <f t="shared" si="241"/>
        <v>2.317313764113742</v>
      </c>
      <c r="F611" s="339">
        <f t="shared" si="242"/>
        <v>1.1246036030851718</v>
      </c>
      <c r="G611" s="338">
        <f t="shared" si="243"/>
        <v>1</v>
      </c>
      <c r="H611" s="339">
        <f t="shared" si="244"/>
        <v>0</v>
      </c>
      <c r="I611" s="337">
        <f t="shared" si="245"/>
        <v>2744012.62485475</v>
      </c>
      <c r="J611" s="340">
        <f t="shared" si="246"/>
        <v>1.5707959623650865</v>
      </c>
      <c r="K611" s="348">
        <f t="shared" si="262"/>
        <v>1354.1879726177781</v>
      </c>
      <c r="L611" s="349">
        <f t="shared" si="263"/>
        <v>1.5700578768078157</v>
      </c>
      <c r="M611" s="337">
        <f t="shared" si="247"/>
        <v>2.881855246074394</v>
      </c>
      <c r="N611" s="340">
        <f t="shared" si="248"/>
        <v>1.2164272729084764</v>
      </c>
      <c r="O611" s="341">
        <f t="shared" si="249"/>
        <v>6.8022115607349942</v>
      </c>
      <c r="P611" s="342">
        <f t="shared" si="250"/>
        <v>2.9572337207019714</v>
      </c>
      <c r="Q611" s="343">
        <f t="shared" si="251"/>
        <v>-61.337225965378664</v>
      </c>
      <c r="R611" s="344">
        <f t="shared" si="252"/>
        <v>-264.72813813239321</v>
      </c>
      <c r="S611" s="346">
        <f t="shared" si="253"/>
        <v>-84.728138132393212</v>
      </c>
      <c r="U611" s="319">
        <f t="shared" si="259"/>
        <v>831760</v>
      </c>
      <c r="V611" s="319">
        <f t="shared" si="260"/>
        <v>691824697600</v>
      </c>
      <c r="X611" s="345">
        <f t="shared" si="254"/>
        <v>22.379638088676465</v>
      </c>
      <c r="Y611" s="346">
        <f t="shared" si="255"/>
        <v>-69.738438089303031</v>
      </c>
      <c r="AA611" s="345">
        <f t="shared" si="256"/>
        <v>-34.968897250105485</v>
      </c>
      <c r="AB611" s="346">
        <f t="shared" si="257"/>
        <v>-194.98970004309024</v>
      </c>
      <c r="AD611">
        <f t="shared" si="261"/>
        <v>0</v>
      </c>
      <c r="AE611">
        <f t="shared" si="264"/>
        <v>0</v>
      </c>
    </row>
    <row r="612" spans="1:31" x14ac:dyDescent="0.2">
      <c r="A612" s="347">
        <v>912010</v>
      </c>
      <c r="B612" s="364">
        <f t="shared" si="258"/>
        <v>912.01</v>
      </c>
      <c r="C612" s="337">
        <f t="shared" si="239"/>
        <v>5119.5601349985491</v>
      </c>
      <c r="D612" s="338">
        <f t="shared" si="240"/>
        <v>1.5706009975126947</v>
      </c>
      <c r="E612" s="338">
        <f t="shared" si="241"/>
        <v>2.5007729041129956</v>
      </c>
      <c r="F612" s="339">
        <f t="shared" si="242"/>
        <v>1.1594143642595278</v>
      </c>
      <c r="G612" s="338">
        <f t="shared" si="243"/>
        <v>1</v>
      </c>
      <c r="H612" s="339">
        <f t="shared" si="244"/>
        <v>0</v>
      </c>
      <c r="I612" s="337">
        <f t="shared" si="245"/>
        <v>3008760.8853440327</v>
      </c>
      <c r="J612" s="340">
        <f t="shared" si="246"/>
        <v>1.5707959944321606</v>
      </c>
      <c r="K612" s="348">
        <f t="shared" si="262"/>
        <v>1484.8428828673846</v>
      </c>
      <c r="L612" s="349">
        <f t="shared" si="263"/>
        <v>1.5701228548153812</v>
      </c>
      <c r="M612" s="337">
        <f t="shared" si="247"/>
        <v>3.127732878969558</v>
      </c>
      <c r="N612" s="340">
        <f t="shared" si="248"/>
        <v>1.2453619452438707</v>
      </c>
      <c r="O612" s="341">
        <f t="shared" si="249"/>
        <v>8.3544435456174835</v>
      </c>
      <c r="P612" s="342">
        <f t="shared" si="250"/>
        <v>2.97719583290099</v>
      </c>
      <c r="Q612" s="343">
        <f t="shared" si="251"/>
        <v>-63.971967165701685</v>
      </c>
      <c r="R612" s="344">
        <f t="shared" si="252"/>
        <v>-265.53256647791852</v>
      </c>
      <c r="S612" s="346">
        <f t="shared" si="253"/>
        <v>-85.532566477918522</v>
      </c>
      <c r="U612" s="319">
        <f t="shared" si="259"/>
        <v>912010</v>
      </c>
      <c r="V612" s="319">
        <f t="shared" si="260"/>
        <v>831762240100</v>
      </c>
      <c r="X612" s="345">
        <f t="shared" si="254"/>
        <v>21.668487834184191</v>
      </c>
      <c r="Y612" s="346">
        <f t="shared" si="255"/>
        <v>-71.392551569318499</v>
      </c>
      <c r="AA612" s="345">
        <f t="shared" si="256"/>
        <v>-36.892488195936231</v>
      </c>
      <c r="AB612" s="346">
        <f t="shared" si="257"/>
        <v>-194.14001490859997</v>
      </c>
      <c r="AD612">
        <f t="shared" si="261"/>
        <v>0</v>
      </c>
      <c r="AE612">
        <f t="shared" si="264"/>
        <v>0</v>
      </c>
    </row>
    <row r="613" spans="1:31" x14ac:dyDescent="0.2">
      <c r="A613" s="347">
        <v>1000000</v>
      </c>
      <c r="B613" s="364">
        <f t="shared" si="258"/>
        <v>1000</v>
      </c>
      <c r="C613" s="337">
        <f t="shared" si="239"/>
        <v>5613.491210148648</v>
      </c>
      <c r="D613" s="338">
        <f t="shared" si="240"/>
        <v>1.5706181845358544</v>
      </c>
      <c r="E613" s="338">
        <f t="shared" si="241"/>
        <v>2.7049116071069261</v>
      </c>
      <c r="F613" s="339">
        <f t="shared" si="242"/>
        <v>1.1921125183465748</v>
      </c>
      <c r="G613" s="338">
        <f t="shared" si="243"/>
        <v>1</v>
      </c>
      <c r="H613" s="339">
        <f t="shared" si="244"/>
        <v>0</v>
      </c>
      <c r="I613" s="337">
        <f t="shared" si="245"/>
        <v>3299043.7444150881</v>
      </c>
      <c r="J613" s="340">
        <f t="shared" si="246"/>
        <v>1.5707960236767577</v>
      </c>
      <c r="K613" s="348">
        <f t="shared" si="262"/>
        <v>1628.0992820426081</v>
      </c>
      <c r="L613" s="349">
        <f t="shared" si="263"/>
        <v>1.570182113599236</v>
      </c>
      <c r="M613" s="337">
        <f t="shared" si="247"/>
        <v>3.3998768903926475</v>
      </c>
      <c r="N613" s="340">
        <f t="shared" si="248"/>
        <v>1.272252982727798</v>
      </c>
      <c r="O613" s="341">
        <f t="shared" si="249"/>
        <v>10.221648795508152</v>
      </c>
      <c r="P613" s="342">
        <f t="shared" si="250"/>
        <v>2.9943946722080446</v>
      </c>
      <c r="Q613" s="343">
        <f t="shared" si="251"/>
        <v>-66.567138262994874</v>
      </c>
      <c r="R613" s="344">
        <f t="shared" si="252"/>
        <v>-266.1828552522478</v>
      </c>
      <c r="S613" s="346">
        <f t="shared" si="253"/>
        <v>-86.182855252247805</v>
      </c>
      <c r="U613" s="319">
        <f t="shared" si="259"/>
        <v>1000000</v>
      </c>
      <c r="V613" s="319">
        <f t="shared" si="260"/>
        <v>1000000000000</v>
      </c>
      <c r="X613" s="345">
        <f t="shared" si="254"/>
        <v>20.943816781826531</v>
      </c>
      <c r="Y613" s="346">
        <f t="shared" si="255"/>
        <v>-72.929900923010351</v>
      </c>
      <c r="AA613" s="345">
        <f t="shared" si="256"/>
        <v>-38.762988240871763</v>
      </c>
      <c r="AB613" s="346">
        <f t="shared" si="257"/>
        <v>-193.25295432923753</v>
      </c>
      <c r="AD613">
        <f t="shared" si="261"/>
        <v>0</v>
      </c>
      <c r="AE613">
        <f t="shared" si="264"/>
        <v>0</v>
      </c>
    </row>
    <row r="614" spans="1:31" x14ac:dyDescent="0.2">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
      <c r="A616" s="319" t="s">
        <v>362</v>
      </c>
      <c r="G616" s="338"/>
      <c r="H616" s="339"/>
      <c r="Q616" s="343"/>
      <c r="R616" s="344"/>
      <c r="S616" s="353"/>
      <c r="AA616" s="345"/>
      <c r="AB616" s="346"/>
    </row>
    <row r="617" spans="1:31" x14ac:dyDescent="0.2">
      <c r="A617" s="354">
        <f>Q4*1000</f>
        <v>6025.6</v>
      </c>
      <c r="B617" s="354"/>
      <c r="C617" s="355">
        <f t="shared" ref="C617:C626" si="265">SQRT(1+(A617/pole1)^2)</f>
        <v>33.839430988560174</v>
      </c>
      <c r="D617" s="348">
        <f t="shared" ref="D617:D626" si="266">ATAN(A617/pole1)</f>
        <v>1.5412406996816876</v>
      </c>
      <c r="E617" s="348">
        <f t="shared" ref="E617:E626" si="267">SQRT(1+(A617/Zero1)^2)</f>
        <v>1.0001146635599696</v>
      </c>
      <c r="F617" s="349">
        <f t="shared" ref="F617:F626" si="268">ATAN(A617/Zero1)</f>
        <v>1.514282698826227E-2</v>
      </c>
      <c r="G617" s="338">
        <f>IF(VIN_nom&gt;Vout, 1, SQRT(1+(A617/z_RHP)^2))</f>
        <v>1</v>
      </c>
      <c r="H617" s="339">
        <f>IF(VIN_nom&gt;Vout, 0, -ATAN(A617/z_RHP))</f>
        <v>0</v>
      </c>
      <c r="I617" s="355">
        <f t="shared" ref="I617:I626" si="269">SQRT(1+(A617/Pole2)^2)</f>
        <v>19878.718011499172</v>
      </c>
      <c r="J617" s="356">
        <f t="shared" ref="J617:J626" si="270">ATAN(A617/Pole2)</f>
        <v>1.5707460217400211</v>
      </c>
      <c r="K617" s="348">
        <f t="shared" ref="K617:K626" si="271">SQRT(1+(A617/Zero2)^2)</f>
        <v>9.8611084535377778</v>
      </c>
      <c r="L617" s="349">
        <f t="shared" ref="L617:L626" si="272">ATAN(A617/Zero2)</f>
        <v>1.4692132307629149</v>
      </c>
      <c r="M617" s="355">
        <f t="shared" ref="M617:M626" si="273">SQRT(1+(A617/pole4)^2)</f>
        <v>1.0001916719100397</v>
      </c>
      <c r="N617" s="356">
        <f t="shared" ref="N617:N626" si="274">ATAN(A617/pole4)</f>
        <v>1.9577604549345113E-2</v>
      </c>
      <c r="O617" s="355">
        <f>SQRT((1-(A617^2/(pole3^2)))^2+(A617/(Q_Ch2*pole3))^2)</f>
        <v>0.99963739662796969</v>
      </c>
      <c r="P617" s="420">
        <f>ATAN((A617/(Q_Ch2*pole3))/(1-A617^2/pole3^2))</f>
        <v>9.0368497606790558E-3</v>
      </c>
      <c r="Q617" s="343">
        <f>20*LOG10(((E617*K617*G617)/(C617*I617*O617*M617))*Adc)</f>
        <v>5.3055372928910591E-2</v>
      </c>
      <c r="R617" s="344">
        <f>((F617+L617+H617)-(D617+J617+P617+N617))*radconv</f>
        <v>-94.895855207867285</v>
      </c>
      <c r="S617" s="346">
        <f t="shared" ref="S617:S626" si="275">IF(R617&gt;0,R617,R617+180)</f>
        <v>85.104144792132715</v>
      </c>
      <c r="T617" s="319" t="s">
        <v>363</v>
      </c>
      <c r="X617" s="345">
        <f t="shared" ref="X617:X626" si="276">20*LOG10((K617/(I617*M617))*AEA)</f>
        <v>31.616306962103607</v>
      </c>
      <c r="Y617" s="346">
        <f t="shared" ref="Y617:Y626" si="277">(L617-(J617+N617))*radconv</f>
        <v>-6.939114526754846</v>
      </c>
      <c r="AA617" s="345">
        <f>20*LOG10((E617*G617/(C617*O617))*Acs*Am)</f>
        <v>17.184715214774947</v>
      </c>
      <c r="AB617" s="346">
        <f>(F617+H617-(D617+P617))*radconv</f>
        <v>-87.956740681112407</v>
      </c>
    </row>
    <row r="618" spans="1:31" x14ac:dyDescent="0.2">
      <c r="A618" s="354">
        <f>A617</f>
        <v>6025.6</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
      <c r="A619" s="319">
        <f>A618</f>
        <v>6025.6</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
      <c r="A620" s="354">
        <v>1000000</v>
      </c>
      <c r="B620" s="354"/>
      <c r="C620" s="355"/>
      <c r="D620" s="348"/>
      <c r="E620" s="348"/>
      <c r="F620" s="349"/>
      <c r="G620" s="338"/>
      <c r="H620" s="339"/>
      <c r="I620" s="355"/>
      <c r="J620" s="356"/>
      <c r="K620" s="348"/>
      <c r="L620" s="349"/>
      <c r="M620" s="337"/>
      <c r="N620" s="340"/>
      <c r="O620" s="355"/>
      <c r="P620" s="342"/>
      <c r="Q620" s="343"/>
      <c r="R620" s="344">
        <f>R617</f>
        <v>-94.895855207867285</v>
      </c>
      <c r="S620" s="346"/>
      <c r="X620" s="345"/>
      <c r="Y620" s="346"/>
      <c r="AA620" s="345"/>
      <c r="AB620" s="346"/>
    </row>
    <row r="621" spans="1:31" x14ac:dyDescent="0.2">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
      <c r="A622" s="429">
        <f>pole1</f>
        <v>178.14226092657441</v>
      </c>
      <c r="B622" s="354"/>
      <c r="C622" s="355">
        <f t="shared" si="265"/>
        <v>1.4142135623730951</v>
      </c>
      <c r="D622" s="348">
        <f t="shared" si="266"/>
        <v>0.78539816339744828</v>
      </c>
      <c r="E622" s="348">
        <f t="shared" si="267"/>
        <v>1.0000001002267438</v>
      </c>
      <c r="F622" s="349">
        <f t="shared" si="268"/>
        <v>4.4772030414934799E-4</v>
      </c>
      <c r="G622" s="338">
        <f t="shared" ref="G622:G628" si="278">IF(VIN_nom&gt;Vout, 1, SQRT(1+(A622/z_RHP)^2))</f>
        <v>1</v>
      </c>
      <c r="H622" s="339">
        <f t="shared" ref="H622:H628" si="279">IF(VIN_nom&gt;Vout, 0, -ATAN(A622/z_RHP))</f>
        <v>0</v>
      </c>
      <c r="I622" s="355">
        <f t="shared" si="269"/>
        <v>587.69996230062361</v>
      </c>
      <c r="J622" s="356">
        <f t="shared" si="270"/>
        <v>1.5690947774556205</v>
      </c>
      <c r="K622" s="348">
        <f t="shared" si="271"/>
        <v>1.0412104858772067</v>
      </c>
      <c r="L622" s="349">
        <f t="shared" si="272"/>
        <v>0.28228807608342005</v>
      </c>
      <c r="M622" s="337">
        <f t="shared" si="273"/>
        <v>1.0000001675457348</v>
      </c>
      <c r="N622" s="340">
        <f t="shared" si="274"/>
        <v>5.7887081706435313E-4</v>
      </c>
      <c r="O622" s="355">
        <f t="shared" ref="O622:O628" si="280">SQRT((1-(A622^2/(pole3^2)))^2+(A622/(Q_Ch2*pole3))^2)</f>
        <v>0.99999968305502596</v>
      </c>
      <c r="P622" s="342">
        <f t="shared" ref="P622:P628" si="281">ATAN((A622/(Q_Ch2*pole3))/(1-A622^2/pole3^2))</f>
        <v>2.6706713668656897E-4</v>
      </c>
      <c r="Q622" s="343">
        <f t="shared" ref="Q622:Q628" si="282">20*LOG10(((E622*K622*G622)/(C622*I622*O622*M622))*Adc)</f>
        <v>38.685647462440798</v>
      </c>
      <c r="R622" s="344">
        <f t="shared" ref="R622:R628" si="283">((F622+L622+H622)-(D622+J622+P622+N622))*radconv</f>
        <v>-118.7514093641214</v>
      </c>
      <c r="S622" s="346">
        <f t="shared" si="275"/>
        <v>61.2485906358786</v>
      </c>
      <c r="T622" s="319" t="s">
        <v>337</v>
      </c>
      <c r="X622" s="345">
        <f t="shared" si="276"/>
        <v>42.674880351732796</v>
      </c>
      <c r="Y622" s="346">
        <f t="shared" si="277"/>
        <v>-73.761759976764537</v>
      </c>
      <c r="AA622" s="345">
        <f t="shared" ref="AA622:AA628" si="284">20*LOG10((E622*G622/(C622*O622))*Acs*Am)</f>
        <v>44.758733914657647</v>
      </c>
      <c r="AB622" s="346">
        <f t="shared" ref="AB622:AB628" si="285">(F622+H622-(D622+P622))*radconv</f>
        <v>-44.989649387356877</v>
      </c>
    </row>
    <row r="623" spans="1:31" s="627" customFormat="1" x14ac:dyDescent="0.2">
      <c r="A623" s="613">
        <f>Zero1</f>
        <v>397887.35818439093</v>
      </c>
      <c r="B623" s="614"/>
      <c r="C623" s="615">
        <f t="shared" si="265"/>
        <v>2233.5373762172248</v>
      </c>
      <c r="D623" s="616">
        <f t="shared" si="266"/>
        <v>1.5703486064907473</v>
      </c>
      <c r="E623" s="616">
        <f t="shared" si="267"/>
        <v>1.4142135623730951</v>
      </c>
      <c r="F623" s="617">
        <f t="shared" si="268"/>
        <v>0.78539816339744828</v>
      </c>
      <c r="G623" s="618">
        <f t="shared" si="278"/>
        <v>1</v>
      </c>
      <c r="H623" s="619">
        <f t="shared" si="279"/>
        <v>0</v>
      </c>
      <c r="I623" s="615">
        <f t="shared" si="269"/>
        <v>1312647.8000003812</v>
      </c>
      <c r="J623" s="620">
        <f t="shared" si="270"/>
        <v>1.5707955649759229</v>
      </c>
      <c r="K623" s="616">
        <f t="shared" si="271"/>
        <v>647.80077184270181</v>
      </c>
      <c r="L623" s="617">
        <f t="shared" si="272"/>
        <v>1.5692526416981405</v>
      </c>
      <c r="M623" s="621">
        <f t="shared" si="273"/>
        <v>1.6345234792440244</v>
      </c>
      <c r="N623" s="622">
        <f t="shared" si="274"/>
        <v>0.91246330111099694</v>
      </c>
      <c r="O623" s="615">
        <f t="shared" si="280"/>
        <v>0.96538676227449527</v>
      </c>
      <c r="P623" s="623">
        <f t="shared" si="281"/>
        <v>-0.66605806673826529</v>
      </c>
      <c r="Q623" s="624">
        <f>20*LOG10(((E623*K623*G623)/(C623*I623*O623*M623))*Adc)</f>
        <v>-37.337261819408837</v>
      </c>
      <c r="R623" s="625">
        <f t="shared" si="283"/>
        <v>-59.180730555212584</v>
      </c>
      <c r="S623" s="626">
        <f t="shared" si="275"/>
        <v>120.81926944478741</v>
      </c>
      <c r="T623" s="627" t="s">
        <v>332</v>
      </c>
      <c r="X623" s="628">
        <f t="shared" si="276"/>
        <v>27.305266054422766</v>
      </c>
      <c r="Y623" s="626">
        <f t="shared" si="277"/>
        <v>-52.368699166004298</v>
      </c>
      <c r="AA623" s="628">
        <f t="shared" si="284"/>
        <v>-15.894561069881961</v>
      </c>
      <c r="AB623" s="626">
        <f t="shared" si="285"/>
        <v>-6.8120313892082924</v>
      </c>
      <c r="AD623" s="2"/>
      <c r="AE623" s="2"/>
    </row>
    <row r="624" spans="1:31" x14ac:dyDescent="0.2">
      <c r="A624" s="429">
        <f>Pole2</f>
        <v>0.30311813891311201</v>
      </c>
      <c r="B624" s="354"/>
      <c r="C624" s="355">
        <f t="shared" si="265"/>
        <v>1.0000014476368235</v>
      </c>
      <c r="D624" s="348">
        <f t="shared" si="266"/>
        <v>1.7015493392760553E-3</v>
      </c>
      <c r="E624" s="348">
        <f t="shared" si="267"/>
        <v>1.0000000000002902</v>
      </c>
      <c r="F624" s="349">
        <f t="shared" si="268"/>
        <v>7.6181897383274197E-7</v>
      </c>
      <c r="G624" s="338">
        <f t="shared" si="278"/>
        <v>1</v>
      </c>
      <c r="H624" s="339">
        <f t="shared" si="279"/>
        <v>0</v>
      </c>
      <c r="I624" s="355">
        <f t="shared" si="269"/>
        <v>1.4142135623730951</v>
      </c>
      <c r="J624" s="356">
        <f t="shared" si="270"/>
        <v>0.78539816339744828</v>
      </c>
      <c r="K624" s="348">
        <f t="shared" si="271"/>
        <v>1.000000121774242</v>
      </c>
      <c r="L624" s="349">
        <f t="shared" si="272"/>
        <v>4.935062911847097E-4</v>
      </c>
      <c r="M624" s="337">
        <f t="shared" si="273"/>
        <v>1.0000000000004849</v>
      </c>
      <c r="N624" s="340">
        <f t="shared" si="274"/>
        <v>9.849783169138378E-7</v>
      </c>
      <c r="O624" s="355">
        <f t="shared" si="280"/>
        <v>0.9999999999990824</v>
      </c>
      <c r="P624" s="342">
        <f t="shared" si="281"/>
        <v>4.5442819910538933E-7</v>
      </c>
      <c r="Q624" s="343">
        <f t="shared" si="282"/>
        <v>93.717976371549611</v>
      </c>
      <c r="R624" s="344">
        <f t="shared" si="283"/>
        <v>-45.069254642531298</v>
      </c>
      <c r="S624" s="346">
        <f t="shared" si="275"/>
        <v>134.93074535746871</v>
      </c>
      <c r="T624" s="319" t="s">
        <v>340</v>
      </c>
      <c r="W624" s="319">
        <f>Pole2</f>
        <v>0.30311813891311201</v>
      </c>
      <c r="X624" s="345">
        <f t="shared" si="276"/>
        <v>94.696925501703774</v>
      </c>
      <c r="Y624" s="346">
        <f t="shared" si="277"/>
        <v>-44.971780658840181</v>
      </c>
      <c r="AA624" s="345">
        <f t="shared" si="284"/>
        <v>47.769017673795474</v>
      </c>
      <c r="AB624" s="346">
        <f t="shared" si="285"/>
        <v>-9.7473983691118884E-2</v>
      </c>
    </row>
    <row r="625" spans="1:28" x14ac:dyDescent="0.2">
      <c r="A625" s="429">
        <f>Zero2</f>
        <v>614.2132728996462</v>
      </c>
      <c r="B625" s="354"/>
      <c r="C625" s="355">
        <f t="shared" si="265"/>
        <v>3.589969594983784</v>
      </c>
      <c r="D625" s="348">
        <f t="shared" si="266"/>
        <v>1.2885082507114765</v>
      </c>
      <c r="E625" s="348">
        <f t="shared" si="267"/>
        <v>1.000001191483022</v>
      </c>
      <c r="F625" s="349">
        <f t="shared" si="268"/>
        <v>1.5436850967561709E-3</v>
      </c>
      <c r="G625" s="338">
        <f t="shared" si="278"/>
        <v>1</v>
      </c>
      <c r="H625" s="339">
        <f t="shared" si="279"/>
        <v>0</v>
      </c>
      <c r="I625" s="355">
        <f t="shared" si="269"/>
        <v>2026.3167024493528</v>
      </c>
      <c r="J625" s="356">
        <f t="shared" si="270"/>
        <v>1.5703028205037119</v>
      </c>
      <c r="K625" s="348">
        <f t="shared" si="271"/>
        <v>1.4142135623730951</v>
      </c>
      <c r="L625" s="349">
        <f t="shared" si="272"/>
        <v>0.78539816339744828</v>
      </c>
      <c r="M625" s="337">
        <f t="shared" si="273"/>
        <v>1.0000019917620568</v>
      </c>
      <c r="N625" s="340">
        <f t="shared" si="274"/>
        <v>1.9958751218617211E-3</v>
      </c>
      <c r="O625" s="355">
        <f t="shared" si="280"/>
        <v>0.99999623219719036</v>
      </c>
      <c r="P625" s="342">
        <f t="shared" si="281"/>
        <v>9.2081893737066373E-4</v>
      </c>
      <c r="Q625" s="343">
        <f t="shared" si="282"/>
        <v>22.502651684849567</v>
      </c>
      <c r="R625" s="344">
        <f t="shared" si="283"/>
        <v>-118.87647656052383</v>
      </c>
      <c r="S625" s="346">
        <f t="shared" si="275"/>
        <v>61.123523439476173</v>
      </c>
      <c r="T625" s="319" t="s">
        <v>335</v>
      </c>
      <c r="W625" s="319">
        <f>Zero2</f>
        <v>614.2132728996462</v>
      </c>
      <c r="X625" s="345">
        <f t="shared" si="276"/>
        <v>34.583360572439915</v>
      </c>
      <c r="Y625" s="346">
        <f t="shared" si="277"/>
        <v>-45.086079444788147</v>
      </c>
      <c r="AA625" s="345">
        <f t="shared" si="284"/>
        <v>36.667257916359304</v>
      </c>
      <c r="AB625" s="346">
        <f t="shared" si="285"/>
        <v>-73.790397115735658</v>
      </c>
    </row>
    <row r="626" spans="1:28" x14ac:dyDescent="0.2">
      <c r="A626" s="429">
        <f>pole3</f>
        <v>300000</v>
      </c>
      <c r="B626" s="354"/>
      <c r="C626" s="355">
        <f t="shared" si="265"/>
        <v>1684.0476332269977</v>
      </c>
      <c r="D626" s="348">
        <f t="shared" si="266"/>
        <v>1.5702025193282683</v>
      </c>
      <c r="E626" s="348">
        <f t="shared" si="267"/>
        <v>1.2523933935483529</v>
      </c>
      <c r="F626" s="349">
        <f t="shared" si="268"/>
        <v>0.64604487200071159</v>
      </c>
      <c r="G626" s="338">
        <f t="shared" si="278"/>
        <v>1</v>
      </c>
      <c r="H626" s="339">
        <f t="shared" si="279"/>
        <v>0</v>
      </c>
      <c r="I626" s="355">
        <f t="shared" si="269"/>
        <v>989713.12332498631</v>
      </c>
      <c r="J626" s="356">
        <f t="shared" si="270"/>
        <v>1.5707953164011002</v>
      </c>
      <c r="K626" s="348">
        <f t="shared" si="271"/>
        <v>488.43071616851563</v>
      </c>
      <c r="L626" s="349">
        <f t="shared" si="272"/>
        <v>1.568748952079259</v>
      </c>
      <c r="M626" s="337">
        <f t="shared" si="273"/>
        <v>1.3965402458519904</v>
      </c>
      <c r="N626" s="340">
        <f t="shared" si="274"/>
        <v>0.77266163922378184</v>
      </c>
      <c r="O626" s="355">
        <f t="shared" si="280"/>
        <v>0.44975355226288583</v>
      </c>
      <c r="P626" s="342" t="e">
        <f t="shared" si="281"/>
        <v>#DIV/0!</v>
      </c>
      <c r="Q626" s="343">
        <f t="shared" si="282"/>
        <v>-27.938672604735491</v>
      </c>
      <c r="R626" s="344" t="e">
        <f t="shared" si="283"/>
        <v>#DIV/0!</v>
      </c>
      <c r="S626" s="346" t="e">
        <f t="shared" si="275"/>
        <v>#DIV/0!</v>
      </c>
      <c r="T626" s="319" t="s">
        <v>333</v>
      </c>
      <c r="X626" s="345">
        <f t="shared" si="276"/>
        <v>28.672028061719637</v>
      </c>
      <c r="Y626" s="346">
        <f t="shared" si="277"/>
        <v>-44.38749900889033</v>
      </c>
      <c r="AA626" s="345">
        <f t="shared" si="284"/>
        <v>-7.8627338625054826</v>
      </c>
      <c r="AB626" s="346" t="e">
        <f t="shared" si="285"/>
        <v>#DIV/0!</v>
      </c>
    </row>
    <row r="627" spans="1:28" ht="13.5" thickBot="1" x14ac:dyDescent="0.25">
      <c r="A627" s="406">
        <f>Fp2_u</f>
        <v>284082.64698583551</v>
      </c>
      <c r="C627" s="355">
        <f>SQRT(1+(A627/pole1)^2)</f>
        <v>1594.6957300466538</v>
      </c>
      <c r="D627" s="348">
        <f>ATAN(A627/pole1)</f>
        <v>1.5701692478815363</v>
      </c>
      <c r="E627" s="348">
        <f>SQRT(1+(A627/Zero1)^2)</f>
        <v>1.2287245268030089</v>
      </c>
      <c r="F627" s="349">
        <f>ATAN(A627/Zero1)</f>
        <v>0.62004541118732781</v>
      </c>
      <c r="G627" s="338">
        <f t="shared" si="278"/>
        <v>1</v>
      </c>
      <c r="H627" s="339">
        <f t="shared" si="279"/>
        <v>0</v>
      </c>
      <c r="I627" s="355">
        <f>SQRT(1+(A627/Pole2)^2)</f>
        <v>937201.07943599101</v>
      </c>
      <c r="J627" s="356">
        <f>ATAN(A627/Pole2)</f>
        <v>1.5707952597880164</v>
      </c>
      <c r="K627" s="348">
        <f>SQRT(1+(A627/Zero2)^2)</f>
        <v>462.5157474002811</v>
      </c>
      <c r="L627" s="349">
        <f>ATAN(A627/Zero2)</f>
        <v>1.5686342365639652</v>
      </c>
      <c r="M627" s="337">
        <f>SQRT(1+(A627/pole4)^2)</f>
        <v>1.3609392332092907</v>
      </c>
      <c r="N627" s="340">
        <f>ATAN(A627/pole4)</f>
        <v>0.74544421490949508</v>
      </c>
      <c r="O627" s="355">
        <f t="shared" si="280"/>
        <v>0.43823943926933856</v>
      </c>
      <c r="P627" s="342">
        <f t="shared" si="281"/>
        <v>1.3328398797797207</v>
      </c>
      <c r="Q627" s="343">
        <f t="shared" si="282"/>
        <v>-27.181307226964847</v>
      </c>
      <c r="R627" s="344">
        <f t="shared" si="283"/>
        <v>-173.63881082079362</v>
      </c>
      <c r="S627" s="346">
        <f>IF(R627&gt;0,R627,R627+180)</f>
        <v>6.3611891792063773</v>
      </c>
      <c r="T627" s="319" t="s">
        <v>345</v>
      </c>
      <c r="X627" s="357"/>
      <c r="Y627" s="358"/>
      <c r="AA627" s="345">
        <f t="shared" si="284"/>
        <v>-7.3296650161277475</v>
      </c>
      <c r="AB627" s="346">
        <f t="shared" si="285"/>
        <v>-130.80418588492279</v>
      </c>
    </row>
    <row r="628" spans="1:28" x14ac:dyDescent="0.2">
      <c r="A628" s="406">
        <f>z_RHP</f>
        <v>0</v>
      </c>
      <c r="C628" s="355">
        <f>SQRT(1+(A628/pole1)^2)</f>
        <v>1</v>
      </c>
      <c r="D628" s="348">
        <f>ATAN(A628/pole1)</f>
        <v>0</v>
      </c>
      <c r="E628" s="348">
        <f>SQRT(1+(A628/Zero1)^2)</f>
        <v>1</v>
      </c>
      <c r="F628" s="349">
        <f>ATAN(A628/Zero1)</f>
        <v>0</v>
      </c>
      <c r="G628" s="338">
        <f t="shared" si="278"/>
        <v>1</v>
      </c>
      <c r="H628" s="339">
        <f t="shared" si="279"/>
        <v>0</v>
      </c>
      <c r="I628" s="355">
        <f>SQRT(1+(A628/Pole2)^2)</f>
        <v>1</v>
      </c>
      <c r="J628" s="356">
        <f>ATAN(A628/Pole2)</f>
        <v>0</v>
      </c>
      <c r="K628" s="348">
        <f>SQRT(1+(A628/Zero2)^2)</f>
        <v>1</v>
      </c>
      <c r="L628" s="349">
        <f>ATAN(A628/Zero2)</f>
        <v>0</v>
      </c>
      <c r="M628" s="337">
        <f>SQRT(1+(A628/pole4)^2)</f>
        <v>1</v>
      </c>
      <c r="N628" s="340">
        <f>ATAN(A628/pole4)</f>
        <v>0</v>
      </c>
      <c r="O628" s="355">
        <f t="shared" si="280"/>
        <v>1</v>
      </c>
      <c r="P628" s="342">
        <f t="shared" si="281"/>
        <v>0</v>
      </c>
      <c r="Q628" s="343">
        <f t="shared" si="282"/>
        <v>96.728287844470174</v>
      </c>
      <c r="R628" s="344">
        <f t="shared" si="283"/>
        <v>0</v>
      </c>
      <c r="S628" s="346">
        <f>IF(R628&gt;0,R628,R628+180)</f>
        <v>180</v>
      </c>
      <c r="T628" s="319" t="s">
        <v>439</v>
      </c>
      <c r="X628" s="353"/>
      <c r="Y628" s="353"/>
      <c r="AA628" s="345">
        <f t="shared" si="284"/>
        <v>47.769030247789566</v>
      </c>
      <c r="AB628" s="346">
        <f t="shared" si="285"/>
        <v>0</v>
      </c>
    </row>
    <row r="629" spans="1:28" x14ac:dyDescent="0.2">
      <c r="A629" s="406">
        <f>Fp2_u</f>
        <v>284082.64698583551</v>
      </c>
      <c r="Q629" s="343">
        <v>-25</v>
      </c>
    </row>
    <row r="631" spans="1:28" x14ac:dyDescent="0.2">
      <c r="D631" s="319" t="s">
        <v>364</v>
      </c>
      <c r="E631" s="319" t="s">
        <v>365</v>
      </c>
    </row>
    <row r="632" spans="1:28" x14ac:dyDescent="0.2">
      <c r="A632" s="319" t="s">
        <v>337</v>
      </c>
      <c r="B632" s="319" t="s">
        <v>436</v>
      </c>
      <c r="C632" s="359">
        <f>pole1</f>
        <v>178.14226092657441</v>
      </c>
      <c r="D632" s="359">
        <f>Q622</f>
        <v>38.685647462440798</v>
      </c>
      <c r="E632" s="359">
        <f>AA622</f>
        <v>44.758733914657647</v>
      </c>
    </row>
    <row r="633" spans="1:28" x14ac:dyDescent="0.2">
      <c r="A633" s="319" t="s">
        <v>332</v>
      </c>
      <c r="B633" s="319" t="s">
        <v>446</v>
      </c>
      <c r="C633" s="359">
        <f>Zero1</f>
        <v>397887.35818439093</v>
      </c>
      <c r="D633" s="359">
        <f>Q623</f>
        <v>-37.337261819408837</v>
      </c>
      <c r="E633" s="359">
        <f>AA623</f>
        <v>-15.894561069881961</v>
      </c>
    </row>
    <row r="634" spans="1:28" x14ac:dyDescent="0.2">
      <c r="A634" s="319" t="s">
        <v>340</v>
      </c>
      <c r="B634" s="319" t="s">
        <v>447</v>
      </c>
      <c r="C634" s="359">
        <f>Pole2</f>
        <v>0.30311813891311201</v>
      </c>
      <c r="D634" s="359">
        <f>Q624</f>
        <v>93.717976371549611</v>
      </c>
      <c r="E634" s="359">
        <f>AA624</f>
        <v>47.769017673795474</v>
      </c>
    </row>
    <row r="635" spans="1:28" x14ac:dyDescent="0.2">
      <c r="A635" s="319" t="s">
        <v>335</v>
      </c>
      <c r="B635" s="319" t="s">
        <v>448</v>
      </c>
      <c r="C635" s="359">
        <f>Zero2</f>
        <v>614.2132728996462</v>
      </c>
      <c r="D635" s="359">
        <f>Q625</f>
        <v>22.502651684849567</v>
      </c>
      <c r="E635" s="359">
        <f>AA625</f>
        <v>36.667257916359304</v>
      </c>
    </row>
    <row r="636" spans="1:28" x14ac:dyDescent="0.2">
      <c r="A636" s="319" t="s">
        <v>333</v>
      </c>
      <c r="B636" s="319" t="s">
        <v>445</v>
      </c>
      <c r="C636" s="319">
        <f>pole3</f>
        <v>300000</v>
      </c>
      <c r="D636" s="359">
        <f>Q626</f>
        <v>-27.938672604735491</v>
      </c>
      <c r="E636" s="359">
        <f>AA626</f>
        <v>-7.8627338625054826</v>
      </c>
    </row>
    <row r="637" spans="1:28" x14ac:dyDescent="0.2">
      <c r="C637" s="406"/>
      <c r="D637" s="359"/>
      <c r="E637" s="359"/>
    </row>
    <row r="639" spans="1:28" x14ac:dyDescent="0.2">
      <c r="A639" s="359">
        <f>Q4*1000</f>
        <v>6025.6</v>
      </c>
    </row>
    <row r="640" spans="1:28" x14ac:dyDescent="0.2">
      <c r="A640" s="359">
        <f>Q4*1000</f>
        <v>6025.6</v>
      </c>
    </row>
    <row r="687" spans="30:31" x14ac:dyDescent="0.2">
      <c r="AD687" t="s">
        <v>44</v>
      </c>
      <c r="AE687" s="4">
        <f>SUM(AE689:AE1306)</f>
        <v>0</v>
      </c>
    </row>
  </sheetData>
  <mergeCells count="20">
    <mergeCell ref="A10:A12"/>
    <mergeCell ref="B10:B11"/>
    <mergeCell ref="C10:H10"/>
    <mergeCell ref="I10:N10"/>
    <mergeCell ref="O10:P10"/>
    <mergeCell ref="A2:D2"/>
    <mergeCell ref="E2:G2"/>
    <mergeCell ref="J2:L2"/>
    <mergeCell ref="M2:O2"/>
    <mergeCell ref="P2:R2"/>
    <mergeCell ref="Q10:S10"/>
    <mergeCell ref="X10:Y10"/>
    <mergeCell ref="AA10:AB10"/>
    <mergeCell ref="C11:D11"/>
    <mergeCell ref="E11:F11"/>
    <mergeCell ref="G11:H11"/>
    <mergeCell ref="I11:J11"/>
    <mergeCell ref="K11:L11"/>
    <mergeCell ref="M11:N11"/>
    <mergeCell ref="O11:P11"/>
  </mergeCells>
  <pageMargins left="0.75" right="0.75" top="1" bottom="1" header="0.5" footer="0.5"/>
  <pageSetup scale="48" orientation="portrait" horizontalDpi="300" verticalDpi="300" r:id="rId1"/>
  <headerFooter alignWithMargins="0"/>
  <colBreaks count="1" manualBreakCount="1">
    <brk id="1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N9"/>
  <sheetViews>
    <sheetView zoomScaleNormal="100" workbookViewId="0">
      <selection activeCell="F5" sqref="F5"/>
    </sheetView>
  </sheetViews>
  <sheetFormatPr defaultRowHeight="12.75" x14ac:dyDescent="0.2"/>
  <cols>
    <col min="1" max="1" width="10.5703125" customWidth="1"/>
    <col min="2" max="2" width="129.28515625" customWidth="1"/>
  </cols>
  <sheetData>
    <row r="1" spans="1:14" x14ac:dyDescent="0.2">
      <c r="J1" s="114" t="s">
        <v>621</v>
      </c>
      <c r="N1" s="114" t="s">
        <v>623</v>
      </c>
    </row>
    <row r="2" spans="1:14" x14ac:dyDescent="0.2">
      <c r="A2" t="str">
        <f>CHOOSE(BODE_PLOT_TYPE, "BODE_PLOT_Ch1", "BODE_PLOT_Ch2")</f>
        <v>BODE_PLOT_Ch1</v>
      </c>
      <c r="J2" s="114" t="s">
        <v>622</v>
      </c>
      <c r="N2" s="114" t="s">
        <v>777</v>
      </c>
    </row>
    <row r="3" spans="1:14" x14ac:dyDescent="0.2">
      <c r="J3" s="114" t="s">
        <v>620</v>
      </c>
    </row>
    <row r="4" spans="1:14" x14ac:dyDescent="0.2">
      <c r="J4" s="114" t="s">
        <v>619</v>
      </c>
    </row>
    <row r="5" spans="1:14" ht="409.5" customHeight="1" x14ac:dyDescent="0.2">
      <c r="B5" s="537"/>
    </row>
    <row r="6" spans="1:14" ht="12" customHeight="1" x14ac:dyDescent="0.2">
      <c r="B6" s="537"/>
      <c r="F6">
        <f ca="1">INDIRECT(A2)</f>
        <v>0</v>
      </c>
    </row>
    <row r="7" spans="1:14" ht="34.5" customHeight="1" x14ac:dyDescent="0.2"/>
    <row r="8" spans="1:14" ht="409.5" customHeight="1" x14ac:dyDescent="0.2">
      <c r="B8" s="537"/>
    </row>
    <row r="9" spans="1:14" x14ac:dyDescent="0.2">
      <c r="B9" s="53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BM209"/>
  <sheetViews>
    <sheetView topLeftCell="V1" zoomScaleNormal="100" workbookViewId="0">
      <pane ySplit="8" topLeftCell="A9" activePane="bottomLeft" state="frozen"/>
      <selection activeCell="F1" sqref="F1"/>
      <selection pane="bottomLeft" activeCell="AM9" sqref="AM9"/>
    </sheetView>
  </sheetViews>
  <sheetFormatPr defaultRowHeight="12.75" x14ac:dyDescent="0.2"/>
  <cols>
    <col min="1" max="1" width="19.85546875" customWidth="1"/>
    <col min="2" max="2" width="13.140625" bestFit="1" customWidth="1"/>
    <col min="4" max="4" width="74.5703125" customWidth="1"/>
    <col min="6" max="6" width="9.140625" customWidth="1"/>
    <col min="7" max="7" width="6.85546875" customWidth="1"/>
    <col min="8" max="8" width="9.140625" style="547"/>
    <col min="9" max="10" width="9.85546875" customWidth="1"/>
    <col min="11" max="11" width="8.140625" customWidth="1"/>
    <col min="12" max="12" width="7.42578125" customWidth="1"/>
    <col min="13" max="13" width="10.7109375" style="360" customWidth="1"/>
    <col min="14" max="16" width="8.85546875" style="4" customWidth="1"/>
    <col min="17" max="17" width="12.140625" style="4" customWidth="1"/>
    <col min="18" max="18" width="8" style="4" customWidth="1"/>
    <col min="19" max="19" width="9.42578125" style="311" customWidth="1"/>
    <col min="20" max="20" width="8" customWidth="1"/>
    <col min="21" max="21" width="9.28515625" customWidth="1"/>
    <col min="22" max="22" width="8.85546875" style="4" customWidth="1"/>
    <col min="23" max="23" width="9.85546875" customWidth="1"/>
    <col min="24" max="24" width="10.7109375" customWidth="1"/>
    <col min="25" max="25" width="9.7109375" style="311" customWidth="1"/>
    <col min="26" max="26" width="10.5703125" customWidth="1"/>
    <col min="28" max="29" width="8.5703125" customWidth="1"/>
    <col min="30" max="30" width="11.7109375" customWidth="1"/>
    <col min="31" max="31" width="12.85546875" customWidth="1"/>
    <col min="32" max="32" width="8" customWidth="1"/>
    <col min="33" max="33" width="9.85546875" customWidth="1"/>
    <col min="34" max="35" width="8.85546875" customWidth="1"/>
    <col min="36" max="36" width="10.5703125" customWidth="1"/>
    <col min="37" max="37" width="10.28515625" customWidth="1"/>
    <col min="38" max="38" width="13.7109375" customWidth="1"/>
    <col min="39" max="39" width="12" style="311" customWidth="1"/>
    <col min="40" max="40" width="11.5703125" customWidth="1"/>
    <col min="41" max="41" width="9.28515625" customWidth="1"/>
    <col min="42" max="43" width="10.42578125" customWidth="1"/>
    <col min="44" max="44" width="14.7109375" customWidth="1"/>
    <col min="46" max="46" width="8.42578125" style="4" customWidth="1"/>
    <col min="47" max="47" width="7.28515625" customWidth="1"/>
    <col min="48" max="48" width="10.140625" style="9" customWidth="1"/>
    <col min="49" max="49" width="12.42578125" style="379" customWidth="1"/>
    <col min="50" max="50" width="11.42578125" style="379" customWidth="1"/>
    <col min="51" max="51" width="3.28515625" customWidth="1"/>
    <col min="52" max="52" width="7.85546875" style="360" customWidth="1"/>
    <col min="53" max="53" width="9.140625" style="311"/>
    <col min="54" max="54" width="10.28515625" style="311" customWidth="1"/>
    <col min="55" max="55" width="12.140625" style="311" customWidth="1"/>
    <col min="56" max="56" width="8.85546875" style="311" customWidth="1"/>
    <col min="57" max="57" width="7.85546875" customWidth="1"/>
    <col min="61" max="61" width="28.42578125" customWidth="1"/>
    <col min="64" max="64" width="12.42578125" bestFit="1" customWidth="1"/>
  </cols>
  <sheetData>
    <row r="1" spans="1:65" ht="12.75" customHeight="1" x14ac:dyDescent="0.2">
      <c r="A1" s="758" t="s">
        <v>753</v>
      </c>
      <c r="B1" s="758"/>
      <c r="C1" s="758"/>
      <c r="D1" s="758"/>
    </row>
    <row r="2" spans="1:65" ht="12.75" customHeight="1" x14ac:dyDescent="0.2">
      <c r="A2" s="758"/>
      <c r="B2" s="758"/>
      <c r="C2" s="758"/>
      <c r="D2" s="758"/>
      <c r="H2" s="552" t="e">
        <f>AV19</f>
        <v>#VALUE!</v>
      </c>
      <c r="I2" s="114" t="s">
        <v>602</v>
      </c>
      <c r="J2" s="114"/>
      <c r="AK2" s="114"/>
    </row>
    <row r="3" spans="1:65" ht="12.75" customHeight="1" x14ac:dyDescent="0.2">
      <c r="A3" s="758"/>
      <c r="B3" s="758"/>
      <c r="C3" s="758"/>
      <c r="D3" s="758"/>
      <c r="H3" s="552" t="e">
        <f>AV59</f>
        <v>#VALUE!</v>
      </c>
      <c r="I3" s="114" t="s">
        <v>604</v>
      </c>
      <c r="J3" s="114"/>
      <c r="AK3" s="114"/>
      <c r="AP3">
        <f>IF(MODE=1, (Qg_Q1+Qg_Q2)*Fsw*Vin, (Qg_Q1+Qg_Q2+Qg_Q3+Qg_Q4)*Fsw*Vin)</f>
        <v>1.1879999999999999</v>
      </c>
    </row>
    <row r="4" spans="1:65" ht="12.75" customHeight="1" x14ac:dyDescent="0.2">
      <c r="A4" s="758"/>
      <c r="B4" s="758"/>
      <c r="C4" s="758"/>
      <c r="D4" s="758"/>
      <c r="H4" s="552" t="e">
        <f>AV109</f>
        <v>#VALUE!</v>
      </c>
      <c r="I4" s="114" t="s">
        <v>603</v>
      </c>
      <c r="J4" s="114"/>
      <c r="AK4" s="114"/>
      <c r="AO4" s="114" t="s">
        <v>815</v>
      </c>
      <c r="AP4">
        <f>(Qg_Q1+Qg_Q2)*Fsw*1000</f>
        <v>19.799999999999997</v>
      </c>
      <c r="AQ4" s="114" t="s">
        <v>64</v>
      </c>
      <c r="AR4">
        <f>AP4*5/1000</f>
        <v>9.8999999999999991E-2</v>
      </c>
    </row>
    <row r="5" spans="1:65" x14ac:dyDescent="0.2">
      <c r="A5" s="10"/>
      <c r="B5" s="11"/>
      <c r="C5" s="6"/>
      <c r="D5" s="6"/>
    </row>
    <row r="6" spans="1:65" ht="13.5" customHeight="1" thickBot="1" x14ac:dyDescent="0.25">
      <c r="A6" s="759" t="s">
        <v>474</v>
      </c>
      <c r="B6" s="759"/>
      <c r="C6" s="759"/>
      <c r="D6" s="759"/>
    </row>
    <row r="7" spans="1:65" ht="13.5" thickBot="1" x14ac:dyDescent="0.25">
      <c r="A7" s="759"/>
      <c r="B7" s="759"/>
      <c r="C7" s="759"/>
      <c r="D7" s="759"/>
      <c r="G7" s="755" t="s">
        <v>595</v>
      </c>
      <c r="H7" s="756"/>
      <c r="I7" s="756"/>
      <c r="J7" s="756"/>
      <c r="K7" s="756"/>
      <c r="L7" s="756"/>
      <c r="M7" s="756"/>
      <c r="N7" s="757"/>
      <c r="O7" s="651"/>
      <c r="P7" s="651"/>
      <c r="Q7" s="651"/>
      <c r="R7" s="755" t="s">
        <v>485</v>
      </c>
      <c r="S7" s="756"/>
      <c r="T7" s="756"/>
      <c r="U7" s="757"/>
      <c r="V7" s="760" t="s">
        <v>25</v>
      </c>
      <c r="W7" s="761"/>
      <c r="X7" s="762"/>
      <c r="Y7" s="755" t="s">
        <v>57</v>
      </c>
      <c r="Z7" s="756"/>
      <c r="AA7" s="757"/>
      <c r="AB7" s="755" t="s">
        <v>592</v>
      </c>
      <c r="AC7" s="756"/>
      <c r="AD7" s="756"/>
      <c r="AE7" s="756"/>
      <c r="AF7" s="756"/>
      <c r="AG7" s="757"/>
      <c r="AH7" s="755" t="s">
        <v>593</v>
      </c>
      <c r="AI7" s="756"/>
      <c r="AJ7" s="756"/>
      <c r="AK7" s="757"/>
      <c r="AL7" s="466" t="s">
        <v>201</v>
      </c>
      <c r="AM7" s="468" t="s">
        <v>458</v>
      </c>
      <c r="AN7" s="467" t="s">
        <v>503</v>
      </c>
      <c r="AO7" s="764" t="s">
        <v>492</v>
      </c>
      <c r="AP7" s="765"/>
      <c r="AQ7" s="765"/>
      <c r="AR7" s="766"/>
      <c r="AS7" s="767"/>
      <c r="AT7" s="755" t="s">
        <v>500</v>
      </c>
      <c r="AU7" s="756"/>
      <c r="AV7" s="756"/>
      <c r="AW7" s="756"/>
      <c r="AX7" s="756"/>
      <c r="AY7" s="543"/>
      <c r="AZ7" s="763" t="s">
        <v>501</v>
      </c>
      <c r="BA7" s="763"/>
      <c r="BB7" s="763"/>
      <c r="BC7" s="763"/>
      <c r="BD7" s="763"/>
      <c r="BE7" s="763"/>
    </row>
    <row r="8" spans="1:65" ht="64.5" thickBot="1" x14ac:dyDescent="0.45">
      <c r="A8" s="606" t="s">
        <v>108</v>
      </c>
      <c r="B8" s="13"/>
      <c r="C8" s="13"/>
      <c r="D8" s="6"/>
      <c r="G8" s="451" t="s">
        <v>53</v>
      </c>
      <c r="H8" s="538" t="s">
        <v>3</v>
      </c>
      <c r="I8" s="538" t="s">
        <v>594</v>
      </c>
      <c r="J8" s="538" t="s">
        <v>5</v>
      </c>
      <c r="K8" s="452" t="s">
        <v>774</v>
      </c>
      <c r="L8" s="452" t="s">
        <v>305</v>
      </c>
      <c r="M8" s="463" t="s">
        <v>596</v>
      </c>
      <c r="N8" s="540" t="s">
        <v>486</v>
      </c>
      <c r="O8" s="652" t="s">
        <v>830</v>
      </c>
      <c r="P8" s="652" t="s">
        <v>831</v>
      </c>
      <c r="Q8" s="652" t="s">
        <v>832</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828</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x14ac:dyDescent="0.2">
      <c r="A9" s="14" t="s">
        <v>55</v>
      </c>
      <c r="B9" s="15" t="s">
        <v>111</v>
      </c>
      <c r="C9" s="16" t="s">
        <v>76</v>
      </c>
      <c r="D9" s="17" t="s">
        <v>107</v>
      </c>
      <c r="G9">
        <v>0</v>
      </c>
      <c r="H9" s="548">
        <f t="shared" ref="H9:H40" si="0">Vin</f>
        <v>60</v>
      </c>
      <c r="I9" s="4">
        <f t="shared" ref="I9:I40" si="1">MODE</f>
        <v>1</v>
      </c>
      <c r="J9">
        <v>0</v>
      </c>
      <c r="K9" s="360">
        <f t="shared" ref="K9:K40" si="2">Iout*G9/100/Number_of_Phases</f>
        <v>0</v>
      </c>
      <c r="L9" s="4">
        <f t="shared" ref="L9:L40" si="3">Vout*K9/(Vin*Efficiency)</f>
        <v>0</v>
      </c>
      <c r="M9" s="360">
        <f t="shared" ref="M9:M40" si="4">(Vout+(Rdson2+Rs+Rdcr)*K9)/(Vin+(Rs+Rdson2-Rdson1)*K9)</f>
        <v>0.16666666666666666</v>
      </c>
      <c r="N9" s="4">
        <f t="shared" ref="N9:N40" si="5">(Vin-(Rdson1+Rdcr)*K9-Vout)*M9/(Fsw*Lf)</f>
        <v>1.3888888888888884</v>
      </c>
      <c r="O9" s="4">
        <f>K9+N9/2</f>
        <v>0.6944444444444442</v>
      </c>
      <c r="P9" s="4">
        <f>K9-N9/2</f>
        <v>-0.6944444444444442</v>
      </c>
      <c r="Q9" s="4">
        <f t="shared" ref="Q9:Q40" si="6">IF(MIN(Vin, -P9/(Coss_Q1+Coss_Q2)*0.00000002)&lt;0, 0, MIN(Vin, -P9/(Coss_Q1+Coss_Q2)*0.00000002))</f>
        <v>7.2602660161468293</v>
      </c>
      <c r="R9" s="4">
        <f>SQRT(K9^2+(N9^2)/12)</f>
        <v>0.40093768693723997</v>
      </c>
      <c r="S9" s="360">
        <f t="shared" ref="S9:S40" si="7">R9^2*Rdcr</f>
        <v>1.9290123456790109E-3</v>
      </c>
      <c r="T9" s="360">
        <f t="shared" ref="T9:T40" si="8">Core_Loss_Ch1</f>
        <v>0.3</v>
      </c>
      <c r="U9" s="360" t="e">
        <f t="shared" ref="U9:U40" si="9">(T9+S9*(1+Ltc*(Ta-25)))/(1-S9*Ltc*ThetaCa)</f>
        <v>#VALUE!</v>
      </c>
      <c r="V9" s="4">
        <f>N9/SQRT(12)</f>
        <v>0.40093768693723997</v>
      </c>
      <c r="W9" s="360">
        <f t="shared" ref="W9:W73" si="10">RCoutEsr*V9^2</f>
        <v>3.2150205761316845E-4</v>
      </c>
      <c r="X9" s="360">
        <f>W9</f>
        <v>3.2150205761316845E-4</v>
      </c>
      <c r="Y9" s="4">
        <f>SQRT(M9*(1-M9))*SQRT(K9^2+(N9^2)/12)</f>
        <v>0.14942065378886635</v>
      </c>
      <c r="Z9" s="360">
        <f t="shared" ref="Z9:Z73" si="11">RCinEsr*Y9^2</f>
        <v>2.2326531778692261E-5</v>
      </c>
      <c r="AA9" s="541">
        <f>Z9</f>
        <v>2.2326531778692261E-5</v>
      </c>
      <c r="AB9" s="360">
        <f>SQRT(M9)*SQRT(K9^2+(N9^2)/12)</f>
        <v>0.16368212527466372</v>
      </c>
      <c r="AC9" s="360">
        <f t="shared" ref="AC9:AC40" si="12">Rdson1*AB9^2</f>
        <v>1.6075102880658425E-4</v>
      </c>
      <c r="AD9" s="360">
        <f t="shared" ref="AD9:AD40" si="13">(Vin*K9/2)*Fsw*(Tr_buck+Tf_buck)</f>
        <v>0</v>
      </c>
      <c r="AE9" s="360">
        <f t="shared" ref="AE9:AE40" si="14">(0.5*Coss_Q1*(Vin-Q9)^2-0.5*Coss_Q2*(Vin-Q9)^2+(Qoss_Q2*(Vin-Q9)/Vin)*Vin)*Fsw</f>
        <v>-0.29150281139137996</v>
      </c>
      <c r="AF9" s="360">
        <f t="shared" ref="AF9:AF40" si="15">IF(K9&gt;N9/2,0,ABS(K9-N9/2)*Vsd_Q1*Deadtime*Fsw)</f>
        <v>4.0833333333333312E-3</v>
      </c>
      <c r="AG9" s="360" t="e">
        <f t="shared" ref="AG9:AG40" si="16">(AF9+AE9+AD9+AC9*(1+RdsonTopTc*Ta-RdsonTopTc*25))/(1-AC9*RdsonTopTc*ThetaJA_Q1)</f>
        <v>#VALUE!</v>
      </c>
      <c r="AH9" s="360">
        <f t="shared" ref="AH9:AH40" si="17">SQRT((1-M9))*SQRT(K9^2+(N9^2)/12)</f>
        <v>0.36600435881578453</v>
      </c>
      <c r="AI9" s="360">
        <f t="shared" ref="AI9:AI40" si="18">Rdson2*AH9^2</f>
        <v>3.3489797668038388E-4</v>
      </c>
      <c r="AJ9" s="360">
        <f t="shared" ref="AJ9:AJ40" si="19">IF(K9&lt;N9/2,Deadtime*Fsw*IF(VfdSky_Q2&gt;0,0,Vsd_Q2)*(K9+N9/2),2*Deadtime*Fsw*IF(VfdSky_Q2&gt;0,0,Vsd_Q2)*K9)</f>
        <v>4.0833333333333312E-3</v>
      </c>
      <c r="AK9" s="360" t="e">
        <f t="shared" ref="AK9:AK40" si="20">(AJ9+AI9*(1+RdsonBotTc*Ta-RdsonBotTc*25))/(1-AI9*RdsonBotTc*ThetaJA_Q2)</f>
        <v>#VALUE!</v>
      </c>
      <c r="AL9" s="360">
        <f t="shared" ref="AL9:AL40" si="21">2*Deadtime*Fsw*IF(VfdSky_Q2&gt;0,VfdSky_Q2,Vsd_Q2)*K9</f>
        <v>0</v>
      </c>
      <c r="AM9" s="360">
        <f t="shared" ref="AM9:AM40" si="22">IF(QrrSky_Q2&gt;0,QrrSky_Q2,Qrr_Q2*K9/(Iout/Number_of_Phases))*Fsw*Vin</f>
        <v>0</v>
      </c>
      <c r="AN9" s="360">
        <f t="shared" ref="AN9:AN40" si="23">CHOOSE(SENSING_TYPE, Rs*R9^2, 0)</f>
        <v>8.0375514403292119E-4</v>
      </c>
      <c r="AO9" s="360">
        <f t="shared" ref="AO9:AO40" si="24">Iq*Vin</f>
        <v>2.0999999999999999E-3</v>
      </c>
      <c r="AP9" s="360">
        <f t="shared" ref="AP9:AP40" si="25">IF(Ext_VCC=1,  (Qg_Q1+Qg_Q2)*Fsw*VCC, (Qg_Q1+Qg_Q2)*Fsw*Vin)</f>
        <v>9.8999999999999991E-2</v>
      </c>
      <c r="AQ9" s="360">
        <f t="shared" ref="AQ9:AQ72" si="26">(Vin-VCC)*Fsw*(Qg_Q1+Qg_Q2)+(RdsonDRT+RdsonDRT2)*Fsw*Qg_Q1*VCC/(RdsonDRT+2*Rgate1+RdsonDRT2)+(RdsonDRB+RdsonDRB2)*Fsw*Qg_Q2*VCC/(RdsonDRB+2*Rgate2+RdsonDRB2)</f>
        <v>1.1483999999999999</v>
      </c>
      <c r="AR9" s="360">
        <f t="shared" ref="AR9:AR40" si="27">(Qg_Q1+Qg_Q2)*Fsw*(Vin-VCC)</f>
        <v>1.089</v>
      </c>
      <c r="AS9" s="360">
        <f t="shared" ref="AS9:AS40" si="28">SUM(AO9:AP9)</f>
        <v>0.1011</v>
      </c>
      <c r="AT9" s="360" t="e">
        <f t="shared" ref="AT9:AT40" si="29" xml:space="preserve"> SUM(U9,X9,AA9,AG9,AK9,AL9,AM9,AS9,AN9)</f>
        <v>#VALUE!</v>
      </c>
      <c r="AU9">
        <f t="shared" ref="AU9:AU40" si="30">Vout*K9</f>
        <v>0</v>
      </c>
      <c r="AV9" s="542" t="e">
        <f>AU9/(AU9+AT9)</f>
        <v>#VALUE!</v>
      </c>
      <c r="AW9" s="551" t="e">
        <f t="shared" ref="AW9:AW40" si="31">ThetaJA_Q1*BC9</f>
        <v>#VALUE!</v>
      </c>
      <c r="AX9" s="551" t="e">
        <f t="shared" ref="AX9:AX40" si="32">ThetaJA_Q2*BD9</f>
        <v>#VALUE!</v>
      </c>
      <c r="AZ9" s="4" t="e">
        <f>AV9*100</f>
        <v>#VALUE!</v>
      </c>
      <c r="BA9" s="360" t="e">
        <f t="shared" ref="BA9:BA40" si="33">U9</f>
        <v>#VALUE!</v>
      </c>
      <c r="BB9" s="360" t="e">
        <f t="shared" ref="BB9:BB40" si="34">AG9+AK9+AM9</f>
        <v>#VALUE!</v>
      </c>
      <c r="BC9" s="360" t="e">
        <f t="shared" ref="BC9:BC40" si="35">AG9+AM9*0.66</f>
        <v>#VALUE!</v>
      </c>
      <c r="BD9" s="360" t="e">
        <f t="shared" ref="BD9:BD40" si="36">AK9+AM9*0.33</f>
        <v>#VALUE!</v>
      </c>
      <c r="BE9" s="360">
        <f t="shared" ref="BE9:BE40" si="37">AN9</f>
        <v>8.0375514403292119E-4</v>
      </c>
      <c r="BJ9" s="18"/>
      <c r="BK9" s="18"/>
      <c r="BL9" s="18"/>
      <c r="BM9" s="19"/>
    </row>
    <row r="10" spans="1:65" x14ac:dyDescent="0.2">
      <c r="A10" s="495"/>
      <c r="B10" s="24"/>
      <c r="C10" s="16"/>
      <c r="D10" s="17"/>
      <c r="G10">
        <v>1</v>
      </c>
      <c r="H10" s="548">
        <f t="shared" si="0"/>
        <v>60</v>
      </c>
      <c r="I10" s="4">
        <f t="shared" si="1"/>
        <v>1</v>
      </c>
      <c r="J10" s="360">
        <f t="shared" ref="J10:J41" si="38">Iout*G10/100</f>
        <v>0.1</v>
      </c>
      <c r="K10" s="360">
        <f t="shared" si="2"/>
        <v>0.1</v>
      </c>
      <c r="L10" s="4">
        <f t="shared" si="3"/>
        <v>1.8518518518518517E-2</v>
      </c>
      <c r="M10" s="360">
        <f t="shared" si="4"/>
        <v>0.16669874991979189</v>
      </c>
      <c r="N10" s="4">
        <f t="shared" si="5"/>
        <v>1.3891062397066229</v>
      </c>
      <c r="O10" s="4">
        <f t="shared" ref="O10:O73" si="39">K10+N10/2</f>
        <v>0.79455311985331145</v>
      </c>
      <c r="P10" s="4">
        <f t="shared" ref="P10:P73" si="40">K10-N10/2</f>
        <v>-0.5945531198533115</v>
      </c>
      <c r="Q10" s="4">
        <f t="shared" si="6"/>
        <v>6.2159238876457037</v>
      </c>
      <c r="R10" s="4">
        <f t="shared" ref="R10:R73" si="41">SQRT(K10^2+(N10^2)/12)</f>
        <v>0.41328119414347436</v>
      </c>
      <c r="S10" s="360">
        <f t="shared" si="7"/>
        <v>2.0496161451918739E-3</v>
      </c>
      <c r="T10" s="360">
        <f t="shared" si="8"/>
        <v>0.3</v>
      </c>
      <c r="U10" s="360" t="e">
        <f t="shared" si="9"/>
        <v>#VALUE!</v>
      </c>
      <c r="V10" s="4">
        <f t="shared" ref="V10:V73" si="42">N10/SQRT(12)</f>
        <v>0.40100043071380381</v>
      </c>
      <c r="W10" s="360">
        <f t="shared" si="10"/>
        <v>3.2160269086531237E-4</v>
      </c>
      <c r="X10" s="360">
        <f t="shared" ref="X10:X73" si="43">W10</f>
        <v>3.2160269086531237E-4</v>
      </c>
      <c r="Y10" s="4">
        <f t="shared" ref="Y10:Y73" si="44">SQRT(M10*(1-M10))*SQRT(K10^2+(N10^2)/12)</f>
        <v>0.15403266586644379</v>
      </c>
      <c r="Z10" s="360">
        <f t="shared" si="11"/>
        <v>2.3726062153923521E-5</v>
      </c>
      <c r="AA10" s="541">
        <f t="shared" ref="AA10:AA73" si="45">Z10</f>
        <v>2.3726062153923521E-5</v>
      </c>
      <c r="AB10" s="360">
        <f t="shared" ref="AB10:AB73" si="46">SQRT(M10)*SQRT(K10^2+(N10^2)/12)</f>
        <v>0.1687375795969657</v>
      </c>
      <c r="AC10" s="360">
        <f t="shared" si="12"/>
        <v>1.70834224609454E-4</v>
      </c>
      <c r="AD10" s="360">
        <f t="shared" si="13"/>
        <v>6.5274811117905819E-3</v>
      </c>
      <c r="AE10" s="360">
        <f t="shared" si="14"/>
        <v>-0.3223320747556947</v>
      </c>
      <c r="AF10" s="360">
        <f t="shared" si="15"/>
        <v>3.4959723447374712E-3</v>
      </c>
      <c r="AG10" s="360" t="e">
        <f t="shared" si="16"/>
        <v>#VALUE!</v>
      </c>
      <c r="AH10" s="360">
        <f t="shared" si="17"/>
        <v>0.37726512516321176</v>
      </c>
      <c r="AI10" s="360">
        <f t="shared" si="18"/>
        <v>3.5582243666103458E-4</v>
      </c>
      <c r="AJ10" s="360">
        <f t="shared" si="19"/>
        <v>4.6719723447374703E-3</v>
      </c>
      <c r="AK10" s="360" t="e">
        <f t="shared" si="20"/>
        <v>#VALUE!</v>
      </c>
      <c r="AL10" s="360">
        <f t="shared" si="21"/>
        <v>1.176E-3</v>
      </c>
      <c r="AM10" s="360">
        <f t="shared" si="22"/>
        <v>2.1600000000000001E-2</v>
      </c>
      <c r="AN10" s="360">
        <f t="shared" si="23"/>
        <v>8.540067271632808E-4</v>
      </c>
      <c r="AO10" s="360">
        <f t="shared" si="24"/>
        <v>2.0999999999999999E-3</v>
      </c>
      <c r="AP10" s="360">
        <f t="shared" si="25"/>
        <v>9.8999999999999991E-2</v>
      </c>
      <c r="AQ10" s="360">
        <f t="shared" si="26"/>
        <v>1.1483999999999999</v>
      </c>
      <c r="AR10" s="360">
        <f t="shared" si="27"/>
        <v>1.089</v>
      </c>
      <c r="AS10" s="360">
        <f t="shared" si="28"/>
        <v>0.1011</v>
      </c>
      <c r="AT10" s="360" t="e">
        <f t="shared" si="29"/>
        <v>#VALUE!</v>
      </c>
      <c r="AU10">
        <f t="shared" si="30"/>
        <v>1</v>
      </c>
      <c r="AV10" s="542" t="e">
        <f t="shared" ref="AV10:AV73" si="47">AU10/(AU10+AT10)</f>
        <v>#VALUE!</v>
      </c>
      <c r="AW10" s="551" t="e">
        <f t="shared" si="31"/>
        <v>#VALUE!</v>
      </c>
      <c r="AX10" s="551" t="e">
        <f t="shared" si="32"/>
        <v>#VALUE!</v>
      </c>
      <c r="AY10" s="9"/>
      <c r="AZ10" s="4" t="e">
        <f t="shared" ref="AZ10:AZ73" si="48">AV10*100</f>
        <v>#VALUE!</v>
      </c>
      <c r="BA10" s="360" t="e">
        <f t="shared" si="33"/>
        <v>#VALUE!</v>
      </c>
      <c r="BB10" s="360" t="e">
        <f t="shared" si="34"/>
        <v>#VALUE!</v>
      </c>
      <c r="BC10" s="360" t="e">
        <f t="shared" si="35"/>
        <v>#VALUE!</v>
      </c>
      <c r="BD10" s="360" t="e">
        <f t="shared" si="36"/>
        <v>#VALUE!</v>
      </c>
      <c r="BE10" s="360">
        <f t="shared" si="37"/>
        <v>8.540067271632808E-4</v>
      </c>
      <c r="BJ10" s="18"/>
      <c r="BK10" s="18"/>
      <c r="BL10" s="18"/>
      <c r="BM10" s="19"/>
    </row>
    <row r="11" spans="1:65" x14ac:dyDescent="0.2">
      <c r="A11" s="20" t="s">
        <v>3</v>
      </c>
      <c r="B11" s="5">
        <f>Vin</f>
        <v>60</v>
      </c>
      <c r="C11" s="440" t="s">
        <v>0</v>
      </c>
      <c r="D11" s="21" t="s">
        <v>3</v>
      </c>
      <c r="G11">
        <v>2</v>
      </c>
      <c r="H11" s="548">
        <f t="shared" si="0"/>
        <v>60</v>
      </c>
      <c r="I11" s="4">
        <f t="shared" si="1"/>
        <v>1</v>
      </c>
      <c r="J11" s="360">
        <f t="shared" si="38"/>
        <v>0.2</v>
      </c>
      <c r="K11" s="360">
        <f t="shared" si="2"/>
        <v>0.2</v>
      </c>
      <c r="L11" s="4">
        <f t="shared" si="3"/>
        <v>3.7037037037037035E-2</v>
      </c>
      <c r="M11" s="360">
        <f t="shared" si="4"/>
        <v>0.16673083301250161</v>
      </c>
      <c r="N11" s="4">
        <f t="shared" si="5"/>
        <v>1.3893235699377058</v>
      </c>
      <c r="O11" s="4">
        <f t="shared" si="39"/>
        <v>0.89466178496885296</v>
      </c>
      <c r="P11" s="4">
        <f t="shared" si="40"/>
        <v>-0.49466178496885288</v>
      </c>
      <c r="Q11" s="4">
        <f t="shared" si="6"/>
        <v>5.1715816515300874</v>
      </c>
      <c r="R11" s="4">
        <f t="shared" si="41"/>
        <v>0.4481647745699911</v>
      </c>
      <c r="S11" s="360">
        <f t="shared" si="7"/>
        <v>2.4102199819844516E-3</v>
      </c>
      <c r="T11" s="360">
        <f t="shared" si="8"/>
        <v>0.3</v>
      </c>
      <c r="U11" s="360" t="e">
        <f t="shared" si="9"/>
        <v>#VALUE!</v>
      </c>
      <c r="V11" s="4">
        <f t="shared" si="42"/>
        <v>0.40106316854751317</v>
      </c>
      <c r="W11" s="360">
        <f t="shared" si="10"/>
        <v>3.2170333033074193E-4</v>
      </c>
      <c r="X11" s="360">
        <f t="shared" si="43"/>
        <v>3.2170333033074193E-4</v>
      </c>
      <c r="Y11" s="4">
        <f t="shared" si="44"/>
        <v>0.16704686684960593</v>
      </c>
      <c r="Z11" s="360">
        <f t="shared" si="11"/>
        <v>2.7904655724269973E-5</v>
      </c>
      <c r="AA11" s="541">
        <f t="shared" si="45"/>
        <v>2.7904655724269973E-5</v>
      </c>
      <c r="AB11" s="360">
        <f t="shared" si="46"/>
        <v>0.18299771978079496</v>
      </c>
      <c r="AC11" s="360">
        <f t="shared" si="12"/>
        <v>2.0092899266982211E-4</v>
      </c>
      <c r="AD11" s="360">
        <f t="shared" si="13"/>
        <v>1.3054962223581164E-2</v>
      </c>
      <c r="AE11" s="360">
        <f t="shared" si="14"/>
        <v>-0.35413441980669613</v>
      </c>
      <c r="AF11" s="360">
        <f t="shared" si="15"/>
        <v>2.9086112956168545E-3</v>
      </c>
      <c r="AG11" s="360" t="e">
        <f t="shared" si="16"/>
        <v>#VALUE!</v>
      </c>
      <c r="AH11" s="360">
        <f t="shared" si="17"/>
        <v>0.4091008429719995</v>
      </c>
      <c r="AI11" s="360">
        <f t="shared" si="18"/>
        <v>4.184087493010015E-4</v>
      </c>
      <c r="AJ11" s="360">
        <f t="shared" si="19"/>
        <v>5.260611295616854E-3</v>
      </c>
      <c r="AK11" s="360" t="e">
        <f t="shared" si="20"/>
        <v>#VALUE!</v>
      </c>
      <c r="AL11" s="360">
        <f t="shared" si="21"/>
        <v>2.3519999999999999E-3</v>
      </c>
      <c r="AM11" s="360">
        <f t="shared" si="22"/>
        <v>4.3200000000000002E-2</v>
      </c>
      <c r="AN11" s="360">
        <f t="shared" si="23"/>
        <v>1.0042583258268547E-3</v>
      </c>
      <c r="AO11" s="360">
        <f t="shared" si="24"/>
        <v>2.0999999999999999E-3</v>
      </c>
      <c r="AP11" s="360">
        <f t="shared" si="25"/>
        <v>9.8999999999999991E-2</v>
      </c>
      <c r="AQ11" s="360">
        <f t="shared" si="26"/>
        <v>1.1483999999999999</v>
      </c>
      <c r="AR11" s="360">
        <f t="shared" si="27"/>
        <v>1.089</v>
      </c>
      <c r="AS11" s="360">
        <f t="shared" si="28"/>
        <v>0.1011</v>
      </c>
      <c r="AT11" s="360" t="e">
        <f t="shared" si="29"/>
        <v>#VALUE!</v>
      </c>
      <c r="AU11">
        <f t="shared" si="30"/>
        <v>2</v>
      </c>
      <c r="AV11" s="542" t="e">
        <f t="shared" si="47"/>
        <v>#VALUE!</v>
      </c>
      <c r="AW11" s="551" t="e">
        <f t="shared" si="31"/>
        <v>#VALUE!</v>
      </c>
      <c r="AX11" s="551" t="e">
        <f t="shared" si="32"/>
        <v>#VALUE!</v>
      </c>
      <c r="AY11" s="9"/>
      <c r="AZ11" s="4" t="e">
        <f t="shared" si="48"/>
        <v>#VALUE!</v>
      </c>
      <c r="BA11" s="360" t="e">
        <f t="shared" si="33"/>
        <v>#VALUE!</v>
      </c>
      <c r="BB11" s="360" t="e">
        <f t="shared" si="34"/>
        <v>#VALUE!</v>
      </c>
      <c r="BC11" s="360" t="e">
        <f t="shared" si="35"/>
        <v>#VALUE!</v>
      </c>
      <c r="BD11" s="360" t="e">
        <f t="shared" si="36"/>
        <v>#VALUE!</v>
      </c>
      <c r="BE11" s="360">
        <f t="shared" si="37"/>
        <v>1.0042583258268547E-3</v>
      </c>
      <c r="BJ11" s="18"/>
      <c r="BK11" s="18"/>
      <c r="BL11" s="18"/>
      <c r="BM11" s="19"/>
    </row>
    <row r="12" spans="1:65" x14ac:dyDescent="0.2">
      <c r="A12" s="22" t="s">
        <v>4</v>
      </c>
      <c r="B12" s="5">
        <f>Vout</f>
        <v>10</v>
      </c>
      <c r="C12" s="440" t="s">
        <v>0</v>
      </c>
      <c r="D12" s="21" t="s">
        <v>4</v>
      </c>
      <c r="G12">
        <v>3</v>
      </c>
      <c r="H12" s="548">
        <f t="shared" si="0"/>
        <v>60</v>
      </c>
      <c r="I12" s="4">
        <f t="shared" si="1"/>
        <v>1</v>
      </c>
      <c r="J12" s="360">
        <f t="shared" si="38"/>
        <v>0.3</v>
      </c>
      <c r="K12" s="360">
        <f t="shared" si="2"/>
        <v>0.3</v>
      </c>
      <c r="L12" s="4">
        <f t="shared" si="3"/>
        <v>5.5555555555555552E-2</v>
      </c>
      <c r="M12" s="360">
        <f t="shared" si="4"/>
        <v>0.16676291594479709</v>
      </c>
      <c r="N12" s="4">
        <f t="shared" si="5"/>
        <v>1.3895408795822917</v>
      </c>
      <c r="O12" s="4">
        <f t="shared" si="39"/>
        <v>0.99477043979114588</v>
      </c>
      <c r="P12" s="4">
        <f t="shared" si="40"/>
        <v>-0.39477043979114584</v>
      </c>
      <c r="Q12" s="4">
        <f t="shared" si="6"/>
        <v>4.1272393078007932</v>
      </c>
      <c r="R12" s="4">
        <f t="shared" si="41"/>
        <v>0.50090117588455252</v>
      </c>
      <c r="S12" s="360">
        <f t="shared" si="7"/>
        <v>3.0108238560303292E-3</v>
      </c>
      <c r="T12" s="360">
        <f t="shared" si="8"/>
        <v>0.3</v>
      </c>
      <c r="U12" s="360" t="e">
        <f t="shared" si="9"/>
        <v>#VALUE!</v>
      </c>
      <c r="V12" s="4">
        <f t="shared" si="42"/>
        <v>0.40112590043841273</v>
      </c>
      <c r="W12" s="360">
        <f t="shared" si="10"/>
        <v>3.2180397600505478E-4</v>
      </c>
      <c r="X12" s="360">
        <f t="shared" si="43"/>
        <v>3.2180397600505478E-4</v>
      </c>
      <c r="Y12" s="4">
        <f t="shared" si="44"/>
        <v>0.1867179569105018</v>
      </c>
      <c r="Z12" s="360">
        <f t="shared" si="11"/>
        <v>3.4863595432832009E-5</v>
      </c>
      <c r="AA12" s="541">
        <f t="shared" si="45"/>
        <v>3.4863595432832009E-5</v>
      </c>
      <c r="AB12" s="360">
        <f t="shared" si="46"/>
        <v>0.20455108686009948</v>
      </c>
      <c r="AC12" s="360">
        <f t="shared" si="12"/>
        <v>2.510468828138878E-4</v>
      </c>
      <c r="AD12" s="360">
        <f t="shared" si="13"/>
        <v>1.9582443335371746E-2</v>
      </c>
      <c r="AE12" s="360">
        <f t="shared" si="14"/>
        <v>-0.38690984684517232</v>
      </c>
      <c r="AF12" s="360">
        <f t="shared" si="15"/>
        <v>2.3212501859719375E-3</v>
      </c>
      <c r="AG12" s="360" t="e">
        <f t="shared" si="16"/>
        <v>#VALUE!</v>
      </c>
      <c r="AH12" s="360">
        <f t="shared" si="17"/>
        <v>0.45723171463370677</v>
      </c>
      <c r="AI12" s="360">
        <f t="shared" si="18"/>
        <v>5.2265210216719861E-4</v>
      </c>
      <c r="AJ12" s="360">
        <f t="shared" si="19"/>
        <v>5.8492501859719369E-3</v>
      </c>
      <c r="AK12" s="360" t="e">
        <f t="shared" si="20"/>
        <v>#VALUE!</v>
      </c>
      <c r="AL12" s="360">
        <f t="shared" si="21"/>
        <v>3.527999999999999E-3</v>
      </c>
      <c r="AM12" s="360">
        <f t="shared" si="22"/>
        <v>6.4799999999999996E-2</v>
      </c>
      <c r="AN12" s="360">
        <f t="shared" si="23"/>
        <v>1.2545099400126372E-3</v>
      </c>
      <c r="AO12" s="360">
        <f t="shared" si="24"/>
        <v>2.0999999999999999E-3</v>
      </c>
      <c r="AP12" s="360">
        <f t="shared" si="25"/>
        <v>9.8999999999999991E-2</v>
      </c>
      <c r="AQ12" s="360">
        <f t="shared" si="26"/>
        <v>1.1483999999999999</v>
      </c>
      <c r="AR12" s="360">
        <f t="shared" si="27"/>
        <v>1.089</v>
      </c>
      <c r="AS12" s="360">
        <f t="shared" si="28"/>
        <v>0.1011</v>
      </c>
      <c r="AT12" s="360" t="e">
        <f t="shared" si="29"/>
        <v>#VALUE!</v>
      </c>
      <c r="AU12">
        <f t="shared" si="30"/>
        <v>3</v>
      </c>
      <c r="AV12" s="542" t="e">
        <f t="shared" si="47"/>
        <v>#VALUE!</v>
      </c>
      <c r="AW12" s="551" t="e">
        <f t="shared" si="31"/>
        <v>#VALUE!</v>
      </c>
      <c r="AX12" s="551" t="e">
        <f t="shared" si="32"/>
        <v>#VALUE!</v>
      </c>
      <c r="AY12" s="9"/>
      <c r="AZ12" s="4" t="e">
        <f t="shared" si="48"/>
        <v>#VALUE!</v>
      </c>
      <c r="BA12" s="360" t="e">
        <f t="shared" si="33"/>
        <v>#VALUE!</v>
      </c>
      <c r="BB12" s="360" t="e">
        <f t="shared" si="34"/>
        <v>#VALUE!</v>
      </c>
      <c r="BC12" s="360" t="e">
        <f t="shared" si="35"/>
        <v>#VALUE!</v>
      </c>
      <c r="BD12" s="360" t="e">
        <f t="shared" si="36"/>
        <v>#VALUE!</v>
      </c>
      <c r="BE12" s="360">
        <f t="shared" si="37"/>
        <v>1.2545099400126372E-3</v>
      </c>
      <c r="BJ12" s="18"/>
      <c r="BK12" s="18"/>
      <c r="BL12" s="18"/>
      <c r="BM12" s="19"/>
    </row>
    <row r="13" spans="1:65" x14ac:dyDescent="0.2">
      <c r="A13" s="22" t="s">
        <v>6</v>
      </c>
      <c r="B13" s="5">
        <f>Fsw/1000</f>
        <v>600</v>
      </c>
      <c r="C13" s="440" t="s">
        <v>2</v>
      </c>
      <c r="D13" s="21" t="s">
        <v>94</v>
      </c>
      <c r="G13">
        <v>4</v>
      </c>
      <c r="H13" s="548">
        <f t="shared" si="0"/>
        <v>60</v>
      </c>
      <c r="I13" s="4">
        <f t="shared" si="1"/>
        <v>1</v>
      </c>
      <c r="J13" s="360">
        <f t="shared" si="38"/>
        <v>0.4</v>
      </c>
      <c r="K13" s="360">
        <f t="shared" si="2"/>
        <v>0.4</v>
      </c>
      <c r="L13" s="4">
        <f t="shared" si="3"/>
        <v>7.407407407407407E-2</v>
      </c>
      <c r="M13" s="360">
        <f t="shared" si="4"/>
        <v>0.16679499871667949</v>
      </c>
      <c r="N13" s="4">
        <f t="shared" si="5"/>
        <v>1.3897581686405356</v>
      </c>
      <c r="O13" s="4">
        <f t="shared" si="39"/>
        <v>1.0948790843202678</v>
      </c>
      <c r="P13" s="4">
        <f t="shared" si="40"/>
        <v>-0.29487908432026777</v>
      </c>
      <c r="Q13" s="4">
        <f t="shared" si="6"/>
        <v>3.0828968564586283</v>
      </c>
      <c r="R13" s="4">
        <f t="shared" si="41"/>
        <v>0.5665265341905219</v>
      </c>
      <c r="S13" s="360">
        <f t="shared" si="7"/>
        <v>3.8514277673030949E-3</v>
      </c>
      <c r="T13" s="360">
        <f t="shared" si="8"/>
        <v>0.3</v>
      </c>
      <c r="U13" s="360" t="e">
        <f t="shared" si="9"/>
        <v>#VALUE!</v>
      </c>
      <c r="V13" s="4">
        <f t="shared" si="42"/>
        <v>0.40118862638654729</v>
      </c>
      <c r="W13" s="360">
        <f t="shared" si="10"/>
        <v>3.2190462788384927E-4</v>
      </c>
      <c r="X13" s="360">
        <f t="shared" si="43"/>
        <v>3.2190462788384927E-4</v>
      </c>
      <c r="Y13" s="4">
        <f t="shared" si="44"/>
        <v>0.21119697905710563</v>
      </c>
      <c r="Z13" s="360">
        <f t="shared" si="11"/>
        <v>4.4604163962847512E-5</v>
      </c>
      <c r="AA13" s="541">
        <f t="shared" si="45"/>
        <v>4.4604163962847512E-5</v>
      </c>
      <c r="AB13" s="360">
        <f t="shared" si="46"/>
        <v>0.23137251520450441</v>
      </c>
      <c r="AC13" s="360">
        <f t="shared" si="12"/>
        <v>3.2119944475235179E-4</v>
      </c>
      <c r="AD13" s="360">
        <f t="shared" si="13"/>
        <v>2.6109924447162328E-2</v>
      </c>
      <c r="AE13" s="360">
        <f t="shared" si="14"/>
        <v>-0.4206583561719075</v>
      </c>
      <c r="AF13" s="360">
        <f t="shared" si="15"/>
        <v>1.7338890158031743E-3</v>
      </c>
      <c r="AG13" s="360" t="e">
        <f t="shared" si="16"/>
        <v>#VALUE!</v>
      </c>
      <c r="AH13" s="360">
        <f t="shared" si="17"/>
        <v>0.51712578078245719</v>
      </c>
      <c r="AI13" s="360">
        <f t="shared" si="18"/>
        <v>6.6854768287466493E-4</v>
      </c>
      <c r="AJ13" s="360">
        <f t="shared" si="19"/>
        <v>6.4378890158031735E-3</v>
      </c>
      <c r="AK13" s="360" t="e">
        <f t="shared" si="20"/>
        <v>#VALUE!</v>
      </c>
      <c r="AL13" s="360">
        <f t="shared" si="21"/>
        <v>4.7039999999999998E-3</v>
      </c>
      <c r="AM13" s="360">
        <f t="shared" si="22"/>
        <v>8.6400000000000005E-2</v>
      </c>
      <c r="AN13" s="360">
        <f t="shared" si="23"/>
        <v>1.6047615697096229E-3</v>
      </c>
      <c r="AO13" s="360">
        <f t="shared" si="24"/>
        <v>2.0999999999999999E-3</v>
      </c>
      <c r="AP13" s="360">
        <f t="shared" si="25"/>
        <v>9.8999999999999991E-2</v>
      </c>
      <c r="AQ13" s="360">
        <f t="shared" si="26"/>
        <v>1.1483999999999999</v>
      </c>
      <c r="AR13" s="360">
        <f t="shared" si="27"/>
        <v>1.089</v>
      </c>
      <c r="AS13" s="360">
        <f t="shared" si="28"/>
        <v>0.1011</v>
      </c>
      <c r="AT13" s="360" t="e">
        <f t="shared" si="29"/>
        <v>#VALUE!</v>
      </c>
      <c r="AU13">
        <f t="shared" si="30"/>
        <v>4</v>
      </c>
      <c r="AV13" s="542" t="e">
        <f t="shared" si="47"/>
        <v>#VALUE!</v>
      </c>
      <c r="AW13" s="551" t="e">
        <f t="shared" si="31"/>
        <v>#VALUE!</v>
      </c>
      <c r="AX13" s="551" t="e">
        <f t="shared" si="32"/>
        <v>#VALUE!</v>
      </c>
      <c r="AY13" s="9"/>
      <c r="AZ13" s="4" t="e">
        <f t="shared" si="48"/>
        <v>#VALUE!</v>
      </c>
      <c r="BA13" s="360" t="e">
        <f t="shared" si="33"/>
        <v>#VALUE!</v>
      </c>
      <c r="BB13" s="360" t="e">
        <f t="shared" si="34"/>
        <v>#VALUE!</v>
      </c>
      <c r="BC13" s="360" t="e">
        <f t="shared" si="35"/>
        <v>#VALUE!</v>
      </c>
      <c r="BD13" s="360" t="e">
        <f t="shared" si="36"/>
        <v>#VALUE!</v>
      </c>
      <c r="BE13" s="360">
        <f t="shared" si="37"/>
        <v>1.6047615697096229E-3</v>
      </c>
      <c r="BJ13" s="18"/>
      <c r="BK13" s="18"/>
      <c r="BL13" s="18"/>
      <c r="BM13" s="19"/>
    </row>
    <row r="14" spans="1:65" x14ac:dyDescent="0.2">
      <c r="A14" s="22" t="s">
        <v>5</v>
      </c>
      <c r="B14" s="5">
        <f>Iout</f>
        <v>10</v>
      </c>
      <c r="C14" s="440" t="s">
        <v>1</v>
      </c>
      <c r="D14" s="21" t="s">
        <v>95</v>
      </c>
      <c r="G14">
        <v>5</v>
      </c>
      <c r="H14" s="548">
        <f t="shared" si="0"/>
        <v>60</v>
      </c>
      <c r="I14" s="4">
        <f t="shared" si="1"/>
        <v>1</v>
      </c>
      <c r="J14" s="360">
        <f t="shared" si="38"/>
        <v>0.5</v>
      </c>
      <c r="K14" s="360">
        <f t="shared" si="2"/>
        <v>0.5</v>
      </c>
      <c r="L14" s="4">
        <f t="shared" si="3"/>
        <v>9.2592592592592587E-2</v>
      </c>
      <c r="M14" s="360">
        <f t="shared" si="4"/>
        <v>0.16682708132815008</v>
      </c>
      <c r="N14" s="4">
        <f t="shared" si="5"/>
        <v>1.3899754371125916</v>
      </c>
      <c r="O14" s="4">
        <f t="shared" si="39"/>
        <v>1.1949877185562958</v>
      </c>
      <c r="P14" s="4">
        <f t="shared" si="40"/>
        <v>-0.19498771855629582</v>
      </c>
      <c r="Q14" s="4">
        <f t="shared" si="6"/>
        <v>2.0385542975043998</v>
      </c>
      <c r="R14" s="4">
        <f t="shared" si="41"/>
        <v>0.6410948782991186</v>
      </c>
      <c r="S14" s="360">
        <f t="shared" si="7"/>
        <v>4.93203171577634E-3</v>
      </c>
      <c r="T14" s="360">
        <f t="shared" si="8"/>
        <v>0.3</v>
      </c>
      <c r="U14" s="360" t="e">
        <f t="shared" si="9"/>
        <v>#VALUE!</v>
      </c>
      <c r="V14" s="4">
        <f t="shared" si="42"/>
        <v>0.40125134639196131</v>
      </c>
      <c r="W14" s="360">
        <f t="shared" si="10"/>
        <v>3.2200528596272344E-4</v>
      </c>
      <c r="X14" s="360">
        <f t="shared" si="43"/>
        <v>3.2200528596272344E-4</v>
      </c>
      <c r="Y14" s="4">
        <f t="shared" si="44"/>
        <v>0.23901389862871605</v>
      </c>
      <c r="Z14" s="360">
        <f t="shared" si="11"/>
        <v>5.7127643737698154E-5</v>
      </c>
      <c r="AA14" s="541">
        <f t="shared" si="45"/>
        <v>5.7127643737698154E-5</v>
      </c>
      <c r="AB14" s="360">
        <f t="shared" si="46"/>
        <v>0.26185181180724387</v>
      </c>
      <c r="AC14" s="360">
        <f t="shared" si="12"/>
        <v>4.1139822808041761E-4</v>
      </c>
      <c r="AD14" s="360">
        <f t="shared" si="13"/>
        <v>3.2637405558952913E-2</v>
      </c>
      <c r="AE14" s="360">
        <f t="shared" si="14"/>
        <v>-0.45537994808768362</v>
      </c>
      <c r="AF14" s="360">
        <f t="shared" si="15"/>
        <v>1.1465277851110192E-3</v>
      </c>
      <c r="AG14" s="360" t="e">
        <f t="shared" si="16"/>
        <v>#VALUE!</v>
      </c>
      <c r="AH14" s="360">
        <f t="shared" si="17"/>
        <v>0.58518054618606852</v>
      </c>
      <c r="AI14" s="360">
        <f t="shared" si="18"/>
        <v>8.5609067908656367E-4</v>
      </c>
      <c r="AJ14" s="360">
        <f t="shared" si="19"/>
        <v>7.0265277851110182E-3</v>
      </c>
      <c r="AK14" s="360" t="e">
        <f t="shared" si="20"/>
        <v>#VALUE!</v>
      </c>
      <c r="AL14" s="360">
        <f t="shared" si="21"/>
        <v>5.8799999999999989E-3</v>
      </c>
      <c r="AM14" s="360">
        <f t="shared" si="22"/>
        <v>0.10799999999999998</v>
      </c>
      <c r="AN14" s="360">
        <f t="shared" si="23"/>
        <v>2.0550132149068086E-3</v>
      </c>
      <c r="AO14" s="360">
        <f t="shared" si="24"/>
        <v>2.0999999999999999E-3</v>
      </c>
      <c r="AP14" s="360">
        <f t="shared" si="25"/>
        <v>9.8999999999999991E-2</v>
      </c>
      <c r="AQ14" s="360">
        <f t="shared" si="26"/>
        <v>1.1483999999999999</v>
      </c>
      <c r="AR14" s="360">
        <f t="shared" si="27"/>
        <v>1.089</v>
      </c>
      <c r="AS14" s="360">
        <f t="shared" si="28"/>
        <v>0.1011</v>
      </c>
      <c r="AT14" s="360" t="e">
        <f t="shared" si="29"/>
        <v>#VALUE!</v>
      </c>
      <c r="AU14">
        <f t="shared" si="30"/>
        <v>5</v>
      </c>
      <c r="AV14" s="542" t="e">
        <f t="shared" si="47"/>
        <v>#VALUE!</v>
      </c>
      <c r="AW14" s="551" t="e">
        <f t="shared" si="31"/>
        <v>#VALUE!</v>
      </c>
      <c r="AX14" s="551" t="e">
        <f t="shared" si="32"/>
        <v>#VALUE!</v>
      </c>
      <c r="AY14" s="9"/>
      <c r="AZ14" s="4" t="e">
        <f t="shared" si="48"/>
        <v>#VALUE!</v>
      </c>
      <c r="BA14" s="360" t="e">
        <f t="shared" si="33"/>
        <v>#VALUE!</v>
      </c>
      <c r="BB14" s="360" t="e">
        <f t="shared" si="34"/>
        <v>#VALUE!</v>
      </c>
      <c r="BC14" s="360" t="e">
        <f t="shared" si="35"/>
        <v>#VALUE!</v>
      </c>
      <c r="BD14" s="360" t="e">
        <f t="shared" si="36"/>
        <v>#VALUE!</v>
      </c>
      <c r="BE14" s="360">
        <f t="shared" si="37"/>
        <v>2.0550132149068086E-3</v>
      </c>
      <c r="BJ14" s="18"/>
      <c r="BK14" s="18"/>
      <c r="BL14" s="18"/>
      <c r="BM14" s="19"/>
    </row>
    <row r="15" spans="1:65" x14ac:dyDescent="0.2">
      <c r="A15" s="23" t="s">
        <v>83</v>
      </c>
      <c r="B15" s="5" t="str">
        <f>Ta</f>
        <v xml:space="preserve"> </v>
      </c>
      <c r="C15" s="440" t="s">
        <v>465</v>
      </c>
      <c r="D15" s="21" t="s">
        <v>96</v>
      </c>
      <c r="G15">
        <v>6</v>
      </c>
      <c r="H15" s="548">
        <f t="shared" si="0"/>
        <v>60</v>
      </c>
      <c r="I15" s="4">
        <f t="shared" si="1"/>
        <v>1</v>
      </c>
      <c r="J15" s="360">
        <f t="shared" si="38"/>
        <v>0.6</v>
      </c>
      <c r="K15" s="360">
        <f t="shared" si="2"/>
        <v>0.6</v>
      </c>
      <c r="L15" s="4">
        <f t="shared" si="3"/>
        <v>0.1111111111111111</v>
      </c>
      <c r="M15" s="360">
        <f t="shared" si="4"/>
        <v>0.16685916377920995</v>
      </c>
      <c r="N15" s="4">
        <f t="shared" si="5"/>
        <v>1.3901926849986133</v>
      </c>
      <c r="O15" s="4">
        <f t="shared" si="39"/>
        <v>1.2950963424993067</v>
      </c>
      <c r="P15" s="4">
        <f t="shared" si="40"/>
        <v>-9.5096342499306652E-2</v>
      </c>
      <c r="Q15" s="4">
        <f t="shared" si="6"/>
        <v>0.99421163093890907</v>
      </c>
      <c r="R15" s="4">
        <f t="shared" si="41"/>
        <v>0.72183999273983002</v>
      </c>
      <c r="S15" s="360">
        <f t="shared" si="7"/>
        <v>6.2526357014236538E-3</v>
      </c>
      <c r="T15" s="360">
        <f t="shared" si="8"/>
        <v>0.3</v>
      </c>
      <c r="U15" s="360" t="e">
        <f t="shared" si="9"/>
        <v>#VALUE!</v>
      </c>
      <c r="V15" s="4">
        <f t="shared" si="42"/>
        <v>0.40131406045469903</v>
      </c>
      <c r="W15" s="360">
        <f t="shared" si="10"/>
        <v>3.2210595023727569E-4</v>
      </c>
      <c r="X15" s="360">
        <f t="shared" si="43"/>
        <v>3.2210595023727569E-4</v>
      </c>
      <c r="Y15" s="4">
        <f t="shared" si="44"/>
        <v>0.26913810009159922</v>
      </c>
      <c r="Z15" s="360">
        <f t="shared" si="11"/>
        <v>7.2435316920915679E-5</v>
      </c>
      <c r="AA15" s="541">
        <f t="shared" si="45"/>
        <v>7.2435316920915679E-5</v>
      </c>
      <c r="AB15" s="360">
        <f t="shared" si="46"/>
        <v>0.29486007480322829</v>
      </c>
      <c r="AC15" s="360">
        <f t="shared" si="12"/>
        <v>5.2165478227779232E-4</v>
      </c>
      <c r="AD15" s="360">
        <f t="shared" si="13"/>
        <v>3.9164886670743491E-2</v>
      </c>
      <c r="AE15" s="360">
        <f t="shared" si="14"/>
        <v>-0.49107462289327936</v>
      </c>
      <c r="AF15" s="360">
        <f t="shared" si="15"/>
        <v>5.5916649389592312E-4</v>
      </c>
      <c r="AG15" s="360" t="e">
        <f t="shared" si="16"/>
        <v>#VALUE!</v>
      </c>
      <c r="AH15" s="360">
        <f t="shared" si="17"/>
        <v>0.65887063328522422</v>
      </c>
      <c r="AI15" s="360">
        <f t="shared" si="18"/>
        <v>1.0852762785141812E-3</v>
      </c>
      <c r="AJ15" s="360">
        <f t="shared" si="19"/>
        <v>7.615166493895922E-3</v>
      </c>
      <c r="AK15" s="360" t="e">
        <f t="shared" si="20"/>
        <v>#VALUE!</v>
      </c>
      <c r="AL15" s="360">
        <f t="shared" si="21"/>
        <v>7.055999999999998E-3</v>
      </c>
      <c r="AM15" s="360">
        <f t="shared" si="22"/>
        <v>0.12959999999999999</v>
      </c>
      <c r="AN15" s="360">
        <f t="shared" si="23"/>
        <v>2.605264875593189E-3</v>
      </c>
      <c r="AO15" s="360">
        <f t="shared" si="24"/>
        <v>2.0999999999999999E-3</v>
      </c>
      <c r="AP15" s="360">
        <f t="shared" si="25"/>
        <v>9.8999999999999991E-2</v>
      </c>
      <c r="AQ15" s="360">
        <f t="shared" si="26"/>
        <v>1.1483999999999999</v>
      </c>
      <c r="AR15" s="360">
        <f t="shared" si="27"/>
        <v>1.089</v>
      </c>
      <c r="AS15" s="360">
        <f t="shared" si="28"/>
        <v>0.1011</v>
      </c>
      <c r="AT15" s="360" t="e">
        <f t="shared" si="29"/>
        <v>#VALUE!</v>
      </c>
      <c r="AU15">
        <f t="shared" si="30"/>
        <v>6</v>
      </c>
      <c r="AV15" s="542" t="e">
        <f t="shared" si="47"/>
        <v>#VALUE!</v>
      </c>
      <c r="AW15" s="551" t="e">
        <f t="shared" si="31"/>
        <v>#VALUE!</v>
      </c>
      <c r="AX15" s="551" t="e">
        <f t="shared" si="32"/>
        <v>#VALUE!</v>
      </c>
      <c r="AY15" s="9"/>
      <c r="AZ15" s="4" t="e">
        <f t="shared" si="48"/>
        <v>#VALUE!</v>
      </c>
      <c r="BA15" s="360" t="e">
        <f t="shared" si="33"/>
        <v>#VALUE!</v>
      </c>
      <c r="BB15" s="360" t="e">
        <f t="shared" si="34"/>
        <v>#VALUE!</v>
      </c>
      <c r="BC15" s="360" t="e">
        <f t="shared" si="35"/>
        <v>#VALUE!</v>
      </c>
      <c r="BD15" s="360" t="e">
        <f t="shared" si="36"/>
        <v>#VALUE!</v>
      </c>
      <c r="BE15" s="360">
        <f t="shared" si="37"/>
        <v>2.605264875593189E-3</v>
      </c>
      <c r="BJ15" s="18"/>
      <c r="BK15" s="18"/>
      <c r="BL15" s="18"/>
      <c r="BM15" s="19"/>
    </row>
    <row r="16" spans="1:65" x14ac:dyDescent="0.2">
      <c r="A16" s="448" t="s">
        <v>476</v>
      </c>
      <c r="B16" s="5">
        <f>VCC</f>
        <v>5</v>
      </c>
      <c r="C16" s="440" t="s">
        <v>0</v>
      </c>
      <c r="D16" s="440" t="s">
        <v>475</v>
      </c>
      <c r="G16">
        <v>7</v>
      </c>
      <c r="H16" s="548">
        <f t="shared" si="0"/>
        <v>60</v>
      </c>
      <c r="I16" s="4">
        <f t="shared" si="1"/>
        <v>1</v>
      </c>
      <c r="J16" s="360">
        <f t="shared" si="38"/>
        <v>0.7</v>
      </c>
      <c r="K16" s="360">
        <f t="shared" si="2"/>
        <v>0.7</v>
      </c>
      <c r="L16" s="4">
        <f t="shared" si="3"/>
        <v>0.12962962962962962</v>
      </c>
      <c r="M16" s="360">
        <f t="shared" si="4"/>
        <v>0.16689124606986044</v>
      </c>
      <c r="N16" s="4">
        <f t="shared" si="5"/>
        <v>1.390409912298757</v>
      </c>
      <c r="O16" s="4">
        <f t="shared" si="39"/>
        <v>1.3952049561493785</v>
      </c>
      <c r="P16" s="4">
        <f t="shared" si="40"/>
        <v>4.795043850621461E-3</v>
      </c>
      <c r="Q16" s="4">
        <f t="shared" si="6"/>
        <v>0</v>
      </c>
      <c r="R16" s="4">
        <f t="shared" si="41"/>
        <v>0.8069097287500957</v>
      </c>
      <c r="S16" s="360">
        <f t="shared" si="7"/>
        <v>7.8132397242186361E-3</v>
      </c>
      <c r="T16" s="360">
        <f t="shared" si="8"/>
        <v>0.3</v>
      </c>
      <c r="U16" s="360" t="e">
        <f t="shared" si="9"/>
        <v>#VALUE!</v>
      </c>
      <c r="V16" s="4">
        <f t="shared" si="42"/>
        <v>0.4013767685748057</v>
      </c>
      <c r="W16" s="360">
        <f t="shared" si="10"/>
        <v>3.2220662070310622E-4</v>
      </c>
      <c r="X16" s="360">
        <f t="shared" si="43"/>
        <v>3.2220662070310622E-4</v>
      </c>
      <c r="Y16" s="4">
        <f t="shared" si="44"/>
        <v>0.30087948653271218</v>
      </c>
      <c r="Z16" s="360">
        <f t="shared" si="11"/>
        <v>9.0528465416188537E-5</v>
      </c>
      <c r="AA16" s="541">
        <f t="shared" si="45"/>
        <v>9.0528465416188537E-5</v>
      </c>
      <c r="AB16" s="360">
        <f t="shared" si="46"/>
        <v>0.32964138512144037</v>
      </c>
      <c r="AC16" s="360">
        <f t="shared" si="12"/>
        <v>6.519806567086906E-4</v>
      </c>
      <c r="AD16" s="360">
        <f t="shared" si="13"/>
        <v>4.5692367782534077E-2</v>
      </c>
      <c r="AE16" s="360">
        <f t="shared" si="14"/>
        <v>-0.52595999999999998</v>
      </c>
      <c r="AF16" s="360">
        <f t="shared" si="15"/>
        <v>0</v>
      </c>
      <c r="AG16" s="360" t="e">
        <f t="shared" si="16"/>
        <v>#VALUE!</v>
      </c>
      <c r="AH16" s="360">
        <f t="shared" si="17"/>
        <v>0.73650517144604721</v>
      </c>
      <c r="AI16" s="360">
        <f t="shared" si="18"/>
        <v>1.3560996689169285E-3</v>
      </c>
      <c r="AJ16" s="360">
        <f t="shared" si="19"/>
        <v>8.231999999999998E-3</v>
      </c>
      <c r="AK16" s="360" t="e">
        <f t="shared" si="20"/>
        <v>#VALUE!</v>
      </c>
      <c r="AL16" s="360">
        <f t="shared" si="21"/>
        <v>8.231999999999998E-3</v>
      </c>
      <c r="AM16" s="360">
        <f t="shared" si="22"/>
        <v>0.15119999999999997</v>
      </c>
      <c r="AN16" s="360">
        <f t="shared" si="23"/>
        <v>3.2555165517577649E-3</v>
      </c>
      <c r="AO16" s="360">
        <f t="shared" si="24"/>
        <v>2.0999999999999999E-3</v>
      </c>
      <c r="AP16" s="360">
        <f t="shared" si="25"/>
        <v>9.8999999999999991E-2</v>
      </c>
      <c r="AQ16" s="360">
        <f t="shared" si="26"/>
        <v>1.1483999999999999</v>
      </c>
      <c r="AR16" s="360">
        <f t="shared" si="27"/>
        <v>1.089</v>
      </c>
      <c r="AS16" s="360">
        <f t="shared" si="28"/>
        <v>0.1011</v>
      </c>
      <c r="AT16" s="360" t="e">
        <f t="shared" si="29"/>
        <v>#VALUE!</v>
      </c>
      <c r="AU16">
        <f t="shared" si="30"/>
        <v>7</v>
      </c>
      <c r="AV16" s="542" t="e">
        <f t="shared" si="47"/>
        <v>#VALUE!</v>
      </c>
      <c r="AW16" s="551" t="e">
        <f t="shared" si="31"/>
        <v>#VALUE!</v>
      </c>
      <c r="AX16" s="551" t="e">
        <f t="shared" si="32"/>
        <v>#VALUE!</v>
      </c>
      <c r="AY16" s="9"/>
      <c r="AZ16" s="4" t="e">
        <f t="shared" si="48"/>
        <v>#VALUE!</v>
      </c>
      <c r="BA16" s="360" t="e">
        <f t="shared" si="33"/>
        <v>#VALUE!</v>
      </c>
      <c r="BB16" s="360" t="e">
        <f t="shared" si="34"/>
        <v>#VALUE!</v>
      </c>
      <c r="BC16" s="360" t="e">
        <f t="shared" si="35"/>
        <v>#VALUE!</v>
      </c>
      <c r="BD16" s="360" t="e">
        <f t="shared" si="36"/>
        <v>#VALUE!</v>
      </c>
      <c r="BE16" s="360">
        <f t="shared" si="37"/>
        <v>3.2555165517577649E-3</v>
      </c>
      <c r="BJ16" s="18"/>
      <c r="BK16" s="18"/>
      <c r="BL16" s="18"/>
      <c r="BM16" s="19"/>
    </row>
    <row r="17" spans="1:65" x14ac:dyDescent="0.2">
      <c r="A17" s="24" t="s">
        <v>58</v>
      </c>
      <c r="B17" s="16" t="s">
        <v>111</v>
      </c>
      <c r="C17" s="24" t="s">
        <v>76</v>
      </c>
      <c r="D17" s="17" t="s">
        <v>107</v>
      </c>
      <c r="G17">
        <v>8</v>
      </c>
      <c r="H17" s="548">
        <f t="shared" si="0"/>
        <v>60</v>
      </c>
      <c r="I17" s="4">
        <f t="shared" si="1"/>
        <v>1</v>
      </c>
      <c r="J17" s="360">
        <f t="shared" si="38"/>
        <v>0.8</v>
      </c>
      <c r="K17" s="360">
        <f t="shared" si="2"/>
        <v>0.8</v>
      </c>
      <c r="L17" s="4">
        <f t="shared" si="3"/>
        <v>0.14814814814814814</v>
      </c>
      <c r="M17" s="360">
        <f t="shared" si="4"/>
        <v>0.16692332820010267</v>
      </c>
      <c r="N17" s="4">
        <f t="shared" si="5"/>
        <v>1.3906271190131752</v>
      </c>
      <c r="O17" s="4">
        <f t="shared" si="39"/>
        <v>1.4953135595065876</v>
      </c>
      <c r="P17" s="4">
        <f t="shared" si="40"/>
        <v>0.10468644049341247</v>
      </c>
      <c r="Q17" s="4">
        <f t="shared" si="6"/>
        <v>0</v>
      </c>
      <c r="R17" s="4">
        <f t="shared" si="41"/>
        <v>0.89507186788430959</v>
      </c>
      <c r="S17" s="360">
        <f t="shared" si="7"/>
        <v>9.6138437841348841E-3</v>
      </c>
      <c r="T17" s="360">
        <f t="shared" si="8"/>
        <v>0.3</v>
      </c>
      <c r="U17" s="360" t="e">
        <f t="shared" si="9"/>
        <v>#VALUE!</v>
      </c>
      <c r="V17" s="4">
        <f t="shared" si="42"/>
        <v>0.40143947075232522</v>
      </c>
      <c r="W17" s="360">
        <f t="shared" si="10"/>
        <v>3.2230729735581399E-4</v>
      </c>
      <c r="X17" s="360">
        <f t="shared" si="43"/>
        <v>3.2230729735581399E-4</v>
      </c>
      <c r="Y17" s="4">
        <f t="shared" si="44"/>
        <v>0.33377892513963159</v>
      </c>
      <c r="Z17" s="360">
        <f t="shared" si="11"/>
        <v>1.1140837086736778E-4</v>
      </c>
      <c r="AA17" s="541">
        <f t="shared" si="45"/>
        <v>1.1140837086736778E-4</v>
      </c>
      <c r="AB17" s="360">
        <f t="shared" si="46"/>
        <v>0.36569281294137024</v>
      </c>
      <c r="AC17" s="360">
        <f t="shared" si="12"/>
        <v>8.0238740062183193E-4</v>
      </c>
      <c r="AD17" s="360">
        <f t="shared" si="13"/>
        <v>5.2219848894324655E-2</v>
      </c>
      <c r="AE17" s="360">
        <f t="shared" si="14"/>
        <v>-0.52595999999999998</v>
      </c>
      <c r="AF17" s="360">
        <f t="shared" si="15"/>
        <v>0</v>
      </c>
      <c r="AG17" s="360" t="e">
        <f t="shared" si="16"/>
        <v>#VALUE!</v>
      </c>
      <c r="AH17" s="360">
        <f t="shared" si="17"/>
        <v>0.81695924943716436</v>
      </c>
      <c r="AI17" s="360">
        <f t="shared" si="18"/>
        <v>1.6685560381023373E-3</v>
      </c>
      <c r="AJ17" s="360">
        <f t="shared" si="19"/>
        <v>9.4079999999999997E-3</v>
      </c>
      <c r="AK17" s="360" t="e">
        <f t="shared" si="20"/>
        <v>#VALUE!</v>
      </c>
      <c r="AL17" s="360">
        <f t="shared" si="21"/>
        <v>9.4079999999999997E-3</v>
      </c>
      <c r="AM17" s="360">
        <f t="shared" si="22"/>
        <v>0.17280000000000001</v>
      </c>
      <c r="AN17" s="360">
        <f t="shared" si="23"/>
        <v>4.0057682433895349E-3</v>
      </c>
      <c r="AO17" s="360">
        <f t="shared" si="24"/>
        <v>2.0999999999999999E-3</v>
      </c>
      <c r="AP17" s="360">
        <f t="shared" si="25"/>
        <v>9.8999999999999991E-2</v>
      </c>
      <c r="AQ17" s="360">
        <f t="shared" si="26"/>
        <v>1.1483999999999999</v>
      </c>
      <c r="AR17" s="360">
        <f t="shared" si="27"/>
        <v>1.089</v>
      </c>
      <c r="AS17" s="360">
        <f t="shared" si="28"/>
        <v>0.1011</v>
      </c>
      <c r="AT17" s="360" t="e">
        <f t="shared" si="29"/>
        <v>#VALUE!</v>
      </c>
      <c r="AU17">
        <f t="shared" si="30"/>
        <v>8</v>
      </c>
      <c r="AV17" s="542" t="e">
        <f t="shared" si="47"/>
        <v>#VALUE!</v>
      </c>
      <c r="AW17" s="551" t="e">
        <f t="shared" si="31"/>
        <v>#VALUE!</v>
      </c>
      <c r="AX17" s="551" t="e">
        <f t="shared" si="32"/>
        <v>#VALUE!</v>
      </c>
      <c r="AY17" s="9"/>
      <c r="AZ17" s="4" t="e">
        <f t="shared" si="48"/>
        <v>#VALUE!</v>
      </c>
      <c r="BA17" s="360" t="e">
        <f t="shared" si="33"/>
        <v>#VALUE!</v>
      </c>
      <c r="BB17" s="360" t="e">
        <f t="shared" si="34"/>
        <v>#VALUE!</v>
      </c>
      <c r="BC17" s="360" t="e">
        <f t="shared" si="35"/>
        <v>#VALUE!</v>
      </c>
      <c r="BD17" s="360" t="e">
        <f t="shared" si="36"/>
        <v>#VALUE!</v>
      </c>
      <c r="BE17" s="360">
        <f t="shared" si="37"/>
        <v>4.0057682433895349E-3</v>
      </c>
      <c r="BJ17" s="18"/>
      <c r="BK17" s="18"/>
      <c r="BL17" s="18"/>
      <c r="BM17" s="19"/>
    </row>
    <row r="18" spans="1:65" x14ac:dyDescent="0.2">
      <c r="A18" s="35" t="s">
        <v>56</v>
      </c>
      <c r="B18" s="38">
        <f>Lf*1000000</f>
        <v>10</v>
      </c>
      <c r="C18" s="441" t="s">
        <v>10</v>
      </c>
      <c r="D18" s="440" t="s">
        <v>468</v>
      </c>
      <c r="G18">
        <v>9</v>
      </c>
      <c r="H18" s="548">
        <f t="shared" si="0"/>
        <v>60</v>
      </c>
      <c r="I18" s="4">
        <f t="shared" si="1"/>
        <v>1</v>
      </c>
      <c r="J18" s="360">
        <f t="shared" si="38"/>
        <v>0.9</v>
      </c>
      <c r="K18" s="360">
        <f t="shared" si="2"/>
        <v>0.9</v>
      </c>
      <c r="L18" s="4">
        <f t="shared" si="3"/>
        <v>0.16666666666666666</v>
      </c>
      <c r="M18" s="360">
        <f t="shared" si="4"/>
        <v>0.16695541016993784</v>
      </c>
      <c r="N18" s="4">
        <f t="shared" si="5"/>
        <v>1.390844305142023</v>
      </c>
      <c r="O18" s="4">
        <f t="shared" si="39"/>
        <v>1.5954221525710115</v>
      </c>
      <c r="P18" s="4">
        <f t="shared" si="40"/>
        <v>0.20457784742898855</v>
      </c>
      <c r="Q18" s="4">
        <f t="shared" si="6"/>
        <v>0</v>
      </c>
      <c r="R18" s="4">
        <f t="shared" si="41"/>
        <v>0.98549682399056959</v>
      </c>
      <c r="S18" s="360">
        <f t="shared" si="7"/>
        <v>1.1654447881145997E-2</v>
      </c>
      <c r="T18" s="360">
        <f t="shared" si="8"/>
        <v>0.3</v>
      </c>
      <c r="U18" s="360" t="e">
        <f t="shared" si="9"/>
        <v>#VALUE!</v>
      </c>
      <c r="V18" s="4">
        <f t="shared" si="42"/>
        <v>0.40150216698730251</v>
      </c>
      <c r="W18" s="360">
        <f t="shared" si="10"/>
        <v>3.2240798019099947E-4</v>
      </c>
      <c r="X18" s="360">
        <f t="shared" si="43"/>
        <v>3.2240798019099947E-4</v>
      </c>
      <c r="Y18" s="4">
        <f t="shared" si="44"/>
        <v>0.36752729784122667</v>
      </c>
      <c r="Z18" s="360">
        <f t="shared" si="11"/>
        <v>1.3507631465847376E-4</v>
      </c>
      <c r="AA18" s="541">
        <f t="shared" si="45"/>
        <v>1.3507631465847376E-4</v>
      </c>
      <c r="AB18" s="360">
        <f t="shared" si="46"/>
        <v>0.40267575110139725</v>
      </c>
      <c r="AC18" s="360">
        <f t="shared" si="12"/>
        <v>9.7288656315044659E-4</v>
      </c>
      <c r="AD18" s="360">
        <f t="shared" si="13"/>
        <v>5.8747330006115241E-2</v>
      </c>
      <c r="AE18" s="360">
        <f t="shared" si="14"/>
        <v>-0.52595999999999998</v>
      </c>
      <c r="AF18" s="360">
        <f t="shared" si="15"/>
        <v>0</v>
      </c>
      <c r="AG18" s="360" t="e">
        <f t="shared" si="16"/>
        <v>#VALUE!</v>
      </c>
      <c r="AH18" s="360">
        <f t="shared" si="17"/>
        <v>0.89947553027885385</v>
      </c>
      <c r="AI18" s="360">
        <f t="shared" si="18"/>
        <v>2.0226405739260634E-3</v>
      </c>
      <c r="AJ18" s="360">
        <f t="shared" si="19"/>
        <v>1.0583999999999998E-2</v>
      </c>
      <c r="AK18" s="360" t="e">
        <f t="shared" si="20"/>
        <v>#VALUE!</v>
      </c>
      <c r="AL18" s="360">
        <f t="shared" si="21"/>
        <v>1.0583999999999998E-2</v>
      </c>
      <c r="AM18" s="360">
        <f t="shared" si="22"/>
        <v>0.19439999999999999</v>
      </c>
      <c r="AN18" s="360">
        <f t="shared" si="23"/>
        <v>4.8560199504774984E-3</v>
      </c>
      <c r="AO18" s="360">
        <f t="shared" si="24"/>
        <v>2.0999999999999999E-3</v>
      </c>
      <c r="AP18" s="360">
        <f t="shared" si="25"/>
        <v>9.8999999999999991E-2</v>
      </c>
      <c r="AQ18" s="360">
        <f t="shared" si="26"/>
        <v>1.1483999999999999</v>
      </c>
      <c r="AR18" s="360">
        <f t="shared" si="27"/>
        <v>1.089</v>
      </c>
      <c r="AS18" s="360">
        <f t="shared" si="28"/>
        <v>0.1011</v>
      </c>
      <c r="AT18" s="360" t="e">
        <f t="shared" si="29"/>
        <v>#VALUE!</v>
      </c>
      <c r="AU18">
        <f t="shared" si="30"/>
        <v>9</v>
      </c>
      <c r="AV18" s="542" t="e">
        <f t="shared" si="47"/>
        <v>#VALUE!</v>
      </c>
      <c r="AW18" s="551" t="e">
        <f t="shared" si="31"/>
        <v>#VALUE!</v>
      </c>
      <c r="AX18" s="551" t="e">
        <f t="shared" si="32"/>
        <v>#VALUE!</v>
      </c>
      <c r="AY18" s="9"/>
      <c r="AZ18" s="4" t="e">
        <f t="shared" si="48"/>
        <v>#VALUE!</v>
      </c>
      <c r="BA18" s="360" t="e">
        <f t="shared" si="33"/>
        <v>#VALUE!</v>
      </c>
      <c r="BB18" s="360" t="e">
        <f t="shared" si="34"/>
        <v>#VALUE!</v>
      </c>
      <c r="BC18" s="360" t="e">
        <f t="shared" si="35"/>
        <v>#VALUE!</v>
      </c>
      <c r="BD18" s="360" t="e">
        <f t="shared" si="36"/>
        <v>#VALUE!</v>
      </c>
      <c r="BE18" s="360">
        <f t="shared" si="37"/>
        <v>4.8560199504774984E-3</v>
      </c>
      <c r="BK18" s="18"/>
      <c r="BL18" s="19"/>
    </row>
    <row r="19" spans="1:65" x14ac:dyDescent="0.2">
      <c r="A19" s="35" t="s">
        <v>11</v>
      </c>
      <c r="B19" s="39">
        <f>Rdcr*1000</f>
        <v>12</v>
      </c>
      <c r="C19" s="442" t="s">
        <v>466</v>
      </c>
      <c r="D19" s="440" t="s">
        <v>469</v>
      </c>
      <c r="G19">
        <v>10</v>
      </c>
      <c r="H19" s="548">
        <f t="shared" si="0"/>
        <v>60</v>
      </c>
      <c r="I19" s="4">
        <f t="shared" si="1"/>
        <v>1</v>
      </c>
      <c r="J19" s="360">
        <f t="shared" si="38"/>
        <v>1</v>
      </c>
      <c r="K19" s="360">
        <f t="shared" si="2"/>
        <v>1</v>
      </c>
      <c r="L19" s="4">
        <f t="shared" si="3"/>
        <v>0.18518518518518517</v>
      </c>
      <c r="M19" s="360">
        <f t="shared" si="4"/>
        <v>0.16698749197936719</v>
      </c>
      <c r="N19" s="4">
        <f t="shared" si="5"/>
        <v>1.3910614706854547</v>
      </c>
      <c r="O19" s="4">
        <f t="shared" si="39"/>
        <v>1.6955307353427274</v>
      </c>
      <c r="P19" s="4">
        <f t="shared" si="40"/>
        <v>0.30446926465727264</v>
      </c>
      <c r="Q19" s="4">
        <f t="shared" si="6"/>
        <v>0</v>
      </c>
      <c r="R19" s="4">
        <f t="shared" si="41"/>
        <v>1.0776151143159285</v>
      </c>
      <c r="S19" s="360">
        <f t="shared" si="7"/>
        <v>1.3935052015225579E-2</v>
      </c>
      <c r="T19" s="360">
        <f t="shared" si="8"/>
        <v>0.3</v>
      </c>
      <c r="U19" s="360" t="e">
        <f t="shared" si="9"/>
        <v>#VALUE!</v>
      </c>
      <c r="V19" s="4">
        <f t="shared" si="42"/>
        <v>0.40156485727978203</v>
      </c>
      <c r="W19" s="360">
        <f t="shared" si="10"/>
        <v>3.225086692042634E-4</v>
      </c>
      <c r="X19" s="360">
        <f t="shared" si="43"/>
        <v>3.225086692042634E-4</v>
      </c>
      <c r="Y19" s="4">
        <f t="shared" si="44"/>
        <v>0.40191240079612156</v>
      </c>
      <c r="Z19" s="360">
        <f t="shared" si="11"/>
        <v>1.6153357791370227E-4</v>
      </c>
      <c r="AA19" s="541">
        <f t="shared" si="45"/>
        <v>1.6153357791370227E-4</v>
      </c>
      <c r="AB19" s="360">
        <f t="shared" si="46"/>
        <v>0.44035775102225561</v>
      </c>
      <c r="AC19" s="360">
        <f t="shared" si="12"/>
        <v>1.1634896933122732E-3</v>
      </c>
      <c r="AD19" s="360">
        <f t="shared" si="13"/>
        <v>6.5274811117905826E-2</v>
      </c>
      <c r="AE19" s="360">
        <f t="shared" si="14"/>
        <v>-0.52595999999999998</v>
      </c>
      <c r="AF19" s="360">
        <f t="shared" si="15"/>
        <v>0</v>
      </c>
      <c r="AG19" s="360" t="e">
        <f t="shared" si="16"/>
        <v>#VALUE!</v>
      </c>
      <c r="AH19" s="360">
        <f t="shared" si="17"/>
        <v>0.9835341304279952</v>
      </c>
      <c r="AI19" s="360">
        <f t="shared" si="18"/>
        <v>2.4183484642918817E-3</v>
      </c>
      <c r="AJ19" s="360">
        <f t="shared" si="19"/>
        <v>1.1759999999999998E-2</v>
      </c>
      <c r="AK19" s="360" t="e">
        <f t="shared" si="20"/>
        <v>#VALUE!</v>
      </c>
      <c r="AL19" s="360">
        <f t="shared" si="21"/>
        <v>1.1759999999999998E-2</v>
      </c>
      <c r="AM19" s="360">
        <f t="shared" si="22"/>
        <v>0.21599999999999997</v>
      </c>
      <c r="AN19" s="360">
        <f t="shared" si="23"/>
        <v>5.8062716730106576E-3</v>
      </c>
      <c r="AO19" s="360">
        <f t="shared" si="24"/>
        <v>2.0999999999999999E-3</v>
      </c>
      <c r="AP19" s="360">
        <f t="shared" si="25"/>
        <v>9.8999999999999991E-2</v>
      </c>
      <c r="AQ19" s="360">
        <f t="shared" si="26"/>
        <v>1.1483999999999999</v>
      </c>
      <c r="AR19" s="360">
        <f t="shared" si="27"/>
        <v>1.089</v>
      </c>
      <c r="AS19" s="360">
        <f t="shared" si="28"/>
        <v>0.1011</v>
      </c>
      <c r="AT19" s="360" t="e">
        <f t="shared" si="29"/>
        <v>#VALUE!</v>
      </c>
      <c r="AU19">
        <f t="shared" si="30"/>
        <v>10</v>
      </c>
      <c r="AV19" s="542" t="e">
        <f t="shared" si="47"/>
        <v>#VALUE!</v>
      </c>
      <c r="AW19" s="551" t="e">
        <f t="shared" si="31"/>
        <v>#VALUE!</v>
      </c>
      <c r="AX19" s="551" t="e">
        <f t="shared" si="32"/>
        <v>#VALUE!</v>
      </c>
      <c r="AY19" s="9"/>
      <c r="AZ19" s="4" t="e">
        <f t="shared" si="48"/>
        <v>#VALUE!</v>
      </c>
      <c r="BA19" s="360" t="e">
        <f t="shared" si="33"/>
        <v>#VALUE!</v>
      </c>
      <c r="BB19" s="360" t="e">
        <f t="shared" si="34"/>
        <v>#VALUE!</v>
      </c>
      <c r="BC19" s="360" t="e">
        <f t="shared" si="35"/>
        <v>#VALUE!</v>
      </c>
      <c r="BD19" s="360" t="e">
        <f t="shared" si="36"/>
        <v>#VALUE!</v>
      </c>
      <c r="BE19" s="360">
        <f t="shared" si="37"/>
        <v>5.8062716730106576E-3</v>
      </c>
      <c r="BK19" s="18"/>
      <c r="BL19" s="19"/>
    </row>
    <row r="20" spans="1:65" x14ac:dyDescent="0.2">
      <c r="A20" s="35" t="s">
        <v>82</v>
      </c>
      <c r="B20" s="39">
        <f>Ltc*1000000</f>
        <v>4000</v>
      </c>
      <c r="C20" s="441" t="s">
        <v>81</v>
      </c>
      <c r="D20" s="21" t="s">
        <v>97</v>
      </c>
      <c r="G20">
        <v>11</v>
      </c>
      <c r="H20" s="548">
        <f t="shared" si="0"/>
        <v>60</v>
      </c>
      <c r="I20" s="4">
        <f t="shared" si="1"/>
        <v>1</v>
      </c>
      <c r="J20" s="360">
        <f t="shared" si="38"/>
        <v>1.1000000000000001</v>
      </c>
      <c r="K20" s="360">
        <f t="shared" si="2"/>
        <v>1.1000000000000001</v>
      </c>
      <c r="L20" s="4">
        <f t="shared" si="3"/>
        <v>0.20370370370370369</v>
      </c>
      <c r="M20" s="360">
        <f t="shared" si="4"/>
        <v>0.1670195736283919</v>
      </c>
      <c r="N20" s="4">
        <f t="shared" si="5"/>
        <v>1.3912786156436254</v>
      </c>
      <c r="O20" s="4">
        <f t="shared" si="39"/>
        <v>1.7956393078218129</v>
      </c>
      <c r="P20" s="4">
        <f t="shared" si="40"/>
        <v>0.40436069217818738</v>
      </c>
      <c r="Q20" s="4">
        <f t="shared" si="6"/>
        <v>0</v>
      </c>
      <c r="R20" s="4">
        <f t="shared" si="41"/>
        <v>1.1710271910573229</v>
      </c>
      <c r="S20" s="360">
        <f t="shared" si="7"/>
        <v>1.6455656186347246E-2</v>
      </c>
      <c r="T20" s="360">
        <f t="shared" si="8"/>
        <v>0.3</v>
      </c>
      <c r="U20" s="360" t="e">
        <f t="shared" si="9"/>
        <v>#VALUE!</v>
      </c>
      <c r="V20" s="4">
        <f t="shared" si="42"/>
        <v>0.40162754162980852</v>
      </c>
      <c r="W20" s="360">
        <f t="shared" si="10"/>
        <v>3.2260936439120716E-4</v>
      </c>
      <c r="X20" s="360">
        <f t="shared" si="43"/>
        <v>3.2260936439120716E-4</v>
      </c>
      <c r="Y20" s="4">
        <f t="shared" si="44"/>
        <v>0.43678534945374592</v>
      </c>
      <c r="Z20" s="360">
        <f t="shared" si="11"/>
        <v>1.9078144149743096E-4</v>
      </c>
      <c r="AA20" s="541">
        <f t="shared" si="45"/>
        <v>1.9078144149743096E-4</v>
      </c>
      <c r="AB20" s="360">
        <f t="shared" si="46"/>
        <v>0.47857572372084151</v>
      </c>
      <c r="AC20" s="360">
        <f t="shared" si="12"/>
        <v>1.3742083400095633E-3</v>
      </c>
      <c r="AD20" s="360">
        <f t="shared" si="13"/>
        <v>7.1802292229696404E-2</v>
      </c>
      <c r="AE20" s="360">
        <f t="shared" si="14"/>
        <v>-0.52595999999999998</v>
      </c>
      <c r="AF20" s="360">
        <f t="shared" si="15"/>
        <v>0</v>
      </c>
      <c r="AG20" s="360" t="e">
        <f t="shared" si="16"/>
        <v>#VALUE!</v>
      </c>
      <c r="AH20" s="360">
        <f t="shared" si="17"/>
        <v>1.0687703021981274</v>
      </c>
      <c r="AI20" s="360">
        <f t="shared" si="18"/>
        <v>2.8556748971516918E-3</v>
      </c>
      <c r="AJ20" s="360">
        <f t="shared" si="19"/>
        <v>1.2936E-2</v>
      </c>
      <c r="AK20" s="360" t="e">
        <f t="shared" si="20"/>
        <v>#VALUE!</v>
      </c>
      <c r="AL20" s="360">
        <f t="shared" si="21"/>
        <v>1.2936E-2</v>
      </c>
      <c r="AM20" s="360">
        <f t="shared" si="22"/>
        <v>0.23760000000000001</v>
      </c>
      <c r="AN20" s="360">
        <f t="shared" si="23"/>
        <v>6.8565234109780196E-3</v>
      </c>
      <c r="AO20" s="360">
        <f t="shared" si="24"/>
        <v>2.0999999999999999E-3</v>
      </c>
      <c r="AP20" s="360">
        <f t="shared" si="25"/>
        <v>9.8999999999999991E-2</v>
      </c>
      <c r="AQ20" s="360">
        <f t="shared" si="26"/>
        <v>1.1483999999999999</v>
      </c>
      <c r="AR20" s="360">
        <f t="shared" si="27"/>
        <v>1.089</v>
      </c>
      <c r="AS20" s="360">
        <f t="shared" si="28"/>
        <v>0.1011</v>
      </c>
      <c r="AT20" s="360" t="e">
        <f t="shared" si="29"/>
        <v>#VALUE!</v>
      </c>
      <c r="AU20">
        <f t="shared" si="30"/>
        <v>11</v>
      </c>
      <c r="AV20" s="542" t="e">
        <f t="shared" si="47"/>
        <v>#VALUE!</v>
      </c>
      <c r="AW20" s="551" t="e">
        <f t="shared" si="31"/>
        <v>#VALUE!</v>
      </c>
      <c r="AX20" s="551" t="e">
        <f t="shared" si="32"/>
        <v>#VALUE!</v>
      </c>
      <c r="AY20" s="9"/>
      <c r="AZ20" s="4" t="e">
        <f t="shared" si="48"/>
        <v>#VALUE!</v>
      </c>
      <c r="BA20" s="360" t="e">
        <f t="shared" si="33"/>
        <v>#VALUE!</v>
      </c>
      <c r="BB20" s="360" t="e">
        <f t="shared" si="34"/>
        <v>#VALUE!</v>
      </c>
      <c r="BC20" s="360" t="e">
        <f t="shared" si="35"/>
        <v>#VALUE!</v>
      </c>
      <c r="BD20" s="360" t="e">
        <f t="shared" si="36"/>
        <v>#VALUE!</v>
      </c>
      <c r="BE20" s="360">
        <f t="shared" si="37"/>
        <v>6.8565234109780196E-3</v>
      </c>
      <c r="BK20" s="18"/>
      <c r="BL20" s="19"/>
    </row>
    <row r="21" spans="1:65" x14ac:dyDescent="0.2">
      <c r="A21" s="25" t="s">
        <v>129</v>
      </c>
      <c r="B21" s="39">
        <f>ThetaCa</f>
        <v>20</v>
      </c>
      <c r="C21" s="441" t="s">
        <v>205</v>
      </c>
      <c r="D21" s="26" t="s">
        <v>130</v>
      </c>
      <c r="G21">
        <v>12</v>
      </c>
      <c r="H21" s="548">
        <f t="shared" si="0"/>
        <v>60</v>
      </c>
      <c r="I21" s="4">
        <f t="shared" si="1"/>
        <v>1</v>
      </c>
      <c r="J21" s="360">
        <f t="shared" si="38"/>
        <v>1.2</v>
      </c>
      <c r="K21" s="360">
        <f t="shared" si="2"/>
        <v>1.2</v>
      </c>
      <c r="L21" s="4">
        <f t="shared" si="3"/>
        <v>0.22222222222222221</v>
      </c>
      <c r="M21" s="360">
        <f t="shared" si="4"/>
        <v>0.16705165511701317</v>
      </c>
      <c r="N21" s="4">
        <f t="shared" si="5"/>
        <v>1.3914957400166883</v>
      </c>
      <c r="O21" s="4">
        <f t="shared" si="39"/>
        <v>1.8957478700083441</v>
      </c>
      <c r="P21" s="4">
        <f t="shared" si="40"/>
        <v>0.50425212999165581</v>
      </c>
      <c r="Q21" s="4">
        <f t="shared" si="6"/>
        <v>0</v>
      </c>
      <c r="R21" s="4">
        <f t="shared" si="41"/>
        <v>1.2654465744841683</v>
      </c>
      <c r="S21" s="360">
        <f t="shared" si="7"/>
        <v>1.921626039448459E-2</v>
      </c>
      <c r="T21" s="360">
        <f t="shared" si="8"/>
        <v>0.3</v>
      </c>
      <c r="U21" s="360" t="e">
        <f t="shared" si="9"/>
        <v>#VALUE!</v>
      </c>
      <c r="V21" s="4">
        <f t="shared" si="42"/>
        <v>0.40169022003742627</v>
      </c>
      <c r="W21" s="360">
        <f t="shared" si="10"/>
        <v>3.2271006574743189E-4</v>
      </c>
      <c r="X21" s="360">
        <f t="shared" si="43"/>
        <v>3.2271006574743189E-4</v>
      </c>
      <c r="Y21" s="4">
        <f t="shared" si="44"/>
        <v>0.47203939032058068</v>
      </c>
      <c r="Z21" s="360">
        <f t="shared" si="11"/>
        <v>2.2282118601422551E-4</v>
      </c>
      <c r="AA21" s="541">
        <f t="shared" si="45"/>
        <v>2.2282118601422551E-4</v>
      </c>
      <c r="AB21" s="360">
        <f t="shared" si="46"/>
        <v>0.517212730577577</v>
      </c>
      <c r="AC21" s="360">
        <f t="shared" si="12"/>
        <v>1.6050540520290795E-3</v>
      </c>
      <c r="AD21" s="360">
        <f t="shared" si="13"/>
        <v>7.8329773341486983E-2</v>
      </c>
      <c r="AE21" s="360">
        <f t="shared" si="14"/>
        <v>-0.52595999999999998</v>
      </c>
      <c r="AF21" s="360">
        <f t="shared" si="15"/>
        <v>0</v>
      </c>
      <c r="AG21" s="360" t="e">
        <f t="shared" si="16"/>
        <v>#VALUE!</v>
      </c>
      <c r="AH21" s="360">
        <f t="shared" si="17"/>
        <v>1.1549225187008012</v>
      </c>
      <c r="AI21" s="360">
        <f t="shared" si="18"/>
        <v>3.3346150605055064E-3</v>
      </c>
      <c r="AJ21" s="360">
        <f t="shared" si="19"/>
        <v>1.4111999999999996E-2</v>
      </c>
      <c r="AK21" s="360" t="e">
        <f t="shared" si="20"/>
        <v>#VALUE!</v>
      </c>
      <c r="AL21" s="360">
        <f t="shared" si="21"/>
        <v>1.4111999999999996E-2</v>
      </c>
      <c r="AM21" s="360">
        <f t="shared" si="22"/>
        <v>0.25919999999999999</v>
      </c>
      <c r="AN21" s="360">
        <f t="shared" si="23"/>
        <v>8.0067751643685785E-3</v>
      </c>
      <c r="AO21" s="360">
        <f t="shared" si="24"/>
        <v>2.0999999999999999E-3</v>
      </c>
      <c r="AP21" s="360">
        <f t="shared" si="25"/>
        <v>9.8999999999999991E-2</v>
      </c>
      <c r="AQ21" s="360">
        <f t="shared" si="26"/>
        <v>1.1483999999999999</v>
      </c>
      <c r="AR21" s="360">
        <f t="shared" si="27"/>
        <v>1.089</v>
      </c>
      <c r="AS21" s="360">
        <f t="shared" si="28"/>
        <v>0.1011</v>
      </c>
      <c r="AT21" s="360" t="e">
        <f t="shared" si="29"/>
        <v>#VALUE!</v>
      </c>
      <c r="AU21">
        <f t="shared" si="30"/>
        <v>12</v>
      </c>
      <c r="AV21" s="542" t="e">
        <f t="shared" si="47"/>
        <v>#VALUE!</v>
      </c>
      <c r="AW21" s="551" t="e">
        <f t="shared" si="31"/>
        <v>#VALUE!</v>
      </c>
      <c r="AX21" s="551" t="e">
        <f t="shared" si="32"/>
        <v>#VALUE!</v>
      </c>
      <c r="AY21" s="9"/>
      <c r="AZ21" s="4" t="e">
        <f t="shared" si="48"/>
        <v>#VALUE!</v>
      </c>
      <c r="BA21" s="360" t="e">
        <f t="shared" si="33"/>
        <v>#VALUE!</v>
      </c>
      <c r="BB21" s="360" t="e">
        <f t="shared" si="34"/>
        <v>#VALUE!</v>
      </c>
      <c r="BC21" s="360" t="e">
        <f t="shared" si="35"/>
        <v>#VALUE!</v>
      </c>
      <c r="BD21" s="360" t="e">
        <f t="shared" si="36"/>
        <v>#VALUE!</v>
      </c>
      <c r="BE21" s="360">
        <f t="shared" si="37"/>
        <v>8.0067751643685785E-3</v>
      </c>
      <c r="BK21" s="18"/>
      <c r="BL21" s="19"/>
    </row>
    <row r="22" spans="1:65" x14ac:dyDescent="0.2">
      <c r="A22" s="36" t="s">
        <v>57</v>
      </c>
      <c r="B22" s="39">
        <f>Cin*1000000</f>
        <v>50</v>
      </c>
      <c r="C22" s="443" t="s">
        <v>467</v>
      </c>
      <c r="D22" s="440" t="s">
        <v>484</v>
      </c>
      <c r="G22">
        <v>13</v>
      </c>
      <c r="H22" s="548">
        <f t="shared" si="0"/>
        <v>60</v>
      </c>
      <c r="I22" s="4">
        <f t="shared" si="1"/>
        <v>1</v>
      </c>
      <c r="J22" s="360">
        <f t="shared" si="38"/>
        <v>1.3</v>
      </c>
      <c r="K22" s="360">
        <f t="shared" si="2"/>
        <v>1.3</v>
      </c>
      <c r="L22" s="4">
        <f t="shared" si="3"/>
        <v>0.24074074074074073</v>
      </c>
      <c r="M22" s="360">
        <f t="shared" si="4"/>
        <v>0.16708373644523219</v>
      </c>
      <c r="N22" s="4">
        <f t="shared" si="5"/>
        <v>1.3917128438047983</v>
      </c>
      <c r="O22" s="4">
        <f t="shared" si="39"/>
        <v>1.9958564219023991</v>
      </c>
      <c r="P22" s="4">
        <f t="shared" si="40"/>
        <v>0.60414357809760089</v>
      </c>
      <c r="Q22" s="4">
        <f t="shared" si="6"/>
        <v>0</v>
      </c>
      <c r="R22" s="4">
        <f t="shared" si="41"/>
        <v>1.3606635831954459</v>
      </c>
      <c r="S22" s="360">
        <f t="shared" si="7"/>
        <v>2.2216864639611242E-2</v>
      </c>
      <c r="T22" s="360">
        <f t="shared" si="8"/>
        <v>0.3</v>
      </c>
      <c r="U22" s="360" t="e">
        <f t="shared" si="9"/>
        <v>#VALUE!</v>
      </c>
      <c r="V22" s="4">
        <f t="shared" si="42"/>
        <v>0.40175289250267998</v>
      </c>
      <c r="W22" s="360">
        <f t="shared" si="10"/>
        <v>3.2281077326853984E-4</v>
      </c>
      <c r="X22" s="360">
        <f t="shared" si="43"/>
        <v>3.2281077326853984E-4</v>
      </c>
      <c r="Y22" s="4">
        <f t="shared" si="44"/>
        <v>0.50759638671768181</v>
      </c>
      <c r="Z22" s="360">
        <f t="shared" si="11"/>
        <v>2.576540918088464E-4</v>
      </c>
      <c r="AA22" s="541">
        <f t="shared" si="45"/>
        <v>2.576540918088464E-4</v>
      </c>
      <c r="AB22" s="360">
        <f t="shared" si="46"/>
        <v>0.55618317996293598</v>
      </c>
      <c r="AC22" s="360">
        <f t="shared" si="12"/>
        <v>1.8560383780421017E-3</v>
      </c>
      <c r="AD22" s="360">
        <f t="shared" si="13"/>
        <v>8.4857254453277561E-2</v>
      </c>
      <c r="AE22" s="360">
        <f t="shared" si="14"/>
        <v>-0.52595999999999998</v>
      </c>
      <c r="AF22" s="360">
        <f t="shared" si="15"/>
        <v>0</v>
      </c>
      <c r="AG22" s="360" t="e">
        <f t="shared" si="16"/>
        <v>#VALUE!</v>
      </c>
      <c r="AH22" s="360">
        <f t="shared" si="17"/>
        <v>1.2417993626027459</v>
      </c>
      <c r="AI22" s="360">
        <f t="shared" si="18"/>
        <v>3.8551641424014651E-3</v>
      </c>
      <c r="AJ22" s="360">
        <f t="shared" si="19"/>
        <v>1.5287999999999998E-2</v>
      </c>
      <c r="AK22" s="360" t="e">
        <f t="shared" si="20"/>
        <v>#VALUE!</v>
      </c>
      <c r="AL22" s="360">
        <f t="shared" si="21"/>
        <v>1.5287999999999998E-2</v>
      </c>
      <c r="AM22" s="360">
        <f t="shared" si="22"/>
        <v>0.28079999999999999</v>
      </c>
      <c r="AN22" s="360">
        <f t="shared" si="23"/>
        <v>9.2570269331713508E-3</v>
      </c>
      <c r="AO22" s="360">
        <f t="shared" si="24"/>
        <v>2.0999999999999999E-3</v>
      </c>
      <c r="AP22" s="360">
        <f t="shared" si="25"/>
        <v>9.8999999999999991E-2</v>
      </c>
      <c r="AQ22" s="360">
        <f t="shared" si="26"/>
        <v>1.1483999999999999</v>
      </c>
      <c r="AR22" s="360">
        <f t="shared" si="27"/>
        <v>1.089</v>
      </c>
      <c r="AS22" s="360">
        <f t="shared" si="28"/>
        <v>0.1011</v>
      </c>
      <c r="AT22" s="360" t="e">
        <f t="shared" si="29"/>
        <v>#VALUE!</v>
      </c>
      <c r="AU22">
        <f t="shared" si="30"/>
        <v>13</v>
      </c>
      <c r="AV22" s="542" t="e">
        <f t="shared" si="47"/>
        <v>#VALUE!</v>
      </c>
      <c r="AW22" s="551" t="e">
        <f t="shared" si="31"/>
        <v>#VALUE!</v>
      </c>
      <c r="AX22" s="551" t="e">
        <f t="shared" si="32"/>
        <v>#VALUE!</v>
      </c>
      <c r="AY22" s="9"/>
      <c r="AZ22" s="4" t="e">
        <f t="shared" si="48"/>
        <v>#VALUE!</v>
      </c>
      <c r="BA22" s="360" t="e">
        <f t="shared" si="33"/>
        <v>#VALUE!</v>
      </c>
      <c r="BB22" s="360" t="e">
        <f t="shared" si="34"/>
        <v>#VALUE!</v>
      </c>
      <c r="BC22" s="360" t="e">
        <f t="shared" si="35"/>
        <v>#VALUE!</v>
      </c>
      <c r="BD22" s="360" t="e">
        <f t="shared" si="36"/>
        <v>#VALUE!</v>
      </c>
      <c r="BE22" s="360">
        <f t="shared" si="37"/>
        <v>9.2570269331713508E-3</v>
      </c>
      <c r="BK22" s="18"/>
      <c r="BL22" s="19"/>
    </row>
    <row r="23" spans="1:65" x14ac:dyDescent="0.2">
      <c r="A23" s="36" t="s">
        <v>86</v>
      </c>
      <c r="B23" s="39">
        <f>RCinEsr*1000</f>
        <v>1</v>
      </c>
      <c r="C23" s="442" t="s">
        <v>466</v>
      </c>
      <c r="D23" s="440" t="s">
        <v>480</v>
      </c>
      <c r="G23">
        <v>14</v>
      </c>
      <c r="H23" s="548">
        <f t="shared" si="0"/>
        <v>60</v>
      </c>
      <c r="I23" s="4">
        <f t="shared" si="1"/>
        <v>1</v>
      </c>
      <c r="J23" s="360">
        <f t="shared" si="38"/>
        <v>1.4</v>
      </c>
      <c r="K23" s="360">
        <f t="shared" si="2"/>
        <v>1.4</v>
      </c>
      <c r="L23" s="4">
        <f t="shared" si="3"/>
        <v>0.25925925925925924</v>
      </c>
      <c r="M23" s="360">
        <f t="shared" si="4"/>
        <v>0.16711581761305022</v>
      </c>
      <c r="N23" s="4">
        <f t="shared" si="5"/>
        <v>1.3919299270081102</v>
      </c>
      <c r="O23" s="4">
        <f t="shared" si="39"/>
        <v>2.0959649635040551</v>
      </c>
      <c r="P23" s="4">
        <f t="shared" si="40"/>
        <v>0.70403503649594479</v>
      </c>
      <c r="Q23" s="4">
        <f t="shared" si="6"/>
        <v>0</v>
      </c>
      <c r="R23" s="4">
        <f t="shared" si="41"/>
        <v>1.4565217964297914</v>
      </c>
      <c r="S23" s="360">
        <f t="shared" si="7"/>
        <v>2.5457468921700799E-2</v>
      </c>
      <c r="T23" s="360">
        <f t="shared" si="8"/>
        <v>0.3</v>
      </c>
      <c r="U23" s="360" t="e">
        <f t="shared" si="9"/>
        <v>#VALUE!</v>
      </c>
      <c r="V23" s="4">
        <f t="shared" si="42"/>
        <v>0.40181555902561433</v>
      </c>
      <c r="W23" s="360">
        <f t="shared" si="10"/>
        <v>3.2291148695013391E-4</v>
      </c>
      <c r="X23" s="360">
        <f t="shared" si="43"/>
        <v>3.2291148695013391E-4</v>
      </c>
      <c r="Y23" s="4">
        <f t="shared" si="44"/>
        <v>0.54339804836441474</v>
      </c>
      <c r="Z23" s="360">
        <f t="shared" si="11"/>
        <v>2.9528143896625483E-4</v>
      </c>
      <c r="AA23" s="541">
        <f t="shared" si="45"/>
        <v>2.9528143896625483E-4</v>
      </c>
      <c r="AB23" s="360">
        <f t="shared" si="46"/>
        <v>0.59542322015582927</v>
      </c>
      <c r="AC23" s="360">
        <f t="shared" si="12"/>
        <v>2.1271728666044229E-3</v>
      </c>
      <c r="AD23" s="360">
        <f t="shared" si="13"/>
        <v>9.1384735565068154E-2</v>
      </c>
      <c r="AE23" s="360">
        <f t="shared" si="14"/>
        <v>-0.52595999999999998</v>
      </c>
      <c r="AF23" s="360">
        <f t="shared" si="15"/>
        <v>0</v>
      </c>
      <c r="AG23" s="360" t="e">
        <f t="shared" si="16"/>
        <v>#VALUE!</v>
      </c>
      <c r="AH23" s="360">
        <f t="shared" si="17"/>
        <v>1.3292580382959245</v>
      </c>
      <c r="AI23" s="360">
        <f t="shared" si="18"/>
        <v>4.4173173309358235E-3</v>
      </c>
      <c r="AJ23" s="360">
        <f t="shared" si="19"/>
        <v>1.6463999999999996E-2</v>
      </c>
      <c r="AK23" s="360" t="e">
        <f t="shared" si="20"/>
        <v>#VALUE!</v>
      </c>
      <c r="AL23" s="360">
        <f t="shared" si="21"/>
        <v>1.6463999999999996E-2</v>
      </c>
      <c r="AM23" s="360">
        <f t="shared" si="22"/>
        <v>0.30239999999999995</v>
      </c>
      <c r="AN23" s="360">
        <f t="shared" si="23"/>
        <v>1.0607278717375332E-2</v>
      </c>
      <c r="AO23" s="360">
        <f t="shared" si="24"/>
        <v>2.0999999999999999E-3</v>
      </c>
      <c r="AP23" s="360">
        <f t="shared" si="25"/>
        <v>9.8999999999999991E-2</v>
      </c>
      <c r="AQ23" s="360">
        <f t="shared" si="26"/>
        <v>1.1483999999999999</v>
      </c>
      <c r="AR23" s="360">
        <f t="shared" si="27"/>
        <v>1.089</v>
      </c>
      <c r="AS23" s="360">
        <f t="shared" si="28"/>
        <v>0.1011</v>
      </c>
      <c r="AT23" s="360" t="e">
        <f t="shared" si="29"/>
        <v>#VALUE!</v>
      </c>
      <c r="AU23">
        <f t="shared" si="30"/>
        <v>14</v>
      </c>
      <c r="AV23" s="542" t="e">
        <f t="shared" si="47"/>
        <v>#VALUE!</v>
      </c>
      <c r="AW23" s="551" t="e">
        <f t="shared" si="31"/>
        <v>#VALUE!</v>
      </c>
      <c r="AX23" s="551" t="e">
        <f t="shared" si="32"/>
        <v>#VALUE!</v>
      </c>
      <c r="AY23" s="9"/>
      <c r="AZ23" s="4" t="e">
        <f t="shared" si="48"/>
        <v>#VALUE!</v>
      </c>
      <c r="BA23" s="360" t="e">
        <f t="shared" si="33"/>
        <v>#VALUE!</v>
      </c>
      <c r="BB23" s="360" t="e">
        <f t="shared" si="34"/>
        <v>#VALUE!</v>
      </c>
      <c r="BC23" s="360" t="e">
        <f t="shared" si="35"/>
        <v>#VALUE!</v>
      </c>
      <c r="BD23" s="360" t="e">
        <f t="shared" si="36"/>
        <v>#VALUE!</v>
      </c>
      <c r="BE23" s="360">
        <f t="shared" si="37"/>
        <v>1.0607278717375332E-2</v>
      </c>
      <c r="BK23" s="18"/>
      <c r="BL23" s="19"/>
    </row>
    <row r="24" spans="1:65" x14ac:dyDescent="0.2">
      <c r="A24" s="35" t="s">
        <v>25</v>
      </c>
      <c r="B24" s="39">
        <f>Cout*1000000</f>
        <v>200</v>
      </c>
      <c r="C24" s="441" t="s">
        <v>467</v>
      </c>
      <c r="D24" s="440" t="s">
        <v>483</v>
      </c>
      <c r="G24">
        <v>15</v>
      </c>
      <c r="H24" s="548">
        <f t="shared" si="0"/>
        <v>60</v>
      </c>
      <c r="I24" s="4">
        <f t="shared" si="1"/>
        <v>1</v>
      </c>
      <c r="J24" s="360">
        <f t="shared" si="38"/>
        <v>1.5</v>
      </c>
      <c r="K24" s="360">
        <f t="shared" si="2"/>
        <v>1.5</v>
      </c>
      <c r="L24" s="4">
        <f t="shared" si="3"/>
        <v>0.27777777777777779</v>
      </c>
      <c r="M24" s="360">
        <f t="shared" si="4"/>
        <v>0.16714789862046839</v>
      </c>
      <c r="N24" s="4">
        <f t="shared" si="5"/>
        <v>1.3921469896267777</v>
      </c>
      <c r="O24" s="4">
        <f t="shared" si="39"/>
        <v>2.1960734948133886</v>
      </c>
      <c r="P24" s="4">
        <f t="shared" si="40"/>
        <v>0.80392650518661113</v>
      </c>
      <c r="Q24" s="4">
        <f t="shared" si="6"/>
        <v>0</v>
      </c>
      <c r="R24" s="4">
        <f t="shared" si="41"/>
        <v>1.5529024771034106</v>
      </c>
      <c r="S24" s="360">
        <f t="shared" si="7"/>
        <v>2.8938073240726905E-2</v>
      </c>
      <c r="T24" s="360">
        <f t="shared" si="8"/>
        <v>0.3</v>
      </c>
      <c r="U24" s="360" t="e">
        <f t="shared" si="9"/>
        <v>#VALUE!</v>
      </c>
      <c r="V24" s="4">
        <f t="shared" si="42"/>
        <v>0.40187821960627368</v>
      </c>
      <c r="W24" s="360">
        <f t="shared" si="10"/>
        <v>3.2301220678781665E-4</v>
      </c>
      <c r="X24" s="360">
        <f t="shared" si="43"/>
        <v>3.2301220678781665E-4</v>
      </c>
      <c r="Y24" s="4">
        <f t="shared" si="44"/>
        <v>0.57940012712426892</v>
      </c>
      <c r="Z24" s="360">
        <f t="shared" si="11"/>
        <v>3.3570450731161902E-4</v>
      </c>
      <c r="AA24" s="541">
        <f t="shared" si="45"/>
        <v>3.3570450731161902E-4</v>
      </c>
      <c r="AB24" s="360">
        <f t="shared" si="46"/>
        <v>0.63488438135831138</v>
      </c>
      <c r="AC24" s="360">
        <f t="shared" si="12"/>
        <v>2.4184690661563546E-3</v>
      </c>
      <c r="AD24" s="360">
        <f t="shared" si="13"/>
        <v>9.7912216676858732E-2</v>
      </c>
      <c r="AE24" s="360">
        <f t="shared" si="14"/>
        <v>-0.52595999999999998</v>
      </c>
      <c r="AF24" s="360">
        <f t="shared" si="15"/>
        <v>0</v>
      </c>
      <c r="AG24" s="360" t="e">
        <f t="shared" si="16"/>
        <v>#VALUE!</v>
      </c>
      <c r="AH24" s="360">
        <f t="shared" si="17"/>
        <v>1.4171901515679477</v>
      </c>
      <c r="AI24" s="360">
        <f t="shared" si="18"/>
        <v>5.0210698142529563E-3</v>
      </c>
      <c r="AJ24" s="360">
        <f t="shared" si="19"/>
        <v>1.7639999999999996E-2</v>
      </c>
      <c r="AK24" s="360" t="e">
        <f t="shared" si="20"/>
        <v>#VALUE!</v>
      </c>
      <c r="AL24" s="360">
        <f t="shared" si="21"/>
        <v>1.7639999999999996E-2</v>
      </c>
      <c r="AM24" s="360">
        <f t="shared" si="22"/>
        <v>0.3239999999999999</v>
      </c>
      <c r="AN24" s="360">
        <f t="shared" si="23"/>
        <v>1.2057530516969544E-2</v>
      </c>
      <c r="AO24" s="360">
        <f t="shared" si="24"/>
        <v>2.0999999999999999E-3</v>
      </c>
      <c r="AP24" s="360">
        <f t="shared" si="25"/>
        <v>9.8999999999999991E-2</v>
      </c>
      <c r="AQ24" s="360">
        <f t="shared" si="26"/>
        <v>1.1483999999999999</v>
      </c>
      <c r="AR24" s="360">
        <f t="shared" si="27"/>
        <v>1.089</v>
      </c>
      <c r="AS24" s="360">
        <f t="shared" si="28"/>
        <v>0.1011</v>
      </c>
      <c r="AT24" s="360" t="e">
        <f t="shared" si="29"/>
        <v>#VALUE!</v>
      </c>
      <c r="AU24">
        <f t="shared" si="30"/>
        <v>15</v>
      </c>
      <c r="AV24" s="542" t="e">
        <f t="shared" si="47"/>
        <v>#VALUE!</v>
      </c>
      <c r="AW24" s="551" t="e">
        <f t="shared" si="31"/>
        <v>#VALUE!</v>
      </c>
      <c r="AX24" s="551" t="e">
        <f t="shared" si="32"/>
        <v>#VALUE!</v>
      </c>
      <c r="AY24" s="9"/>
      <c r="AZ24" s="4" t="e">
        <f t="shared" si="48"/>
        <v>#VALUE!</v>
      </c>
      <c r="BA24" s="360" t="e">
        <f t="shared" si="33"/>
        <v>#VALUE!</v>
      </c>
      <c r="BB24" s="360" t="e">
        <f t="shared" si="34"/>
        <v>#VALUE!</v>
      </c>
      <c r="BC24" s="360" t="e">
        <f t="shared" si="35"/>
        <v>#VALUE!</v>
      </c>
      <c r="BD24" s="360" t="e">
        <f t="shared" si="36"/>
        <v>#VALUE!</v>
      </c>
      <c r="BE24" s="360">
        <f t="shared" si="37"/>
        <v>1.2057530516969544E-2</v>
      </c>
      <c r="BK24" s="18"/>
      <c r="BL24" s="19"/>
    </row>
    <row r="25" spans="1:65" x14ac:dyDescent="0.2">
      <c r="A25" s="35" t="s">
        <v>85</v>
      </c>
      <c r="B25" s="40">
        <f>Cout_ESR*1000</f>
        <v>2</v>
      </c>
      <c r="C25" s="442" t="s">
        <v>466</v>
      </c>
      <c r="D25" s="440" t="s">
        <v>482</v>
      </c>
      <c r="G25">
        <v>16</v>
      </c>
      <c r="H25" s="548">
        <f t="shared" si="0"/>
        <v>60</v>
      </c>
      <c r="I25" s="4">
        <f t="shared" si="1"/>
        <v>1</v>
      </c>
      <c r="J25" s="360">
        <f t="shared" si="38"/>
        <v>1.6</v>
      </c>
      <c r="K25" s="360">
        <f t="shared" si="2"/>
        <v>1.6</v>
      </c>
      <c r="L25" s="4">
        <f t="shared" si="3"/>
        <v>0.29629629629629628</v>
      </c>
      <c r="M25" s="360">
        <f t="shared" si="4"/>
        <v>0.16717997946748797</v>
      </c>
      <c r="N25" s="4">
        <f t="shared" si="5"/>
        <v>1.3923640316609558</v>
      </c>
      <c r="O25" s="4">
        <f t="shared" si="39"/>
        <v>2.2961820158304782</v>
      </c>
      <c r="P25" s="4">
        <f t="shared" si="40"/>
        <v>0.90381798416952219</v>
      </c>
      <c r="Q25" s="4">
        <f t="shared" si="6"/>
        <v>0</v>
      </c>
      <c r="R25" s="4">
        <f t="shared" si="41"/>
        <v>1.6497140559468468</v>
      </c>
      <c r="S25" s="360">
        <f t="shared" si="7"/>
        <v>3.2658677596663153E-2</v>
      </c>
      <c r="T25" s="360">
        <f t="shared" si="8"/>
        <v>0.3</v>
      </c>
      <c r="U25" s="360" t="e">
        <f t="shared" si="9"/>
        <v>#VALUE!</v>
      </c>
      <c r="V25" s="4">
        <f t="shared" si="42"/>
        <v>0.40194087424470276</v>
      </c>
      <c r="W25" s="360">
        <f t="shared" si="10"/>
        <v>3.2311293277719193E-4</v>
      </c>
      <c r="X25" s="360">
        <f t="shared" si="43"/>
        <v>3.2311293277719193E-4</v>
      </c>
      <c r="Y25" s="4">
        <f t="shared" si="44"/>
        <v>0.61556849855261486</v>
      </c>
      <c r="Z25" s="360">
        <f t="shared" si="11"/>
        <v>3.7892457641032062E-4</v>
      </c>
      <c r="AA25" s="541">
        <f t="shared" si="45"/>
        <v>3.7892457641032062E-4</v>
      </c>
      <c r="AB25" s="360">
        <f t="shared" si="46"/>
        <v>0.67452928340469742</v>
      </c>
      <c r="AC25" s="360">
        <f t="shared" si="12"/>
        <v>2.7299385250227279E-3</v>
      </c>
      <c r="AD25" s="360">
        <f t="shared" si="13"/>
        <v>0.10443969778864931</v>
      </c>
      <c r="AE25" s="360">
        <f t="shared" si="14"/>
        <v>-0.52595999999999998</v>
      </c>
      <c r="AF25" s="360">
        <f t="shared" si="15"/>
        <v>0</v>
      </c>
      <c r="AG25" s="360" t="e">
        <f t="shared" si="16"/>
        <v>#VALUE!</v>
      </c>
      <c r="AH25" s="360">
        <f t="shared" si="17"/>
        <v>1.505512109621886</v>
      </c>
      <c r="AI25" s="360">
        <f t="shared" si="18"/>
        <v>5.6664167805453537E-3</v>
      </c>
      <c r="AJ25" s="360">
        <f t="shared" si="19"/>
        <v>1.8815999999999999E-2</v>
      </c>
      <c r="AK25" s="360" t="e">
        <f t="shared" si="20"/>
        <v>#VALUE!</v>
      </c>
      <c r="AL25" s="360">
        <f t="shared" si="21"/>
        <v>1.8815999999999999E-2</v>
      </c>
      <c r="AM25" s="360">
        <f t="shared" si="22"/>
        <v>0.34560000000000002</v>
      </c>
      <c r="AN25" s="360">
        <f t="shared" si="23"/>
        <v>1.3607782331942982E-2</v>
      </c>
      <c r="AO25" s="360">
        <f t="shared" si="24"/>
        <v>2.0999999999999999E-3</v>
      </c>
      <c r="AP25" s="360">
        <f t="shared" si="25"/>
        <v>9.8999999999999991E-2</v>
      </c>
      <c r="AQ25" s="360">
        <f t="shared" si="26"/>
        <v>1.1483999999999999</v>
      </c>
      <c r="AR25" s="360">
        <f t="shared" si="27"/>
        <v>1.089</v>
      </c>
      <c r="AS25" s="360">
        <f t="shared" si="28"/>
        <v>0.1011</v>
      </c>
      <c r="AT25" s="360" t="e">
        <f t="shared" si="29"/>
        <v>#VALUE!</v>
      </c>
      <c r="AU25">
        <f t="shared" si="30"/>
        <v>16</v>
      </c>
      <c r="AV25" s="542" t="e">
        <f t="shared" si="47"/>
        <v>#VALUE!</v>
      </c>
      <c r="AW25" s="551" t="e">
        <f t="shared" si="31"/>
        <v>#VALUE!</v>
      </c>
      <c r="AX25" s="551" t="e">
        <f t="shared" si="32"/>
        <v>#VALUE!</v>
      </c>
      <c r="AY25" s="9"/>
      <c r="AZ25" s="4" t="e">
        <f t="shared" si="48"/>
        <v>#VALUE!</v>
      </c>
      <c r="BA25" s="360" t="e">
        <f t="shared" si="33"/>
        <v>#VALUE!</v>
      </c>
      <c r="BB25" s="360" t="e">
        <f t="shared" si="34"/>
        <v>#VALUE!</v>
      </c>
      <c r="BC25" s="360" t="e">
        <f t="shared" si="35"/>
        <v>#VALUE!</v>
      </c>
      <c r="BD25" s="360" t="e">
        <f t="shared" si="36"/>
        <v>#VALUE!</v>
      </c>
      <c r="BE25" s="360">
        <f t="shared" si="37"/>
        <v>1.3607782331942982E-2</v>
      </c>
    </row>
    <row r="26" spans="1:65" x14ac:dyDescent="0.2">
      <c r="A26" s="24" t="s">
        <v>112</v>
      </c>
      <c r="B26" s="37" t="s">
        <v>111</v>
      </c>
      <c r="C26" s="24" t="s">
        <v>76</v>
      </c>
      <c r="D26" s="17" t="s">
        <v>107</v>
      </c>
      <c r="G26">
        <v>17</v>
      </c>
      <c r="H26" s="548">
        <f t="shared" si="0"/>
        <v>60</v>
      </c>
      <c r="I26" s="4">
        <f t="shared" si="1"/>
        <v>1</v>
      </c>
      <c r="J26" s="360">
        <f t="shared" si="38"/>
        <v>1.7</v>
      </c>
      <c r="K26" s="360">
        <f t="shared" si="2"/>
        <v>1.7</v>
      </c>
      <c r="L26" s="4">
        <f t="shared" si="3"/>
        <v>0.31481481481481483</v>
      </c>
      <c r="M26" s="360">
        <f t="shared" si="4"/>
        <v>0.16721206015411011</v>
      </c>
      <c r="N26" s="4">
        <f t="shared" si="5"/>
        <v>1.3925810531107981</v>
      </c>
      <c r="O26" s="4">
        <f t="shared" si="39"/>
        <v>2.3962905265553989</v>
      </c>
      <c r="P26" s="4">
        <f t="shared" si="40"/>
        <v>1.003709473444601</v>
      </c>
      <c r="Q26" s="4">
        <f t="shared" si="6"/>
        <v>0</v>
      </c>
      <c r="R26" s="4">
        <f t="shared" si="41"/>
        <v>1.7468848938773647</v>
      </c>
      <c r="S26" s="360">
        <f t="shared" si="7"/>
        <v>3.6619281989483179E-2</v>
      </c>
      <c r="T26" s="360">
        <f t="shared" si="8"/>
        <v>0.3</v>
      </c>
      <c r="U26" s="360" t="e">
        <f t="shared" si="9"/>
        <v>#VALUE!</v>
      </c>
      <c r="V26" s="4">
        <f t="shared" si="42"/>
        <v>0.40200352294094593</v>
      </c>
      <c r="W26" s="360">
        <f t="shared" si="10"/>
        <v>3.2321366491386326E-4</v>
      </c>
      <c r="X26" s="360">
        <f t="shared" si="43"/>
        <v>3.2321366491386326E-4</v>
      </c>
      <c r="Y26" s="4">
        <f t="shared" si="44"/>
        <v>0.65187646495939822</v>
      </c>
      <c r="Z26" s="360">
        <f t="shared" si="11"/>
        <v>4.2494292556796156E-4</v>
      </c>
      <c r="AA26" s="541">
        <f t="shared" si="45"/>
        <v>4.2494292556796156E-4</v>
      </c>
      <c r="AB26" s="360">
        <f t="shared" si="46"/>
        <v>0.71432868151536644</v>
      </c>
      <c r="AC26" s="360">
        <f t="shared" si="12"/>
        <v>3.0615927914128906E-3</v>
      </c>
      <c r="AD26" s="360">
        <f t="shared" si="13"/>
        <v>0.11096717890043989</v>
      </c>
      <c r="AE26" s="360">
        <f t="shared" si="14"/>
        <v>-0.52595999999999998</v>
      </c>
      <c r="AF26" s="360">
        <f t="shared" si="15"/>
        <v>0</v>
      </c>
      <c r="AG26" s="360" t="e">
        <f t="shared" si="16"/>
        <v>#VALUE!</v>
      </c>
      <c r="AH26" s="360">
        <f t="shared" si="17"/>
        <v>1.594158513831498</v>
      </c>
      <c r="AI26" s="360">
        <f t="shared" si="18"/>
        <v>6.3533534180536255E-3</v>
      </c>
      <c r="AJ26" s="360">
        <f t="shared" si="19"/>
        <v>1.9991999999999996E-2</v>
      </c>
      <c r="AK26" s="360" t="e">
        <f t="shared" si="20"/>
        <v>#VALUE!</v>
      </c>
      <c r="AL26" s="360">
        <f t="shared" si="21"/>
        <v>1.9991999999999996E-2</v>
      </c>
      <c r="AM26" s="360">
        <f t="shared" si="22"/>
        <v>0.36719999999999997</v>
      </c>
      <c r="AN26" s="360">
        <f t="shared" si="23"/>
        <v>1.5258034162284658E-2</v>
      </c>
      <c r="AO26" s="360">
        <f t="shared" si="24"/>
        <v>2.0999999999999999E-3</v>
      </c>
      <c r="AP26" s="360">
        <f t="shared" si="25"/>
        <v>9.8999999999999991E-2</v>
      </c>
      <c r="AQ26" s="360">
        <f t="shared" si="26"/>
        <v>1.1483999999999999</v>
      </c>
      <c r="AR26" s="360">
        <f t="shared" si="27"/>
        <v>1.089</v>
      </c>
      <c r="AS26" s="360">
        <f t="shared" si="28"/>
        <v>0.1011</v>
      </c>
      <c r="AT26" s="360" t="e">
        <f t="shared" si="29"/>
        <v>#VALUE!</v>
      </c>
      <c r="AU26">
        <f t="shared" si="30"/>
        <v>17</v>
      </c>
      <c r="AV26" s="542" t="e">
        <f t="shared" si="47"/>
        <v>#VALUE!</v>
      </c>
      <c r="AW26" s="551" t="e">
        <f t="shared" si="31"/>
        <v>#VALUE!</v>
      </c>
      <c r="AX26" s="551" t="e">
        <f t="shared" si="32"/>
        <v>#VALUE!</v>
      </c>
      <c r="AY26" s="9"/>
      <c r="AZ26" s="4" t="e">
        <f t="shared" si="48"/>
        <v>#VALUE!</v>
      </c>
      <c r="BA26" s="360" t="e">
        <f t="shared" si="33"/>
        <v>#VALUE!</v>
      </c>
      <c r="BB26" s="360" t="e">
        <f t="shared" si="34"/>
        <v>#VALUE!</v>
      </c>
      <c r="BC26" s="360" t="e">
        <f t="shared" si="35"/>
        <v>#VALUE!</v>
      </c>
      <c r="BD26" s="360" t="e">
        <f t="shared" si="36"/>
        <v>#VALUE!</v>
      </c>
      <c r="BE26" s="360">
        <f t="shared" si="37"/>
        <v>1.5258034162284658E-2</v>
      </c>
    </row>
    <row r="27" spans="1:65" x14ac:dyDescent="0.2">
      <c r="A27" s="22" t="s">
        <v>61</v>
      </c>
      <c r="B27" s="5">
        <f>RdsonDRT</f>
        <v>1</v>
      </c>
      <c r="C27" s="444" t="s">
        <v>116</v>
      </c>
      <c r="D27" s="440" t="s">
        <v>507</v>
      </c>
      <c r="G27">
        <v>18</v>
      </c>
      <c r="H27" s="548">
        <f t="shared" si="0"/>
        <v>60</v>
      </c>
      <c r="I27" s="4">
        <f t="shared" si="1"/>
        <v>1</v>
      </c>
      <c r="J27" s="360">
        <f t="shared" si="38"/>
        <v>1.8</v>
      </c>
      <c r="K27" s="360">
        <f t="shared" si="2"/>
        <v>1.8</v>
      </c>
      <c r="L27" s="4">
        <f t="shared" si="3"/>
        <v>0.33333333333333331</v>
      </c>
      <c r="M27" s="360">
        <f t="shared" si="4"/>
        <v>0.16724414068033605</v>
      </c>
      <c r="N27" s="4">
        <f t="shared" si="5"/>
        <v>1.3927980539764595</v>
      </c>
      <c r="O27" s="4">
        <f t="shared" si="39"/>
        <v>2.4963990269882297</v>
      </c>
      <c r="P27" s="4">
        <f t="shared" si="40"/>
        <v>1.1036009730117704</v>
      </c>
      <c r="Q27" s="4">
        <f t="shared" si="6"/>
        <v>0</v>
      </c>
      <c r="R27" s="4">
        <f t="shared" si="41"/>
        <v>1.8443582085909229</v>
      </c>
      <c r="S27" s="360">
        <f t="shared" si="7"/>
        <v>4.0819886419160616E-2</v>
      </c>
      <c r="T27" s="360">
        <f t="shared" si="8"/>
        <v>0.3</v>
      </c>
      <c r="U27" s="360" t="e">
        <f t="shared" si="9"/>
        <v>#VALUE!</v>
      </c>
      <c r="V27" s="4">
        <f t="shared" si="42"/>
        <v>0.40206616569504794</v>
      </c>
      <c r="W27" s="360">
        <f t="shared" si="10"/>
        <v>3.2331440319343545E-4</v>
      </c>
      <c r="X27" s="360">
        <f t="shared" si="43"/>
        <v>3.2331440319343545E-4</v>
      </c>
      <c r="Y27" s="4">
        <f t="shared" si="44"/>
        <v>0.688302864900597</v>
      </c>
      <c r="Z27" s="360">
        <f t="shared" si="11"/>
        <v>4.7376083383036949E-4</v>
      </c>
      <c r="AA27" s="541">
        <f t="shared" si="45"/>
        <v>4.7376083383036949E-4</v>
      </c>
      <c r="AB27" s="360">
        <f t="shared" si="46"/>
        <v>0.75425939541388531</v>
      </c>
      <c r="AC27" s="360">
        <f t="shared" si="12"/>
        <v>3.413443413420719E-3</v>
      </c>
      <c r="AD27" s="360">
        <f t="shared" si="13"/>
        <v>0.11749466001223048</v>
      </c>
      <c r="AE27" s="360">
        <f t="shared" si="14"/>
        <v>-0.52595999999999998</v>
      </c>
      <c r="AF27" s="360">
        <f t="shared" si="15"/>
        <v>0</v>
      </c>
      <c r="AG27" s="360" t="e">
        <f t="shared" si="16"/>
        <v>#VALUE!</v>
      </c>
      <c r="AH27" s="360">
        <f t="shared" si="17"/>
        <v>1.6830775282281558</v>
      </c>
      <c r="AI27" s="360">
        <f t="shared" si="18"/>
        <v>7.0818749150664967E-3</v>
      </c>
      <c r="AJ27" s="360">
        <f t="shared" si="19"/>
        <v>2.1167999999999996E-2</v>
      </c>
      <c r="AK27" s="360" t="e">
        <f t="shared" si="20"/>
        <v>#VALUE!</v>
      </c>
      <c r="AL27" s="360">
        <f t="shared" si="21"/>
        <v>2.1167999999999996E-2</v>
      </c>
      <c r="AM27" s="360">
        <f t="shared" si="22"/>
        <v>0.38879999999999998</v>
      </c>
      <c r="AN27" s="360">
        <f t="shared" si="23"/>
        <v>1.700828600798359E-2</v>
      </c>
      <c r="AO27" s="360">
        <f t="shared" si="24"/>
        <v>2.0999999999999999E-3</v>
      </c>
      <c r="AP27" s="360">
        <f t="shared" si="25"/>
        <v>9.8999999999999991E-2</v>
      </c>
      <c r="AQ27" s="360">
        <f t="shared" si="26"/>
        <v>1.1483999999999999</v>
      </c>
      <c r="AR27" s="360">
        <f t="shared" si="27"/>
        <v>1.089</v>
      </c>
      <c r="AS27" s="360">
        <f t="shared" si="28"/>
        <v>0.1011</v>
      </c>
      <c r="AT27" s="360" t="e">
        <f t="shared" si="29"/>
        <v>#VALUE!</v>
      </c>
      <c r="AU27">
        <f t="shared" si="30"/>
        <v>18</v>
      </c>
      <c r="AV27" s="542" t="e">
        <f t="shared" si="47"/>
        <v>#VALUE!</v>
      </c>
      <c r="AW27" s="551" t="e">
        <f t="shared" si="31"/>
        <v>#VALUE!</v>
      </c>
      <c r="AX27" s="551" t="e">
        <f t="shared" si="32"/>
        <v>#VALUE!</v>
      </c>
      <c r="AY27" s="9"/>
      <c r="AZ27" s="4" t="e">
        <f t="shared" si="48"/>
        <v>#VALUE!</v>
      </c>
      <c r="BA27" s="360" t="e">
        <f t="shared" si="33"/>
        <v>#VALUE!</v>
      </c>
      <c r="BB27" s="360" t="e">
        <f t="shared" si="34"/>
        <v>#VALUE!</v>
      </c>
      <c r="BC27" s="360" t="e">
        <f t="shared" si="35"/>
        <v>#VALUE!</v>
      </c>
      <c r="BD27" s="360" t="e">
        <f t="shared" si="36"/>
        <v>#VALUE!</v>
      </c>
      <c r="BE27" s="360">
        <f t="shared" si="37"/>
        <v>1.700828600798359E-2</v>
      </c>
    </row>
    <row r="28" spans="1:65" x14ac:dyDescent="0.2">
      <c r="A28" s="22" t="s">
        <v>126</v>
      </c>
      <c r="B28" s="5">
        <f>RdsonDRT2</f>
        <v>0.5</v>
      </c>
      <c r="C28" s="444" t="s">
        <v>116</v>
      </c>
      <c r="D28" s="440" t="s">
        <v>506</v>
      </c>
      <c r="G28">
        <v>19</v>
      </c>
      <c r="H28" s="548">
        <f t="shared" si="0"/>
        <v>60</v>
      </c>
      <c r="I28" s="4">
        <f t="shared" si="1"/>
        <v>1</v>
      </c>
      <c r="J28" s="360">
        <f t="shared" si="38"/>
        <v>1.9</v>
      </c>
      <c r="K28" s="360">
        <f t="shared" si="2"/>
        <v>1.9</v>
      </c>
      <c r="L28" s="4">
        <f t="shared" si="3"/>
        <v>0.35185185185185186</v>
      </c>
      <c r="M28" s="360">
        <f t="shared" si="4"/>
        <v>0.16727622104616699</v>
      </c>
      <c r="N28" s="4">
        <f t="shared" si="5"/>
        <v>1.3930150342580949</v>
      </c>
      <c r="O28" s="4">
        <f t="shared" si="39"/>
        <v>2.5965075171290475</v>
      </c>
      <c r="P28" s="4">
        <f t="shared" si="40"/>
        <v>1.2034924828709523</v>
      </c>
      <c r="Q28" s="4">
        <f t="shared" si="6"/>
        <v>0</v>
      </c>
      <c r="R28" s="4">
        <f t="shared" si="41"/>
        <v>1.9420884567407728</v>
      </c>
      <c r="S28" s="360">
        <f t="shared" si="7"/>
        <v>4.526049088566908E-2</v>
      </c>
      <c r="T28" s="360">
        <f t="shared" si="8"/>
        <v>0.3</v>
      </c>
      <c r="U28" s="360" t="e">
        <f t="shared" si="9"/>
        <v>#VALUE!</v>
      </c>
      <c r="V28" s="4">
        <f t="shared" si="42"/>
        <v>0.40212880250705346</v>
      </c>
      <c r="W28" s="360">
        <f t="shared" si="10"/>
        <v>3.2341514761151364E-4</v>
      </c>
      <c r="X28" s="360">
        <f t="shared" si="43"/>
        <v>3.2341514761151364E-4</v>
      </c>
      <c r="Y28" s="4">
        <f t="shared" si="44"/>
        <v>0.7248307250548951</v>
      </c>
      <c r="Z28" s="360">
        <f t="shared" si="11"/>
        <v>5.2537957998360495E-4</v>
      </c>
      <c r="AA28" s="541">
        <f t="shared" si="45"/>
        <v>5.2537957998360495E-4</v>
      </c>
      <c r="AB28" s="360">
        <f t="shared" si="46"/>
        <v>0.79430283257548184</v>
      </c>
      <c r="AC28" s="360">
        <f t="shared" si="12"/>
        <v>3.7855019390246039E-3</v>
      </c>
      <c r="AD28" s="360">
        <f t="shared" si="13"/>
        <v>0.12402214112402106</v>
      </c>
      <c r="AE28" s="360">
        <f t="shared" si="14"/>
        <v>-0.52595999999999998</v>
      </c>
      <c r="AF28" s="360">
        <f t="shared" si="15"/>
        <v>0</v>
      </c>
      <c r="AG28" s="360" t="e">
        <f t="shared" si="16"/>
        <v>#VALUE!</v>
      </c>
      <c r="AH28" s="360">
        <f t="shared" si="17"/>
        <v>1.772227576799414</v>
      </c>
      <c r="AI28" s="360">
        <f t="shared" si="18"/>
        <v>7.8519764599208081E-3</v>
      </c>
      <c r="AJ28" s="360">
        <f t="shared" si="19"/>
        <v>2.2343999999999996E-2</v>
      </c>
      <c r="AK28" s="360" t="e">
        <f t="shared" si="20"/>
        <v>#VALUE!</v>
      </c>
      <c r="AL28" s="360">
        <f t="shared" si="21"/>
        <v>2.2343999999999996E-2</v>
      </c>
      <c r="AM28" s="360">
        <f t="shared" si="22"/>
        <v>0.41039999999999999</v>
      </c>
      <c r="AN28" s="360">
        <f t="shared" si="23"/>
        <v>1.8858537869028781E-2</v>
      </c>
      <c r="AO28" s="360">
        <f t="shared" si="24"/>
        <v>2.0999999999999999E-3</v>
      </c>
      <c r="AP28" s="360">
        <f t="shared" si="25"/>
        <v>9.8999999999999991E-2</v>
      </c>
      <c r="AQ28" s="360">
        <f t="shared" si="26"/>
        <v>1.1483999999999999</v>
      </c>
      <c r="AR28" s="360">
        <f t="shared" si="27"/>
        <v>1.089</v>
      </c>
      <c r="AS28" s="360">
        <f t="shared" si="28"/>
        <v>0.1011</v>
      </c>
      <c r="AT28" s="360" t="e">
        <f t="shared" si="29"/>
        <v>#VALUE!</v>
      </c>
      <c r="AU28">
        <f t="shared" si="30"/>
        <v>19</v>
      </c>
      <c r="AV28" s="542" t="e">
        <f t="shared" si="47"/>
        <v>#VALUE!</v>
      </c>
      <c r="AW28" s="551" t="e">
        <f t="shared" si="31"/>
        <v>#VALUE!</v>
      </c>
      <c r="AX28" s="551" t="e">
        <f t="shared" si="32"/>
        <v>#VALUE!</v>
      </c>
      <c r="AY28" s="9"/>
      <c r="AZ28" s="4" t="e">
        <f t="shared" si="48"/>
        <v>#VALUE!</v>
      </c>
      <c r="BA28" s="360" t="e">
        <f t="shared" si="33"/>
        <v>#VALUE!</v>
      </c>
      <c r="BB28" s="360" t="e">
        <f t="shared" si="34"/>
        <v>#VALUE!</v>
      </c>
      <c r="BC28" s="360" t="e">
        <f t="shared" si="35"/>
        <v>#VALUE!</v>
      </c>
      <c r="BD28" s="360" t="e">
        <f t="shared" si="36"/>
        <v>#VALUE!</v>
      </c>
      <c r="BE28" s="360">
        <f t="shared" si="37"/>
        <v>1.8858537869028781E-2</v>
      </c>
    </row>
    <row r="29" spans="1:65" x14ac:dyDescent="0.2">
      <c r="A29" s="24" t="s">
        <v>113</v>
      </c>
      <c r="B29" s="15" t="s">
        <v>111</v>
      </c>
      <c r="C29" s="24" t="s">
        <v>76</v>
      </c>
      <c r="D29" s="17" t="s">
        <v>107</v>
      </c>
      <c r="G29">
        <v>20</v>
      </c>
      <c r="H29" s="548">
        <f t="shared" si="0"/>
        <v>60</v>
      </c>
      <c r="I29" s="4">
        <f t="shared" si="1"/>
        <v>1</v>
      </c>
      <c r="J29" s="360">
        <f t="shared" si="38"/>
        <v>2</v>
      </c>
      <c r="K29" s="360">
        <f t="shared" si="2"/>
        <v>2</v>
      </c>
      <c r="L29" s="4">
        <f t="shared" si="3"/>
        <v>0.37037037037037035</v>
      </c>
      <c r="M29" s="360">
        <f t="shared" si="4"/>
        <v>0.16730830125160409</v>
      </c>
      <c r="N29" s="4">
        <f t="shared" si="5"/>
        <v>1.3932319939558577</v>
      </c>
      <c r="O29" s="4">
        <f t="shared" si="39"/>
        <v>2.6966159969779291</v>
      </c>
      <c r="P29" s="4">
        <f t="shared" si="40"/>
        <v>1.3033840030220711</v>
      </c>
      <c r="Q29" s="4">
        <f t="shared" si="6"/>
        <v>0</v>
      </c>
      <c r="R29" s="4">
        <f t="shared" si="41"/>
        <v>2.0400387126429367</v>
      </c>
      <c r="S29" s="360">
        <f t="shared" si="7"/>
        <v>4.9941095388982205E-2</v>
      </c>
      <c r="T29" s="360">
        <f t="shared" si="8"/>
        <v>0.3</v>
      </c>
      <c r="U29" s="360" t="e">
        <f t="shared" si="9"/>
        <v>#VALUE!</v>
      </c>
      <c r="V29" s="4">
        <f t="shared" si="42"/>
        <v>0.4021914333770068</v>
      </c>
      <c r="W29" s="360">
        <f t="shared" si="10"/>
        <v>3.2351589816370256E-4</v>
      </c>
      <c r="X29" s="360">
        <f t="shared" si="43"/>
        <v>3.2351589816370256E-4</v>
      </c>
      <c r="Y29" s="4">
        <f t="shared" si="44"/>
        <v>0.76144628343302523</v>
      </c>
      <c r="Z29" s="360">
        <f t="shared" si="11"/>
        <v>5.79800442553967E-4</v>
      </c>
      <c r="AA29" s="541">
        <f t="shared" si="45"/>
        <v>5.79800442553967E-4</v>
      </c>
      <c r="AB29" s="360">
        <f t="shared" si="46"/>
        <v>0.83444391823611741</v>
      </c>
      <c r="AC29" s="360">
        <f t="shared" si="12"/>
        <v>4.177779916087465E-3</v>
      </c>
      <c r="AD29" s="360">
        <f t="shared" si="13"/>
        <v>0.13054962223581165</v>
      </c>
      <c r="AE29" s="360">
        <f t="shared" si="14"/>
        <v>-0.52595999999999998</v>
      </c>
      <c r="AF29" s="360">
        <f t="shared" si="15"/>
        <v>0</v>
      </c>
      <c r="AG29" s="360" t="e">
        <f t="shared" si="16"/>
        <v>#VALUE!</v>
      </c>
      <c r="AH29" s="360">
        <f t="shared" si="17"/>
        <v>1.8615749505192118</v>
      </c>
      <c r="AI29" s="360">
        <f t="shared" si="18"/>
        <v>8.6636532410015159E-3</v>
      </c>
      <c r="AJ29" s="360">
        <f t="shared" si="19"/>
        <v>2.3519999999999996E-2</v>
      </c>
      <c r="AK29" s="360" t="e">
        <f t="shared" si="20"/>
        <v>#VALUE!</v>
      </c>
      <c r="AL29" s="360">
        <f t="shared" si="21"/>
        <v>2.3519999999999996E-2</v>
      </c>
      <c r="AM29" s="360">
        <f t="shared" si="22"/>
        <v>0.43199999999999994</v>
      </c>
      <c r="AN29" s="360">
        <f t="shared" si="23"/>
        <v>2.0808789745409253E-2</v>
      </c>
      <c r="AO29" s="360">
        <f t="shared" si="24"/>
        <v>2.0999999999999999E-3</v>
      </c>
      <c r="AP29" s="360">
        <f t="shared" si="25"/>
        <v>9.8999999999999991E-2</v>
      </c>
      <c r="AQ29" s="360">
        <f t="shared" si="26"/>
        <v>1.1483999999999999</v>
      </c>
      <c r="AR29" s="360">
        <f t="shared" si="27"/>
        <v>1.089</v>
      </c>
      <c r="AS29" s="360">
        <f t="shared" si="28"/>
        <v>0.1011</v>
      </c>
      <c r="AT29" s="360" t="e">
        <f t="shared" si="29"/>
        <v>#VALUE!</v>
      </c>
      <c r="AU29">
        <f t="shared" si="30"/>
        <v>20</v>
      </c>
      <c r="AV29" s="542" t="e">
        <f t="shared" si="47"/>
        <v>#VALUE!</v>
      </c>
      <c r="AW29" s="551" t="e">
        <f t="shared" si="31"/>
        <v>#VALUE!</v>
      </c>
      <c r="AX29" s="551" t="e">
        <f t="shared" si="32"/>
        <v>#VALUE!</v>
      </c>
      <c r="AY29" s="9"/>
      <c r="AZ29" s="4" t="e">
        <f t="shared" si="48"/>
        <v>#VALUE!</v>
      </c>
      <c r="BA29" s="360" t="e">
        <f t="shared" si="33"/>
        <v>#VALUE!</v>
      </c>
      <c r="BB29" s="360" t="e">
        <f t="shared" si="34"/>
        <v>#VALUE!</v>
      </c>
      <c r="BC29" s="360" t="e">
        <f t="shared" si="35"/>
        <v>#VALUE!</v>
      </c>
      <c r="BD29" s="360" t="e">
        <f t="shared" si="36"/>
        <v>#VALUE!</v>
      </c>
      <c r="BE29" s="360">
        <f t="shared" si="37"/>
        <v>2.0808789745409253E-2</v>
      </c>
    </row>
    <row r="30" spans="1:65" x14ac:dyDescent="0.2">
      <c r="A30" s="22" t="s">
        <v>60</v>
      </c>
      <c r="B30" s="27">
        <f>RdsonDRB</f>
        <v>1</v>
      </c>
      <c r="C30" s="444" t="s">
        <v>116</v>
      </c>
      <c r="D30" s="440" t="s">
        <v>505</v>
      </c>
      <c r="G30">
        <v>21</v>
      </c>
      <c r="H30" s="548">
        <f t="shared" si="0"/>
        <v>60</v>
      </c>
      <c r="I30" s="4">
        <f t="shared" si="1"/>
        <v>1</v>
      </c>
      <c r="J30" s="360">
        <f t="shared" si="38"/>
        <v>2.1</v>
      </c>
      <c r="K30" s="360">
        <f t="shared" si="2"/>
        <v>2.1</v>
      </c>
      <c r="L30" s="4">
        <f t="shared" si="3"/>
        <v>0.3888888888888889</v>
      </c>
      <c r="M30" s="360">
        <f t="shared" si="4"/>
        <v>0.1673403812966486</v>
      </c>
      <c r="N30" s="4">
        <f t="shared" si="5"/>
        <v>1.3934489330699025</v>
      </c>
      <c r="O30" s="4">
        <f t="shared" si="39"/>
        <v>2.7967244665349513</v>
      </c>
      <c r="P30" s="4">
        <f t="shared" si="40"/>
        <v>1.4032755334650489</v>
      </c>
      <c r="Q30" s="4">
        <f t="shared" si="6"/>
        <v>0</v>
      </c>
      <c r="R30" s="4">
        <f t="shared" si="41"/>
        <v>2.1381787407564419</v>
      </c>
      <c r="S30" s="360">
        <f t="shared" si="7"/>
        <v>5.4861699929073644E-2</v>
      </c>
      <c r="T30" s="360">
        <f t="shared" si="8"/>
        <v>0.3</v>
      </c>
      <c r="U30" s="360" t="e">
        <f t="shared" si="9"/>
        <v>#VALUE!</v>
      </c>
      <c r="V30" s="4">
        <f t="shared" si="42"/>
        <v>0.40225405830495253</v>
      </c>
      <c r="W30" s="360">
        <f t="shared" si="10"/>
        <v>3.2361665484560833E-4</v>
      </c>
      <c r="X30" s="360">
        <f t="shared" si="43"/>
        <v>3.2361665484560833E-4</v>
      </c>
      <c r="Y30" s="4">
        <f t="shared" si="44"/>
        <v>0.79813827110845925</v>
      </c>
      <c r="Z30" s="360">
        <f t="shared" si="11"/>
        <v>6.3702469980800043E-4</v>
      </c>
      <c r="AA30" s="541">
        <f t="shared" si="45"/>
        <v>6.3702469980800043E-4</v>
      </c>
      <c r="AB30" s="360">
        <f t="shared" si="46"/>
        <v>0.874670308588399</v>
      </c>
      <c r="AC30" s="360">
        <f t="shared" si="12"/>
        <v>4.5902888923567507E-3</v>
      </c>
      <c r="AD30" s="360">
        <f t="shared" si="13"/>
        <v>0.13707710334760223</v>
      </c>
      <c r="AE30" s="360">
        <f t="shared" si="14"/>
        <v>-0.52595999999999998</v>
      </c>
      <c r="AF30" s="360">
        <f t="shared" si="15"/>
        <v>0</v>
      </c>
      <c r="AG30" s="360" t="e">
        <f t="shared" si="16"/>
        <v>#VALUE!</v>
      </c>
      <c r="AH30" s="360">
        <f t="shared" si="17"/>
        <v>1.951092047725242</v>
      </c>
      <c r="AI30" s="360">
        <f t="shared" si="18"/>
        <v>9.5169004467416957E-3</v>
      </c>
      <c r="AJ30" s="360">
        <f t="shared" si="19"/>
        <v>2.4695999999999996E-2</v>
      </c>
      <c r="AK30" s="360" t="e">
        <f t="shared" si="20"/>
        <v>#VALUE!</v>
      </c>
      <c r="AL30" s="360">
        <f t="shared" si="21"/>
        <v>2.4695999999999996E-2</v>
      </c>
      <c r="AM30" s="360">
        <f t="shared" si="22"/>
        <v>0.45359999999999995</v>
      </c>
      <c r="AN30" s="360">
        <f t="shared" si="23"/>
        <v>2.2859041637114018E-2</v>
      </c>
      <c r="AO30" s="360">
        <f t="shared" si="24"/>
        <v>2.0999999999999999E-3</v>
      </c>
      <c r="AP30" s="360">
        <f t="shared" si="25"/>
        <v>9.8999999999999991E-2</v>
      </c>
      <c r="AQ30" s="360">
        <f t="shared" si="26"/>
        <v>1.1483999999999999</v>
      </c>
      <c r="AR30" s="360">
        <f t="shared" si="27"/>
        <v>1.089</v>
      </c>
      <c r="AS30" s="360">
        <f t="shared" si="28"/>
        <v>0.1011</v>
      </c>
      <c r="AT30" s="360" t="e">
        <f t="shared" si="29"/>
        <v>#VALUE!</v>
      </c>
      <c r="AU30">
        <f t="shared" si="30"/>
        <v>21</v>
      </c>
      <c r="AV30" s="542" t="e">
        <f t="shared" si="47"/>
        <v>#VALUE!</v>
      </c>
      <c r="AW30" s="551" t="e">
        <f t="shared" si="31"/>
        <v>#VALUE!</v>
      </c>
      <c r="AX30" s="551" t="e">
        <f t="shared" si="32"/>
        <v>#VALUE!</v>
      </c>
      <c r="AY30" s="9"/>
      <c r="AZ30" s="4" t="e">
        <f t="shared" si="48"/>
        <v>#VALUE!</v>
      </c>
      <c r="BA30" s="360" t="e">
        <f t="shared" si="33"/>
        <v>#VALUE!</v>
      </c>
      <c r="BB30" s="360" t="e">
        <f t="shared" si="34"/>
        <v>#VALUE!</v>
      </c>
      <c r="BC30" s="360" t="e">
        <f t="shared" si="35"/>
        <v>#VALUE!</v>
      </c>
      <c r="BD30" s="360" t="e">
        <f t="shared" si="36"/>
        <v>#VALUE!</v>
      </c>
      <c r="BE30" s="360">
        <f t="shared" si="37"/>
        <v>2.2859041637114018E-2</v>
      </c>
    </row>
    <row r="31" spans="1:65" x14ac:dyDescent="0.2">
      <c r="A31" s="22" t="s">
        <v>125</v>
      </c>
      <c r="B31" s="27">
        <v>1</v>
      </c>
      <c r="C31" s="444" t="s">
        <v>116</v>
      </c>
      <c r="D31" s="440" t="s">
        <v>504</v>
      </c>
      <c r="G31">
        <v>22</v>
      </c>
      <c r="H31" s="548">
        <f t="shared" si="0"/>
        <v>60</v>
      </c>
      <c r="I31" s="4">
        <f t="shared" si="1"/>
        <v>1</v>
      </c>
      <c r="J31" s="360">
        <f t="shared" si="38"/>
        <v>2.2000000000000002</v>
      </c>
      <c r="K31" s="360">
        <f t="shared" si="2"/>
        <v>2.2000000000000002</v>
      </c>
      <c r="L31" s="4">
        <f t="shared" si="3"/>
        <v>0.40740740740740738</v>
      </c>
      <c r="M31" s="360">
        <f t="shared" si="4"/>
        <v>0.16737246118130167</v>
      </c>
      <c r="N31" s="4">
        <f t="shared" si="5"/>
        <v>1.3936658516003839</v>
      </c>
      <c r="O31" s="4">
        <f t="shared" si="39"/>
        <v>2.8968329258001919</v>
      </c>
      <c r="P31" s="4">
        <f t="shared" si="40"/>
        <v>1.5031670741998082</v>
      </c>
      <c r="Q31" s="4">
        <f t="shared" si="6"/>
        <v>0</v>
      </c>
      <c r="R31" s="4">
        <f t="shared" si="41"/>
        <v>2.2364835588097711</v>
      </c>
      <c r="S31" s="360">
        <f t="shared" si="7"/>
        <v>6.0022304505917029E-2</v>
      </c>
      <c r="T31" s="360">
        <f t="shared" si="8"/>
        <v>0.3</v>
      </c>
      <c r="U31" s="360" t="e">
        <f t="shared" si="9"/>
        <v>#VALUE!</v>
      </c>
      <c r="V31" s="4">
        <f t="shared" si="42"/>
        <v>0.40231667729093534</v>
      </c>
      <c r="W31" s="360">
        <f t="shared" si="10"/>
        <v>3.2371741765283723E-4</v>
      </c>
      <c r="X31" s="360">
        <f t="shared" si="43"/>
        <v>3.2371741765283723E-4</v>
      </c>
      <c r="Y31" s="4">
        <f t="shared" si="44"/>
        <v>0.83489737677902687</v>
      </c>
      <c r="Z31" s="360">
        <f t="shared" si="11"/>
        <v>6.9705362975250047E-4</v>
      </c>
      <c r="AA31" s="541">
        <f t="shared" si="45"/>
        <v>6.9705362975250047E-4</v>
      </c>
      <c r="AB31" s="360">
        <f t="shared" si="46"/>
        <v>0.91497180425268054</v>
      </c>
      <c r="AC31" s="360">
        <f t="shared" si="12"/>
        <v>5.023040415464434E-3</v>
      </c>
      <c r="AD31" s="360">
        <f t="shared" si="13"/>
        <v>0.14360458445939281</v>
      </c>
      <c r="AE31" s="360">
        <f t="shared" si="14"/>
        <v>-0.52595999999999998</v>
      </c>
      <c r="AF31" s="360">
        <f t="shared" si="15"/>
        <v>0</v>
      </c>
      <c r="AG31" s="360" t="e">
        <f t="shared" si="16"/>
        <v>#VALUE!</v>
      </c>
      <c r="AH31" s="360">
        <f t="shared" si="17"/>
        <v>2.040756062406532</v>
      </c>
      <c r="AI31" s="360">
        <f t="shared" si="18"/>
        <v>1.0411713265622534E-2</v>
      </c>
      <c r="AJ31" s="360">
        <f t="shared" si="19"/>
        <v>2.5871999999999999E-2</v>
      </c>
      <c r="AK31" s="360" t="e">
        <f t="shared" si="20"/>
        <v>#VALUE!</v>
      </c>
      <c r="AL31" s="360">
        <f t="shared" si="21"/>
        <v>2.5871999999999999E-2</v>
      </c>
      <c r="AM31" s="360">
        <f t="shared" si="22"/>
        <v>0.47520000000000001</v>
      </c>
      <c r="AN31" s="360">
        <f t="shared" si="23"/>
        <v>2.5009293544132095E-2</v>
      </c>
      <c r="AO31" s="360">
        <f t="shared" si="24"/>
        <v>2.0999999999999999E-3</v>
      </c>
      <c r="AP31" s="360">
        <f t="shared" si="25"/>
        <v>9.8999999999999991E-2</v>
      </c>
      <c r="AQ31" s="360">
        <f t="shared" si="26"/>
        <v>1.1483999999999999</v>
      </c>
      <c r="AR31" s="360">
        <f t="shared" si="27"/>
        <v>1.089</v>
      </c>
      <c r="AS31" s="360">
        <f t="shared" si="28"/>
        <v>0.1011</v>
      </c>
      <c r="AT31" s="360" t="e">
        <f t="shared" si="29"/>
        <v>#VALUE!</v>
      </c>
      <c r="AU31">
        <f t="shared" si="30"/>
        <v>22</v>
      </c>
      <c r="AV31" s="542" t="e">
        <f t="shared" si="47"/>
        <v>#VALUE!</v>
      </c>
      <c r="AW31" s="551" t="e">
        <f t="shared" si="31"/>
        <v>#VALUE!</v>
      </c>
      <c r="AX31" s="551" t="e">
        <f t="shared" si="32"/>
        <v>#VALUE!</v>
      </c>
      <c r="AY31" s="9"/>
      <c r="AZ31" s="4" t="e">
        <f t="shared" si="48"/>
        <v>#VALUE!</v>
      </c>
      <c r="BA31" s="360" t="e">
        <f t="shared" si="33"/>
        <v>#VALUE!</v>
      </c>
      <c r="BB31" s="360" t="e">
        <f t="shared" si="34"/>
        <v>#VALUE!</v>
      </c>
      <c r="BC31" s="360" t="e">
        <f t="shared" si="35"/>
        <v>#VALUE!</v>
      </c>
      <c r="BD31" s="360" t="e">
        <f t="shared" si="36"/>
        <v>#VALUE!</v>
      </c>
      <c r="BE31" s="360">
        <f t="shared" si="37"/>
        <v>2.5009293544132095E-2</v>
      </c>
    </row>
    <row r="32" spans="1:65" x14ac:dyDescent="0.2">
      <c r="A32" s="24" t="s">
        <v>62</v>
      </c>
      <c r="B32" s="15" t="s">
        <v>111</v>
      </c>
      <c r="C32" s="24" t="s">
        <v>76</v>
      </c>
      <c r="D32" s="17" t="s">
        <v>107</v>
      </c>
      <c r="G32">
        <v>23</v>
      </c>
      <c r="H32" s="548">
        <f t="shared" si="0"/>
        <v>60</v>
      </c>
      <c r="I32" s="4">
        <f t="shared" si="1"/>
        <v>1</v>
      </c>
      <c r="J32" s="360">
        <f t="shared" si="38"/>
        <v>2.2999999999999998</v>
      </c>
      <c r="K32" s="360">
        <f t="shared" si="2"/>
        <v>2.2999999999999998</v>
      </c>
      <c r="L32" s="4">
        <f t="shared" si="3"/>
        <v>0.42592592592592593</v>
      </c>
      <c r="M32" s="360">
        <f t="shared" si="4"/>
        <v>0.16740454090556459</v>
      </c>
      <c r="N32" s="4">
        <f t="shared" si="5"/>
        <v>1.3938827495474562</v>
      </c>
      <c r="O32" s="4">
        <f t="shared" si="39"/>
        <v>2.9969413747737281</v>
      </c>
      <c r="P32" s="4">
        <f t="shared" si="40"/>
        <v>1.6030586252262717</v>
      </c>
      <c r="Q32" s="4">
        <f t="shared" si="6"/>
        <v>0</v>
      </c>
      <c r="R32" s="4">
        <f t="shared" si="41"/>
        <v>2.3349323530437656</v>
      </c>
      <c r="S32" s="360">
        <f t="shared" si="7"/>
        <v>6.542290911948595E-2</v>
      </c>
      <c r="T32" s="360">
        <f t="shared" si="8"/>
        <v>0.3</v>
      </c>
      <c r="U32" s="360" t="e">
        <f t="shared" si="9"/>
        <v>#VALUE!</v>
      </c>
      <c r="V32" s="4">
        <f t="shared" si="42"/>
        <v>0.40237929033499981</v>
      </c>
      <c r="W32" s="360">
        <f t="shared" si="10"/>
        <v>3.2381818658099617E-4</v>
      </c>
      <c r="X32" s="360">
        <f t="shared" si="43"/>
        <v>3.2381818658099617E-4</v>
      </c>
      <c r="Y32" s="4">
        <f t="shared" si="44"/>
        <v>0.87171584253959777</v>
      </c>
      <c r="Z32" s="360">
        <f t="shared" si="11"/>
        <v>7.598885101345209E-4</v>
      </c>
      <c r="AA32" s="541">
        <f t="shared" si="45"/>
        <v>7.598885101345209E-4</v>
      </c>
      <c r="AB32" s="360">
        <f t="shared" si="46"/>
        <v>0.95533990747857289</v>
      </c>
      <c r="AC32" s="360">
        <f t="shared" si="12"/>
        <v>5.4760460329270092E-3</v>
      </c>
      <c r="AD32" s="360">
        <f t="shared" si="13"/>
        <v>0.15013206557118339</v>
      </c>
      <c r="AE32" s="360">
        <f t="shared" si="14"/>
        <v>-0.52595999999999998</v>
      </c>
      <c r="AF32" s="360">
        <f t="shared" si="15"/>
        <v>0</v>
      </c>
      <c r="AG32" s="360" t="e">
        <f t="shared" si="16"/>
        <v>#VALUE!</v>
      </c>
      <c r="AH32" s="360">
        <f t="shared" si="17"/>
        <v>2.1305479939370828</v>
      </c>
      <c r="AI32" s="360">
        <f t="shared" si="18"/>
        <v>1.1348086886173321E-2</v>
      </c>
      <c r="AJ32" s="360">
        <f t="shared" si="19"/>
        <v>2.7047999999999992E-2</v>
      </c>
      <c r="AK32" s="360" t="e">
        <f t="shared" si="20"/>
        <v>#VALUE!</v>
      </c>
      <c r="AL32" s="360">
        <f t="shared" si="21"/>
        <v>2.7047999999999992E-2</v>
      </c>
      <c r="AM32" s="360">
        <f t="shared" si="22"/>
        <v>0.49679999999999985</v>
      </c>
      <c r="AN32" s="360">
        <f t="shared" si="23"/>
        <v>2.725954546645248E-2</v>
      </c>
      <c r="AO32" s="360">
        <f t="shared" si="24"/>
        <v>2.0999999999999999E-3</v>
      </c>
      <c r="AP32" s="360">
        <f t="shared" si="25"/>
        <v>9.8999999999999991E-2</v>
      </c>
      <c r="AQ32" s="360">
        <f t="shared" si="26"/>
        <v>1.1483999999999999</v>
      </c>
      <c r="AR32" s="360">
        <f t="shared" si="27"/>
        <v>1.089</v>
      </c>
      <c r="AS32" s="360">
        <f t="shared" si="28"/>
        <v>0.1011</v>
      </c>
      <c r="AT32" s="360" t="e">
        <f t="shared" si="29"/>
        <v>#VALUE!</v>
      </c>
      <c r="AU32">
        <f t="shared" si="30"/>
        <v>23</v>
      </c>
      <c r="AV32" s="542" t="e">
        <f t="shared" si="47"/>
        <v>#VALUE!</v>
      </c>
      <c r="AW32" s="551" t="e">
        <f t="shared" si="31"/>
        <v>#VALUE!</v>
      </c>
      <c r="AX32" s="551" t="e">
        <f t="shared" si="32"/>
        <v>#VALUE!</v>
      </c>
      <c r="AY32" s="9"/>
      <c r="AZ32" s="4" t="e">
        <f t="shared" si="48"/>
        <v>#VALUE!</v>
      </c>
      <c r="BA32" s="360" t="e">
        <f t="shared" si="33"/>
        <v>#VALUE!</v>
      </c>
      <c r="BB32" s="360" t="e">
        <f t="shared" si="34"/>
        <v>#VALUE!</v>
      </c>
      <c r="BC32" s="360" t="e">
        <f t="shared" si="35"/>
        <v>#VALUE!</v>
      </c>
      <c r="BD32" s="360" t="e">
        <f t="shared" si="36"/>
        <v>#VALUE!</v>
      </c>
      <c r="BE32" s="360">
        <f t="shared" si="37"/>
        <v>2.725954546645248E-2</v>
      </c>
    </row>
    <row r="33" spans="1:57" x14ac:dyDescent="0.2">
      <c r="A33" s="22" t="s">
        <v>62</v>
      </c>
      <c r="B33" s="5">
        <f>Deadtime*1000000000</f>
        <v>14</v>
      </c>
      <c r="C33" s="440" t="s">
        <v>75</v>
      </c>
      <c r="D33" s="21" t="s">
        <v>98</v>
      </c>
      <c r="G33">
        <v>24</v>
      </c>
      <c r="H33" s="548">
        <f t="shared" si="0"/>
        <v>60</v>
      </c>
      <c r="I33" s="4">
        <f t="shared" si="1"/>
        <v>1</v>
      </c>
      <c r="J33" s="360">
        <f t="shared" si="38"/>
        <v>2.4</v>
      </c>
      <c r="K33" s="360">
        <f t="shared" si="2"/>
        <v>2.4</v>
      </c>
      <c r="L33" s="4">
        <f t="shared" si="3"/>
        <v>0.44444444444444442</v>
      </c>
      <c r="M33" s="360">
        <f t="shared" si="4"/>
        <v>0.1674366204694385</v>
      </c>
      <c r="N33" s="4">
        <f t="shared" si="5"/>
        <v>1.3940996269112742</v>
      </c>
      <c r="O33" s="4">
        <f t="shared" si="39"/>
        <v>3.0970498134556372</v>
      </c>
      <c r="P33" s="4">
        <f t="shared" si="40"/>
        <v>1.7029501865443628</v>
      </c>
      <c r="Q33" s="4">
        <f t="shared" si="6"/>
        <v>0</v>
      </c>
      <c r="R33" s="4">
        <f t="shared" si="41"/>
        <v>2.4335076496310517</v>
      </c>
      <c r="S33" s="360">
        <f t="shared" si="7"/>
        <v>7.1063513769754144E-2</v>
      </c>
      <c r="T33" s="360">
        <f t="shared" si="8"/>
        <v>0.3</v>
      </c>
      <c r="U33" s="360" t="e">
        <f t="shared" si="9"/>
        <v>#VALUE!</v>
      </c>
      <c r="V33" s="4">
        <f t="shared" si="42"/>
        <v>0.40244189743719055</v>
      </c>
      <c r="W33" s="360">
        <f t="shared" si="10"/>
        <v>3.239189616256924E-4</v>
      </c>
      <c r="X33" s="360">
        <f t="shared" si="43"/>
        <v>3.239189616256924E-4</v>
      </c>
      <c r="Y33" s="4">
        <f t="shared" si="44"/>
        <v>0.90858715511577681</v>
      </c>
      <c r="Z33" s="360">
        <f t="shared" si="11"/>
        <v>8.2553061844138067E-4</v>
      </c>
      <c r="AA33" s="541">
        <f t="shared" si="45"/>
        <v>8.2553061844138067E-4</v>
      </c>
      <c r="AB33" s="360">
        <f t="shared" si="46"/>
        <v>0.99576748391592573</v>
      </c>
      <c r="AC33" s="360">
        <f t="shared" si="12"/>
        <v>5.9493172921455204E-3</v>
      </c>
      <c r="AD33" s="360">
        <f t="shared" si="13"/>
        <v>0.15665954668297397</v>
      </c>
      <c r="AE33" s="360">
        <f t="shared" si="14"/>
        <v>-0.52595999999999998</v>
      </c>
      <c r="AF33" s="360">
        <f t="shared" si="15"/>
        <v>0</v>
      </c>
      <c r="AG33" s="360" t="e">
        <f t="shared" si="16"/>
        <v>#VALUE!</v>
      </c>
      <c r="AH33" s="360">
        <f t="shared" si="17"/>
        <v>2.2204518906719399</v>
      </c>
      <c r="AI33" s="360">
        <f t="shared" si="18"/>
        <v>1.2326016496971482E-2</v>
      </c>
      <c r="AJ33" s="360">
        <f t="shared" si="19"/>
        <v>2.8223999999999992E-2</v>
      </c>
      <c r="AK33" s="360" t="e">
        <f t="shared" si="20"/>
        <v>#VALUE!</v>
      </c>
      <c r="AL33" s="360">
        <f t="shared" si="21"/>
        <v>2.8223999999999992E-2</v>
      </c>
      <c r="AM33" s="360">
        <f t="shared" si="22"/>
        <v>0.51839999999999997</v>
      </c>
      <c r="AN33" s="360">
        <f t="shared" si="23"/>
        <v>2.960979740406423E-2</v>
      </c>
      <c r="AO33" s="360">
        <f t="shared" si="24"/>
        <v>2.0999999999999999E-3</v>
      </c>
      <c r="AP33" s="360">
        <f t="shared" si="25"/>
        <v>9.8999999999999991E-2</v>
      </c>
      <c r="AQ33" s="360">
        <f t="shared" si="26"/>
        <v>1.1483999999999999</v>
      </c>
      <c r="AR33" s="360">
        <f t="shared" si="27"/>
        <v>1.089</v>
      </c>
      <c r="AS33" s="360">
        <f t="shared" si="28"/>
        <v>0.1011</v>
      </c>
      <c r="AT33" s="360" t="e">
        <f t="shared" si="29"/>
        <v>#VALUE!</v>
      </c>
      <c r="AU33">
        <f t="shared" si="30"/>
        <v>24</v>
      </c>
      <c r="AV33" s="542" t="e">
        <f t="shared" si="47"/>
        <v>#VALUE!</v>
      </c>
      <c r="AW33" s="551" t="e">
        <f t="shared" si="31"/>
        <v>#VALUE!</v>
      </c>
      <c r="AX33" s="551" t="e">
        <f t="shared" si="32"/>
        <v>#VALUE!</v>
      </c>
      <c r="AY33" s="9"/>
      <c r="AZ33" s="4" t="e">
        <f t="shared" si="48"/>
        <v>#VALUE!</v>
      </c>
      <c r="BA33" s="360" t="e">
        <f t="shared" si="33"/>
        <v>#VALUE!</v>
      </c>
      <c r="BB33" s="360" t="e">
        <f t="shared" si="34"/>
        <v>#VALUE!</v>
      </c>
      <c r="BC33" s="360" t="e">
        <f t="shared" si="35"/>
        <v>#VALUE!</v>
      </c>
      <c r="BD33" s="360" t="e">
        <f t="shared" si="36"/>
        <v>#VALUE!</v>
      </c>
      <c r="BE33" s="360">
        <f t="shared" si="37"/>
        <v>2.960979740406423E-2</v>
      </c>
    </row>
    <row r="34" spans="1:57" x14ac:dyDescent="0.2">
      <c r="A34" s="24" t="s">
        <v>52</v>
      </c>
      <c r="B34" s="15" t="s">
        <v>111</v>
      </c>
      <c r="C34" s="24" t="s">
        <v>76</v>
      </c>
      <c r="D34" s="17" t="s">
        <v>107</v>
      </c>
      <c r="G34">
        <v>25</v>
      </c>
      <c r="H34" s="548">
        <f t="shared" si="0"/>
        <v>60</v>
      </c>
      <c r="I34" s="4">
        <f t="shared" si="1"/>
        <v>1</v>
      </c>
      <c r="J34" s="360">
        <f t="shared" si="38"/>
        <v>2.5</v>
      </c>
      <c r="K34" s="360">
        <f t="shared" si="2"/>
        <v>2.5</v>
      </c>
      <c r="L34" s="4">
        <f t="shared" si="3"/>
        <v>0.46296296296296297</v>
      </c>
      <c r="M34" s="360">
        <f t="shared" si="4"/>
        <v>0.16746869987292462</v>
      </c>
      <c r="N34" s="4">
        <f t="shared" si="5"/>
        <v>1.3943164836919912</v>
      </c>
      <c r="O34" s="4">
        <f t="shared" si="39"/>
        <v>3.1971582418459956</v>
      </c>
      <c r="P34" s="4">
        <f t="shared" si="40"/>
        <v>1.8028417581540044</v>
      </c>
      <c r="Q34" s="4">
        <f t="shared" si="6"/>
        <v>0</v>
      </c>
      <c r="R34" s="4">
        <f t="shared" si="41"/>
        <v>2.5321946748603801</v>
      </c>
      <c r="S34" s="360">
        <f t="shared" si="7"/>
        <v>7.6944118456695201E-2</v>
      </c>
      <c r="T34" s="360">
        <f t="shared" si="8"/>
        <v>0.3</v>
      </c>
      <c r="U34" s="360" t="e">
        <f t="shared" si="9"/>
        <v>#VALUE!</v>
      </c>
      <c r="V34" s="4">
        <f t="shared" si="42"/>
        <v>0.40250449859755183</v>
      </c>
      <c r="W34" s="360">
        <f t="shared" si="10"/>
        <v>3.2401974278253322E-4</v>
      </c>
      <c r="X34" s="360">
        <f t="shared" si="43"/>
        <v>3.2401974278253322E-4</v>
      </c>
      <c r="Y34" s="4">
        <f t="shared" si="44"/>
        <v>0.94550580743888979</v>
      </c>
      <c r="Z34" s="360">
        <f t="shared" si="11"/>
        <v>8.9398123190066693E-4</v>
      </c>
      <c r="AA34" s="541">
        <f t="shared" si="45"/>
        <v>8.9398123190066693E-4</v>
      </c>
      <c r="AB34" s="360">
        <f t="shared" si="46"/>
        <v>1.0362485014388461</v>
      </c>
      <c r="AC34" s="360">
        <f t="shared" si="12"/>
        <v>6.442865740405525E-3</v>
      </c>
      <c r="AD34" s="360">
        <f t="shared" si="13"/>
        <v>0.16318702779476454</v>
      </c>
      <c r="AE34" s="360">
        <f t="shared" si="14"/>
        <v>-0.52595999999999998</v>
      </c>
      <c r="AF34" s="360">
        <f t="shared" si="15"/>
        <v>0</v>
      </c>
      <c r="AG34" s="360" t="e">
        <f t="shared" si="16"/>
        <v>#VALUE!</v>
      </c>
      <c r="AH34" s="360">
        <f t="shared" si="17"/>
        <v>2.3104542658657001</v>
      </c>
      <c r="AI34" s="360">
        <f t="shared" si="18"/>
        <v>1.3345497286642529E-2</v>
      </c>
      <c r="AJ34" s="360">
        <f t="shared" si="19"/>
        <v>2.9399999999999996E-2</v>
      </c>
      <c r="AK34" s="360" t="e">
        <f t="shared" si="20"/>
        <v>#VALUE!</v>
      </c>
      <c r="AL34" s="360">
        <f t="shared" si="21"/>
        <v>2.9399999999999996E-2</v>
      </c>
      <c r="AM34" s="360">
        <f t="shared" si="22"/>
        <v>0.53999999999999992</v>
      </c>
      <c r="AN34" s="360">
        <f t="shared" si="23"/>
        <v>3.2060049356956333E-2</v>
      </c>
      <c r="AO34" s="360">
        <f t="shared" si="24"/>
        <v>2.0999999999999999E-3</v>
      </c>
      <c r="AP34" s="360">
        <f t="shared" si="25"/>
        <v>9.8999999999999991E-2</v>
      </c>
      <c r="AQ34" s="360">
        <f t="shared" si="26"/>
        <v>1.1483999999999999</v>
      </c>
      <c r="AR34" s="360">
        <f t="shared" si="27"/>
        <v>1.089</v>
      </c>
      <c r="AS34" s="360">
        <f t="shared" si="28"/>
        <v>0.1011</v>
      </c>
      <c r="AT34" s="360" t="e">
        <f t="shared" si="29"/>
        <v>#VALUE!</v>
      </c>
      <c r="AU34">
        <f t="shared" si="30"/>
        <v>25</v>
      </c>
      <c r="AV34" s="542" t="e">
        <f t="shared" si="47"/>
        <v>#VALUE!</v>
      </c>
      <c r="AW34" s="551" t="e">
        <f t="shared" si="31"/>
        <v>#VALUE!</v>
      </c>
      <c r="AX34" s="551" t="e">
        <f t="shared" si="32"/>
        <v>#VALUE!</v>
      </c>
      <c r="AY34" s="9"/>
      <c r="AZ34" s="4" t="e">
        <f t="shared" si="48"/>
        <v>#VALUE!</v>
      </c>
      <c r="BA34" s="360" t="e">
        <f t="shared" si="33"/>
        <v>#VALUE!</v>
      </c>
      <c r="BB34" s="360" t="e">
        <f t="shared" si="34"/>
        <v>#VALUE!</v>
      </c>
      <c r="BC34" s="360" t="e">
        <f t="shared" si="35"/>
        <v>#VALUE!</v>
      </c>
      <c r="BD34" s="360" t="e">
        <f t="shared" si="36"/>
        <v>#VALUE!</v>
      </c>
      <c r="BE34" s="360">
        <f t="shared" si="37"/>
        <v>3.2060049356956333E-2</v>
      </c>
    </row>
    <row r="35" spans="1:57" x14ac:dyDescent="0.2">
      <c r="A35" s="22" t="s">
        <v>128</v>
      </c>
      <c r="B35" s="5">
        <f>Iq*1000</f>
        <v>3.4999999999999996E-2</v>
      </c>
      <c r="C35" s="440" t="s">
        <v>64</v>
      </c>
      <c r="D35" s="21" t="s">
        <v>131</v>
      </c>
      <c r="G35">
        <v>26</v>
      </c>
      <c r="H35" s="548">
        <f t="shared" si="0"/>
        <v>60</v>
      </c>
      <c r="I35" s="4">
        <f t="shared" si="1"/>
        <v>1</v>
      </c>
      <c r="J35" s="360">
        <f t="shared" si="38"/>
        <v>2.6</v>
      </c>
      <c r="K35" s="360">
        <f t="shared" si="2"/>
        <v>2.6</v>
      </c>
      <c r="L35" s="4">
        <f t="shared" si="3"/>
        <v>0.48148148148148145</v>
      </c>
      <c r="M35" s="360">
        <f t="shared" si="4"/>
        <v>0.16750077911602412</v>
      </c>
      <c r="N35" s="4">
        <f t="shared" si="5"/>
        <v>1.3945333198897625</v>
      </c>
      <c r="O35" s="4">
        <f t="shared" si="39"/>
        <v>3.2972666599448814</v>
      </c>
      <c r="P35" s="4">
        <f t="shared" si="40"/>
        <v>1.9027333400551187</v>
      </c>
      <c r="Q35" s="4">
        <f t="shared" si="6"/>
        <v>0</v>
      </c>
      <c r="R35" s="4">
        <f t="shared" si="41"/>
        <v>2.63098085607318</v>
      </c>
      <c r="S35" s="360">
        <f t="shared" si="7"/>
        <v>8.3064723180282754E-2</v>
      </c>
      <c r="T35" s="360">
        <f t="shared" si="8"/>
        <v>0.3</v>
      </c>
      <c r="U35" s="360" t="e">
        <f t="shared" si="9"/>
        <v>#VALUE!</v>
      </c>
      <c r="V35" s="4">
        <f t="shared" si="42"/>
        <v>0.40256709381612843</v>
      </c>
      <c r="W35" s="360">
        <f t="shared" si="10"/>
        <v>3.2412053004712713E-4</v>
      </c>
      <c r="X35" s="360">
        <f t="shared" si="43"/>
        <v>3.2412053004712713E-4</v>
      </c>
      <c r="Y35" s="4">
        <f t="shared" si="44"/>
        <v>0.98246711267107856</v>
      </c>
      <c r="Z35" s="360">
        <f t="shared" si="11"/>
        <v>9.6524162748024575E-4</v>
      </c>
      <c r="AA35" s="541">
        <f t="shared" si="45"/>
        <v>9.6524162748024575E-4</v>
      </c>
      <c r="AB35" s="360">
        <f t="shared" si="46"/>
        <v>1.0767778264245225</v>
      </c>
      <c r="AC35" s="360">
        <f t="shared" si="12"/>
        <v>6.9567029248771145E-3</v>
      </c>
      <c r="AD35" s="360">
        <f t="shared" si="13"/>
        <v>0.16971450890655512</v>
      </c>
      <c r="AE35" s="360">
        <f t="shared" si="14"/>
        <v>-0.52595999999999998</v>
      </c>
      <c r="AF35" s="360">
        <f t="shared" si="15"/>
        <v>0</v>
      </c>
      <c r="AG35" s="360" t="e">
        <f t="shared" si="16"/>
        <v>#VALUE!</v>
      </c>
      <c r="AH35" s="360">
        <f t="shared" si="17"/>
        <v>2.400543642082777</v>
      </c>
      <c r="AI35" s="360">
        <f t="shared" si="18"/>
        <v>1.4406524443860109E-2</v>
      </c>
      <c r="AJ35" s="360">
        <f t="shared" si="19"/>
        <v>3.0575999999999996E-2</v>
      </c>
      <c r="AK35" s="360" t="e">
        <f t="shared" si="20"/>
        <v>#VALUE!</v>
      </c>
      <c r="AL35" s="360">
        <f t="shared" si="21"/>
        <v>3.0575999999999996E-2</v>
      </c>
      <c r="AM35" s="360">
        <f t="shared" si="22"/>
        <v>0.56159999999999999</v>
      </c>
      <c r="AN35" s="360">
        <f t="shared" si="23"/>
        <v>3.4610301325117818E-2</v>
      </c>
      <c r="AO35" s="360">
        <f t="shared" si="24"/>
        <v>2.0999999999999999E-3</v>
      </c>
      <c r="AP35" s="360">
        <f t="shared" si="25"/>
        <v>9.8999999999999991E-2</v>
      </c>
      <c r="AQ35" s="360">
        <f t="shared" si="26"/>
        <v>1.1483999999999999</v>
      </c>
      <c r="AR35" s="360">
        <f t="shared" si="27"/>
        <v>1.089</v>
      </c>
      <c r="AS35" s="360">
        <f t="shared" si="28"/>
        <v>0.1011</v>
      </c>
      <c r="AT35" s="360" t="e">
        <f t="shared" si="29"/>
        <v>#VALUE!</v>
      </c>
      <c r="AU35">
        <f t="shared" si="30"/>
        <v>26</v>
      </c>
      <c r="AV35" s="542" t="e">
        <f t="shared" si="47"/>
        <v>#VALUE!</v>
      </c>
      <c r="AW35" s="551" t="e">
        <f t="shared" si="31"/>
        <v>#VALUE!</v>
      </c>
      <c r="AX35" s="551" t="e">
        <f t="shared" si="32"/>
        <v>#VALUE!</v>
      </c>
      <c r="AY35" s="9"/>
      <c r="AZ35" s="4" t="e">
        <f t="shared" si="48"/>
        <v>#VALUE!</v>
      </c>
      <c r="BA35" s="360" t="e">
        <f t="shared" si="33"/>
        <v>#VALUE!</v>
      </c>
      <c r="BB35" s="360" t="e">
        <f t="shared" si="34"/>
        <v>#VALUE!</v>
      </c>
      <c r="BC35" s="360" t="e">
        <f t="shared" si="35"/>
        <v>#VALUE!</v>
      </c>
      <c r="BD35" s="360" t="e">
        <f t="shared" si="36"/>
        <v>#VALUE!</v>
      </c>
      <c r="BE35" s="360">
        <f t="shared" si="37"/>
        <v>3.4610301325117818E-2</v>
      </c>
    </row>
    <row r="36" spans="1:57" x14ac:dyDescent="0.2">
      <c r="A36" s="24" t="s">
        <v>525</v>
      </c>
      <c r="B36" s="15" t="s">
        <v>111</v>
      </c>
      <c r="C36" s="24" t="s">
        <v>76</v>
      </c>
      <c r="D36" s="17" t="s">
        <v>107</v>
      </c>
      <c r="G36">
        <v>27</v>
      </c>
      <c r="H36" s="548">
        <f t="shared" si="0"/>
        <v>60</v>
      </c>
      <c r="I36" s="4">
        <f t="shared" si="1"/>
        <v>1</v>
      </c>
      <c r="J36" s="360">
        <f t="shared" si="38"/>
        <v>2.7</v>
      </c>
      <c r="K36" s="360">
        <f t="shared" si="2"/>
        <v>2.7</v>
      </c>
      <c r="L36" s="4">
        <f t="shared" si="3"/>
        <v>0.5</v>
      </c>
      <c r="M36" s="360">
        <f t="shared" si="4"/>
        <v>0.16753285819873825</v>
      </c>
      <c r="N36" s="4">
        <f t="shared" si="5"/>
        <v>1.3947501355047422</v>
      </c>
      <c r="O36" s="4">
        <f t="shared" si="39"/>
        <v>3.3973750677523711</v>
      </c>
      <c r="P36" s="4">
        <f t="shared" si="40"/>
        <v>2.0026249322476293</v>
      </c>
      <c r="Q36" s="4">
        <f t="shared" si="6"/>
        <v>0</v>
      </c>
      <c r="R36" s="4">
        <f t="shared" si="41"/>
        <v>2.7298554287191736</v>
      </c>
      <c r="S36" s="360">
        <f t="shared" si="7"/>
        <v>8.9425327940490518E-2</v>
      </c>
      <c r="T36" s="360">
        <f t="shared" si="8"/>
        <v>0.3</v>
      </c>
      <c r="U36" s="360" t="e">
        <f t="shared" si="9"/>
        <v>#VALUE!</v>
      </c>
      <c r="V36" s="4">
        <f t="shared" si="42"/>
        <v>0.40262968309296499</v>
      </c>
      <c r="W36" s="360">
        <f t="shared" si="10"/>
        <v>3.2422132341508283E-4</v>
      </c>
      <c r="X36" s="360">
        <f t="shared" si="43"/>
        <v>3.2422132341508283E-4</v>
      </c>
      <c r="Y36" s="4">
        <f t="shared" si="44"/>
        <v>1.0194670577749265</v>
      </c>
      <c r="Z36" s="360">
        <f t="shared" si="11"/>
        <v>1.0393130818882655E-3</v>
      </c>
      <c r="AA36" s="541">
        <f t="shared" si="45"/>
        <v>1.0393130818882655E-3</v>
      </c>
      <c r="AB36" s="360">
        <f t="shared" si="46"/>
        <v>1.1173510633499015</v>
      </c>
      <c r="AC36" s="360">
        <f t="shared" si="12"/>
        <v>7.490840392614934E-3</v>
      </c>
      <c r="AD36" s="360">
        <f t="shared" si="13"/>
        <v>0.17624199001834573</v>
      </c>
      <c r="AE36" s="360">
        <f t="shared" si="14"/>
        <v>-0.52595999999999998</v>
      </c>
      <c r="AF36" s="360">
        <f t="shared" si="15"/>
        <v>0</v>
      </c>
      <c r="AG36" s="360" t="e">
        <f t="shared" si="16"/>
        <v>#VALUE!</v>
      </c>
      <c r="AH36" s="360">
        <f t="shared" si="17"/>
        <v>2.4907101924829367</v>
      </c>
      <c r="AI36" s="360">
        <f t="shared" si="18"/>
        <v>1.5509093157345968E-2</v>
      </c>
      <c r="AJ36" s="360">
        <f t="shared" si="19"/>
        <v>3.1751999999999996E-2</v>
      </c>
      <c r="AK36" s="360" t="e">
        <f t="shared" si="20"/>
        <v>#VALUE!</v>
      </c>
      <c r="AL36" s="360">
        <f t="shared" si="21"/>
        <v>3.1751999999999996E-2</v>
      </c>
      <c r="AM36" s="360">
        <f t="shared" si="22"/>
        <v>0.58319999999999994</v>
      </c>
      <c r="AN36" s="360">
        <f t="shared" si="23"/>
        <v>3.7260553308537718E-2</v>
      </c>
      <c r="AO36" s="360">
        <f t="shared" si="24"/>
        <v>2.0999999999999999E-3</v>
      </c>
      <c r="AP36" s="360">
        <f t="shared" si="25"/>
        <v>9.8999999999999991E-2</v>
      </c>
      <c r="AQ36" s="360">
        <f t="shared" si="26"/>
        <v>1.1483999999999999</v>
      </c>
      <c r="AR36" s="360">
        <f t="shared" si="27"/>
        <v>1.089</v>
      </c>
      <c r="AS36" s="360">
        <f t="shared" si="28"/>
        <v>0.1011</v>
      </c>
      <c r="AT36" s="360" t="e">
        <f t="shared" si="29"/>
        <v>#VALUE!</v>
      </c>
      <c r="AU36">
        <f t="shared" si="30"/>
        <v>27</v>
      </c>
      <c r="AV36" s="542" t="e">
        <f t="shared" si="47"/>
        <v>#VALUE!</v>
      </c>
      <c r="AW36" s="551" t="e">
        <f t="shared" si="31"/>
        <v>#VALUE!</v>
      </c>
      <c r="AX36" s="551" t="e">
        <f t="shared" si="32"/>
        <v>#VALUE!</v>
      </c>
      <c r="AY36" s="9"/>
      <c r="AZ36" s="4" t="e">
        <f t="shared" si="48"/>
        <v>#VALUE!</v>
      </c>
      <c r="BA36" s="360" t="e">
        <f t="shared" si="33"/>
        <v>#VALUE!</v>
      </c>
      <c r="BB36" s="360" t="e">
        <f t="shared" si="34"/>
        <v>#VALUE!</v>
      </c>
      <c r="BC36" s="360" t="e">
        <f t="shared" si="35"/>
        <v>#VALUE!</v>
      </c>
      <c r="BD36" s="360" t="e">
        <f t="shared" si="36"/>
        <v>#VALUE!</v>
      </c>
      <c r="BE36" s="360">
        <f t="shared" si="37"/>
        <v>3.7260553308537718E-2</v>
      </c>
    </row>
    <row r="37" spans="1:57" x14ac:dyDescent="0.2">
      <c r="A37" s="23" t="s">
        <v>71</v>
      </c>
      <c r="B37" s="5">
        <f>Rdson1*1000</f>
        <v>6</v>
      </c>
      <c r="C37" s="442" t="s">
        <v>466</v>
      </c>
      <c r="D37" s="440" t="s">
        <v>528</v>
      </c>
      <c r="G37">
        <v>28</v>
      </c>
      <c r="H37" s="548">
        <f t="shared" si="0"/>
        <v>60</v>
      </c>
      <c r="I37" s="4">
        <f t="shared" si="1"/>
        <v>1</v>
      </c>
      <c r="J37" s="360">
        <f t="shared" si="38"/>
        <v>2.8</v>
      </c>
      <c r="K37" s="360">
        <f t="shared" si="2"/>
        <v>2.8</v>
      </c>
      <c r="L37" s="4">
        <f t="shared" si="3"/>
        <v>0.51851851851851849</v>
      </c>
      <c r="M37" s="360">
        <f t="shared" si="4"/>
        <v>0.16756493712106821</v>
      </c>
      <c r="N37" s="4">
        <f t="shared" si="5"/>
        <v>1.3949669305370844</v>
      </c>
      <c r="O37" s="4">
        <f t="shared" si="39"/>
        <v>3.4974834652685418</v>
      </c>
      <c r="P37" s="4">
        <f t="shared" si="40"/>
        <v>2.1025165347314578</v>
      </c>
      <c r="Q37" s="4">
        <f t="shared" si="6"/>
        <v>0</v>
      </c>
      <c r="R37" s="4">
        <f t="shared" si="41"/>
        <v>2.8288091242501685</v>
      </c>
      <c r="S37" s="360">
        <f t="shared" si="7"/>
        <v>9.6025932737292069E-2</v>
      </c>
      <c r="T37" s="360">
        <f t="shared" si="8"/>
        <v>0.3</v>
      </c>
      <c r="U37" s="360" t="e">
        <f t="shared" si="9"/>
        <v>#VALUE!</v>
      </c>
      <c r="V37" s="4">
        <f t="shared" si="42"/>
        <v>0.40269226642810585</v>
      </c>
      <c r="W37" s="360">
        <f t="shared" si="10"/>
        <v>3.2432212288200919E-4</v>
      </c>
      <c r="X37" s="360">
        <f t="shared" si="43"/>
        <v>3.2432212288200919E-4</v>
      </c>
      <c r="Y37" s="4">
        <f t="shared" si="44"/>
        <v>1.0565021872069948</v>
      </c>
      <c r="Z37" s="360">
        <f t="shared" si="11"/>
        <v>1.116196871573164E-3</v>
      </c>
      <c r="AA37" s="541">
        <f t="shared" si="45"/>
        <v>1.116196871573164E-3</v>
      </c>
      <c r="AB37" s="360">
        <f t="shared" si="46"/>
        <v>1.1579644273867062</v>
      </c>
      <c r="AC37" s="360">
        <f t="shared" si="12"/>
        <v>8.0452896905581356E-3</v>
      </c>
      <c r="AD37" s="360">
        <f t="shared" si="13"/>
        <v>0.18276947113013631</v>
      </c>
      <c r="AE37" s="360">
        <f t="shared" si="14"/>
        <v>-0.52595999999999998</v>
      </c>
      <c r="AF37" s="360">
        <f t="shared" si="15"/>
        <v>0</v>
      </c>
      <c r="AG37" s="360" t="e">
        <f t="shared" si="16"/>
        <v>#VALUE!</v>
      </c>
      <c r="AH37" s="360">
        <f t="shared" si="17"/>
        <v>2.5809454559033176</v>
      </c>
      <c r="AI37" s="360">
        <f t="shared" si="18"/>
        <v>1.665319861586996E-2</v>
      </c>
      <c r="AJ37" s="360">
        <f t="shared" si="19"/>
        <v>3.2927999999999992E-2</v>
      </c>
      <c r="AK37" s="360" t="e">
        <f t="shared" si="20"/>
        <v>#VALUE!</v>
      </c>
      <c r="AL37" s="360">
        <f t="shared" si="21"/>
        <v>3.2927999999999992E-2</v>
      </c>
      <c r="AM37" s="360">
        <f t="shared" si="22"/>
        <v>0.60479999999999989</v>
      </c>
      <c r="AN37" s="360">
        <f t="shared" si="23"/>
        <v>4.0010805307205029E-2</v>
      </c>
      <c r="AO37" s="360">
        <f t="shared" si="24"/>
        <v>2.0999999999999999E-3</v>
      </c>
      <c r="AP37" s="360">
        <f t="shared" si="25"/>
        <v>9.8999999999999991E-2</v>
      </c>
      <c r="AQ37" s="360">
        <f t="shared" si="26"/>
        <v>1.1483999999999999</v>
      </c>
      <c r="AR37" s="360">
        <f t="shared" si="27"/>
        <v>1.089</v>
      </c>
      <c r="AS37" s="360">
        <f t="shared" si="28"/>
        <v>0.1011</v>
      </c>
      <c r="AT37" s="360" t="e">
        <f t="shared" si="29"/>
        <v>#VALUE!</v>
      </c>
      <c r="AU37">
        <f t="shared" si="30"/>
        <v>28</v>
      </c>
      <c r="AV37" s="542" t="e">
        <f t="shared" si="47"/>
        <v>#VALUE!</v>
      </c>
      <c r="AW37" s="551" t="e">
        <f t="shared" si="31"/>
        <v>#VALUE!</v>
      </c>
      <c r="AX37" s="551" t="e">
        <f t="shared" si="32"/>
        <v>#VALUE!</v>
      </c>
      <c r="AY37" s="9"/>
      <c r="AZ37" s="4" t="e">
        <f t="shared" si="48"/>
        <v>#VALUE!</v>
      </c>
      <c r="BA37" s="360" t="e">
        <f t="shared" si="33"/>
        <v>#VALUE!</v>
      </c>
      <c r="BB37" s="360" t="e">
        <f t="shared" si="34"/>
        <v>#VALUE!</v>
      </c>
      <c r="BC37" s="360" t="e">
        <f t="shared" si="35"/>
        <v>#VALUE!</v>
      </c>
      <c r="BD37" s="360" t="e">
        <f t="shared" si="36"/>
        <v>#VALUE!</v>
      </c>
      <c r="BE37" s="360">
        <f t="shared" si="37"/>
        <v>4.0010805307205029E-2</v>
      </c>
    </row>
    <row r="38" spans="1:57" x14ac:dyDescent="0.2">
      <c r="A38" s="22" t="s">
        <v>79</v>
      </c>
      <c r="B38" s="5">
        <f>RdsonTopTc*1000000</f>
        <v>4000</v>
      </c>
      <c r="C38" s="440" t="s">
        <v>81</v>
      </c>
      <c r="D38" s="21" t="s">
        <v>109</v>
      </c>
      <c r="G38">
        <v>29</v>
      </c>
      <c r="H38" s="548">
        <f t="shared" si="0"/>
        <v>60</v>
      </c>
      <c r="I38" s="4">
        <f t="shared" si="1"/>
        <v>1</v>
      </c>
      <c r="J38" s="360">
        <f t="shared" si="38"/>
        <v>2.9</v>
      </c>
      <c r="K38" s="360">
        <f t="shared" si="2"/>
        <v>2.9</v>
      </c>
      <c r="L38" s="4">
        <f t="shared" si="3"/>
        <v>0.53703703703703709</v>
      </c>
      <c r="M38" s="360">
        <f t="shared" si="4"/>
        <v>0.16759701588301515</v>
      </c>
      <c r="N38" s="4">
        <f t="shared" si="5"/>
        <v>1.3951837049869438</v>
      </c>
      <c r="O38" s="4">
        <f t="shared" si="39"/>
        <v>3.5975918524934718</v>
      </c>
      <c r="P38" s="4">
        <f t="shared" si="40"/>
        <v>2.202408147506528</v>
      </c>
      <c r="Q38" s="4">
        <f t="shared" si="6"/>
        <v>0</v>
      </c>
      <c r="R38" s="4">
        <f t="shared" si="41"/>
        <v>2.9278339201911296</v>
      </c>
      <c r="S38" s="360">
        <f t="shared" si="7"/>
        <v>0.1028665375706611</v>
      </c>
      <c r="T38" s="360">
        <f t="shared" si="8"/>
        <v>0.3</v>
      </c>
      <c r="U38" s="360" t="e">
        <f t="shared" si="9"/>
        <v>#VALUE!</v>
      </c>
      <c r="V38" s="4">
        <f t="shared" si="42"/>
        <v>0.40275484382159571</v>
      </c>
      <c r="W38" s="360">
        <f t="shared" si="10"/>
        <v>3.2442292844351591E-4</v>
      </c>
      <c r="X38" s="360">
        <f t="shared" si="43"/>
        <v>3.2442292844351591E-4</v>
      </c>
      <c r="Y38" s="4">
        <f t="shared" si="44"/>
        <v>1.0935695097814653</v>
      </c>
      <c r="Z38" s="360">
        <f t="shared" si="11"/>
        <v>1.1958942727236745E-3</v>
      </c>
      <c r="AA38" s="541">
        <f t="shared" si="45"/>
        <v>1.1958942727236745E-3</v>
      </c>
      <c r="AB38" s="360">
        <f t="shared" si="46"/>
        <v>1.1986146423774984</v>
      </c>
      <c r="AC38" s="360">
        <f t="shared" si="12"/>
        <v>8.6200623655304301E-3</v>
      </c>
      <c r="AD38" s="360">
        <f t="shared" si="13"/>
        <v>0.18929695224192689</v>
      </c>
      <c r="AE38" s="360">
        <f t="shared" si="14"/>
        <v>-0.52595999999999998</v>
      </c>
      <c r="AF38" s="360">
        <f t="shared" si="15"/>
        <v>0</v>
      </c>
      <c r="AG38" s="360" t="e">
        <f t="shared" si="16"/>
        <v>#VALUE!</v>
      </c>
      <c r="AH38" s="360">
        <f t="shared" si="17"/>
        <v>2.671242108701497</v>
      </c>
      <c r="AI38" s="360">
        <f t="shared" si="18"/>
        <v>1.7838836008250054E-2</v>
      </c>
      <c r="AJ38" s="360">
        <f t="shared" si="19"/>
        <v>3.4103999999999995E-2</v>
      </c>
      <c r="AK38" s="360" t="e">
        <f t="shared" si="20"/>
        <v>#VALUE!</v>
      </c>
      <c r="AL38" s="360">
        <f t="shared" si="21"/>
        <v>3.4103999999999995E-2</v>
      </c>
      <c r="AM38" s="360">
        <f t="shared" si="22"/>
        <v>0.62639999999999985</v>
      </c>
      <c r="AN38" s="360">
        <f t="shared" si="23"/>
        <v>4.2861057321108786E-2</v>
      </c>
      <c r="AO38" s="360">
        <f t="shared" si="24"/>
        <v>2.0999999999999999E-3</v>
      </c>
      <c r="AP38" s="360">
        <f t="shared" si="25"/>
        <v>9.8999999999999991E-2</v>
      </c>
      <c r="AQ38" s="360">
        <f t="shared" si="26"/>
        <v>1.1483999999999999</v>
      </c>
      <c r="AR38" s="360">
        <f t="shared" si="27"/>
        <v>1.089</v>
      </c>
      <c r="AS38" s="360">
        <f t="shared" si="28"/>
        <v>0.1011</v>
      </c>
      <c r="AT38" s="360" t="e">
        <f t="shared" si="29"/>
        <v>#VALUE!</v>
      </c>
      <c r="AU38">
        <f t="shared" si="30"/>
        <v>29</v>
      </c>
      <c r="AV38" s="542" t="e">
        <f t="shared" si="47"/>
        <v>#VALUE!</v>
      </c>
      <c r="AW38" s="551" t="e">
        <f t="shared" si="31"/>
        <v>#VALUE!</v>
      </c>
      <c r="AX38" s="551" t="e">
        <f t="shared" si="32"/>
        <v>#VALUE!</v>
      </c>
      <c r="AY38" s="9"/>
      <c r="AZ38" s="4" t="e">
        <f t="shared" si="48"/>
        <v>#VALUE!</v>
      </c>
      <c r="BA38" s="360" t="e">
        <f t="shared" si="33"/>
        <v>#VALUE!</v>
      </c>
      <c r="BB38" s="360" t="e">
        <f t="shared" si="34"/>
        <v>#VALUE!</v>
      </c>
      <c r="BC38" s="360" t="e">
        <f t="shared" si="35"/>
        <v>#VALUE!</v>
      </c>
      <c r="BD38" s="360" t="e">
        <f t="shared" si="36"/>
        <v>#VALUE!</v>
      </c>
      <c r="BE38" s="360">
        <f t="shared" si="37"/>
        <v>4.2861057321108786E-2</v>
      </c>
    </row>
    <row r="39" spans="1:57" x14ac:dyDescent="0.2">
      <c r="A39" s="23" t="s">
        <v>70</v>
      </c>
      <c r="B39" s="5">
        <f>Qg_Q1*1000000000</f>
        <v>8</v>
      </c>
      <c r="C39" s="440" t="s">
        <v>65</v>
      </c>
      <c r="D39" s="21" t="s">
        <v>99</v>
      </c>
      <c r="G39">
        <v>30</v>
      </c>
      <c r="H39" s="548">
        <f t="shared" si="0"/>
        <v>60</v>
      </c>
      <c r="I39" s="4">
        <f t="shared" si="1"/>
        <v>1</v>
      </c>
      <c r="J39" s="360">
        <f t="shared" si="38"/>
        <v>3</v>
      </c>
      <c r="K39" s="360">
        <f t="shared" si="2"/>
        <v>3</v>
      </c>
      <c r="L39" s="4">
        <f t="shared" si="3"/>
        <v>0.55555555555555558</v>
      </c>
      <c r="M39" s="360">
        <f t="shared" si="4"/>
        <v>0.16762909448458033</v>
      </c>
      <c r="N39" s="4">
        <f t="shared" si="5"/>
        <v>1.3954004588544746</v>
      </c>
      <c r="O39" s="4">
        <f t="shared" si="39"/>
        <v>3.6977002294272374</v>
      </c>
      <c r="P39" s="4">
        <f t="shared" si="40"/>
        <v>2.3022997705727626</v>
      </c>
      <c r="Q39" s="4">
        <f t="shared" si="6"/>
        <v>0</v>
      </c>
      <c r="R39" s="4">
        <f t="shared" si="41"/>
        <v>3.0269228384693929</v>
      </c>
      <c r="S39" s="360">
        <f t="shared" si="7"/>
        <v>0.10994714244057129</v>
      </c>
      <c r="T39" s="360">
        <f t="shared" si="8"/>
        <v>0.3</v>
      </c>
      <c r="U39" s="360" t="e">
        <f t="shared" si="9"/>
        <v>#VALUE!</v>
      </c>
      <c r="V39" s="4">
        <f t="shared" si="42"/>
        <v>0.40281741527347914</v>
      </c>
      <c r="W39" s="360">
        <f t="shared" si="10"/>
        <v>3.245237400952131E-4</v>
      </c>
      <c r="X39" s="360">
        <f t="shared" si="43"/>
        <v>3.245237400952131E-4</v>
      </c>
      <c r="Y39" s="4">
        <f t="shared" si="44"/>
        <v>1.1306664235170487</v>
      </c>
      <c r="Z39" s="360">
        <f t="shared" si="11"/>
        <v>1.2784065612688343E-3</v>
      </c>
      <c r="AA39" s="541">
        <f t="shared" si="45"/>
        <v>1.2784065612688343E-3</v>
      </c>
      <c r="AB39" s="360">
        <f t="shared" si="46"/>
        <v>1.2392988585110041</v>
      </c>
      <c r="AC39" s="360">
        <f t="shared" si="12"/>
        <v>9.2151699642400667E-3</v>
      </c>
      <c r="AD39" s="360">
        <f t="shared" si="13"/>
        <v>0.19582443335371746</v>
      </c>
      <c r="AE39" s="360">
        <f t="shared" si="14"/>
        <v>-0.52595999999999998</v>
      </c>
      <c r="AF39" s="360">
        <f t="shared" si="15"/>
        <v>0</v>
      </c>
      <c r="AG39" s="360" t="e">
        <f t="shared" si="16"/>
        <v>#VALUE!</v>
      </c>
      <c r="AH39" s="360">
        <f t="shared" si="17"/>
        <v>2.7615937806529276</v>
      </c>
      <c r="AI39" s="360">
        <f t="shared" si="18"/>
        <v>1.9066000523352326E-2</v>
      </c>
      <c r="AJ39" s="360">
        <f t="shared" si="19"/>
        <v>3.5279999999999992E-2</v>
      </c>
      <c r="AK39" s="360" t="e">
        <f t="shared" si="20"/>
        <v>#VALUE!</v>
      </c>
      <c r="AL39" s="360">
        <f t="shared" si="21"/>
        <v>3.5279999999999992E-2</v>
      </c>
      <c r="AM39" s="360">
        <f t="shared" si="22"/>
        <v>0.6479999999999998</v>
      </c>
      <c r="AN39" s="360">
        <f t="shared" si="23"/>
        <v>4.5811309350238034E-2</v>
      </c>
      <c r="AO39" s="360">
        <f t="shared" si="24"/>
        <v>2.0999999999999999E-3</v>
      </c>
      <c r="AP39" s="360">
        <f t="shared" si="25"/>
        <v>9.8999999999999991E-2</v>
      </c>
      <c r="AQ39" s="360">
        <f t="shared" si="26"/>
        <v>1.1483999999999999</v>
      </c>
      <c r="AR39" s="360">
        <f t="shared" si="27"/>
        <v>1.089</v>
      </c>
      <c r="AS39" s="360">
        <f t="shared" si="28"/>
        <v>0.1011</v>
      </c>
      <c r="AT39" s="360" t="e">
        <f t="shared" si="29"/>
        <v>#VALUE!</v>
      </c>
      <c r="AU39">
        <f t="shared" si="30"/>
        <v>30</v>
      </c>
      <c r="AV39" s="542" t="e">
        <f t="shared" si="47"/>
        <v>#VALUE!</v>
      </c>
      <c r="AW39" s="551" t="e">
        <f t="shared" si="31"/>
        <v>#VALUE!</v>
      </c>
      <c r="AX39" s="551" t="e">
        <f t="shared" si="32"/>
        <v>#VALUE!</v>
      </c>
      <c r="AY39" s="9"/>
      <c r="AZ39" s="4" t="e">
        <f t="shared" si="48"/>
        <v>#VALUE!</v>
      </c>
      <c r="BA39" s="360" t="e">
        <f t="shared" si="33"/>
        <v>#VALUE!</v>
      </c>
      <c r="BB39" s="360" t="e">
        <f t="shared" si="34"/>
        <v>#VALUE!</v>
      </c>
      <c r="BC39" s="360" t="e">
        <f t="shared" si="35"/>
        <v>#VALUE!</v>
      </c>
      <c r="BD39" s="360" t="e">
        <f t="shared" si="36"/>
        <v>#VALUE!</v>
      </c>
      <c r="BE39" s="360">
        <f t="shared" si="37"/>
        <v>4.5811309350238034E-2</v>
      </c>
    </row>
    <row r="40" spans="1:57" x14ac:dyDescent="0.2">
      <c r="A40" s="23" t="s">
        <v>120</v>
      </c>
      <c r="B40" s="5">
        <f>Qgd_Q1*1000000000</f>
        <v>1.4</v>
      </c>
      <c r="C40" s="440" t="s">
        <v>65</v>
      </c>
      <c r="D40" s="21" t="s">
        <v>121</v>
      </c>
      <c r="G40">
        <v>31</v>
      </c>
      <c r="H40" s="548">
        <f t="shared" si="0"/>
        <v>60</v>
      </c>
      <c r="I40" s="4">
        <f t="shared" si="1"/>
        <v>1</v>
      </c>
      <c r="J40" s="360">
        <f t="shared" si="38"/>
        <v>3.1</v>
      </c>
      <c r="K40" s="360">
        <f t="shared" si="2"/>
        <v>3.1</v>
      </c>
      <c r="L40" s="4">
        <f t="shared" si="3"/>
        <v>0.57407407407407407</v>
      </c>
      <c r="M40" s="360">
        <f t="shared" si="4"/>
        <v>0.16766117292576491</v>
      </c>
      <c r="N40" s="4">
        <f t="shared" si="5"/>
        <v>1.3956171921398313</v>
      </c>
      <c r="O40" s="4">
        <f t="shared" si="39"/>
        <v>3.7978085960699159</v>
      </c>
      <c r="P40" s="4">
        <f t="shared" si="40"/>
        <v>2.4021914039300842</v>
      </c>
      <c r="Q40" s="4">
        <f t="shared" si="6"/>
        <v>0</v>
      </c>
      <c r="R40" s="4">
        <f t="shared" si="41"/>
        <v>3.1260697815174177</v>
      </c>
      <c r="S40" s="360">
        <f t="shared" si="7"/>
        <v>0.11726774734699627</v>
      </c>
      <c r="T40" s="360">
        <f t="shared" si="8"/>
        <v>0.3</v>
      </c>
      <c r="U40" s="360" t="e">
        <f t="shared" si="9"/>
        <v>#VALUE!</v>
      </c>
      <c r="V40" s="4">
        <f t="shared" si="42"/>
        <v>0.40287998078380066</v>
      </c>
      <c r="W40" s="360">
        <f t="shared" si="10"/>
        <v>3.2462455783271115E-4</v>
      </c>
      <c r="X40" s="360">
        <f t="shared" si="43"/>
        <v>3.2462455783271115E-4</v>
      </c>
      <c r="Y40" s="4">
        <f t="shared" si="44"/>
        <v>1.167790654560134</v>
      </c>
      <c r="Z40" s="360">
        <f t="shared" si="11"/>
        <v>1.3637350128779863E-3</v>
      </c>
      <c r="AA40" s="541">
        <f t="shared" si="45"/>
        <v>1.3637350128779863E-3</v>
      </c>
      <c r="AB40" s="360">
        <f t="shared" si="46"/>
        <v>1.2800145854168892</v>
      </c>
      <c r="AC40" s="360">
        <f t="shared" si="12"/>
        <v>9.8306240332798247E-3</v>
      </c>
      <c r="AD40" s="360">
        <f t="shared" si="13"/>
        <v>0.20235191446550804</v>
      </c>
      <c r="AE40" s="360">
        <f t="shared" si="14"/>
        <v>-0.52595999999999998</v>
      </c>
      <c r="AF40" s="360">
        <f t="shared" si="15"/>
        <v>0</v>
      </c>
      <c r="AG40" s="360" t="e">
        <f t="shared" si="16"/>
        <v>#VALUE!</v>
      </c>
      <c r="AH40" s="360">
        <f t="shared" si="17"/>
        <v>2.8519949053314217</v>
      </c>
      <c r="AI40" s="360">
        <f t="shared" si="18"/>
        <v>2.0334687350090964E-2</v>
      </c>
      <c r="AJ40" s="360">
        <f t="shared" si="19"/>
        <v>3.6455999999999995E-2</v>
      </c>
      <c r="AK40" s="360" t="e">
        <f t="shared" si="20"/>
        <v>#VALUE!</v>
      </c>
      <c r="AL40" s="360">
        <f t="shared" si="21"/>
        <v>3.6455999999999995E-2</v>
      </c>
      <c r="AM40" s="360">
        <f t="shared" si="22"/>
        <v>0.66960000000000008</v>
      </c>
      <c r="AN40" s="360">
        <f t="shared" si="23"/>
        <v>4.8861561394581782E-2</v>
      </c>
      <c r="AO40" s="360">
        <f t="shared" si="24"/>
        <v>2.0999999999999999E-3</v>
      </c>
      <c r="AP40" s="360">
        <f t="shared" si="25"/>
        <v>9.8999999999999991E-2</v>
      </c>
      <c r="AQ40" s="360">
        <f t="shared" si="26"/>
        <v>1.1483999999999999</v>
      </c>
      <c r="AR40" s="360">
        <f t="shared" si="27"/>
        <v>1.089</v>
      </c>
      <c r="AS40" s="360">
        <f t="shared" si="28"/>
        <v>0.1011</v>
      </c>
      <c r="AT40" s="360" t="e">
        <f t="shared" si="29"/>
        <v>#VALUE!</v>
      </c>
      <c r="AU40">
        <f t="shared" si="30"/>
        <v>31</v>
      </c>
      <c r="AV40" s="542" t="e">
        <f t="shared" si="47"/>
        <v>#VALUE!</v>
      </c>
      <c r="AW40" s="551" t="e">
        <f t="shared" si="31"/>
        <v>#VALUE!</v>
      </c>
      <c r="AX40" s="551" t="e">
        <f t="shared" si="32"/>
        <v>#VALUE!</v>
      </c>
      <c r="AY40" s="9"/>
      <c r="AZ40" s="4" t="e">
        <f t="shared" si="48"/>
        <v>#VALUE!</v>
      </c>
      <c r="BA40" s="360" t="e">
        <f t="shared" si="33"/>
        <v>#VALUE!</v>
      </c>
      <c r="BB40" s="360" t="e">
        <f t="shared" si="34"/>
        <v>#VALUE!</v>
      </c>
      <c r="BC40" s="360" t="e">
        <f t="shared" si="35"/>
        <v>#VALUE!</v>
      </c>
      <c r="BD40" s="360" t="e">
        <f t="shared" si="36"/>
        <v>#VALUE!</v>
      </c>
      <c r="BE40" s="360">
        <f t="shared" si="37"/>
        <v>4.8861561394581782E-2</v>
      </c>
    </row>
    <row r="41" spans="1:57" x14ac:dyDescent="0.2">
      <c r="A41" s="23" t="s">
        <v>124</v>
      </c>
      <c r="B41" s="5">
        <f>Qgs_Q1*1000000000</f>
        <v>3.8000000000000003</v>
      </c>
      <c r="C41" s="440" t="s">
        <v>65</v>
      </c>
      <c r="D41" s="21"/>
      <c r="G41">
        <v>32</v>
      </c>
      <c r="H41" s="548">
        <f t="shared" ref="H41:H72" si="49">Vin</f>
        <v>60</v>
      </c>
      <c r="I41" s="4">
        <f t="shared" ref="I41:I72" si="50">MODE</f>
        <v>1</v>
      </c>
      <c r="J41" s="360">
        <f t="shared" si="38"/>
        <v>3.2</v>
      </c>
      <c r="K41" s="360">
        <f t="shared" ref="K41:K72" si="51">Iout*G41/100/Number_of_Phases</f>
        <v>3.2</v>
      </c>
      <c r="L41" s="4">
        <f t="shared" ref="L41:L72" si="52">Vout*K41/(Vin*Efficiency)</f>
        <v>0.59259259259259256</v>
      </c>
      <c r="M41" s="360">
        <f t="shared" ref="M41:M72" si="53">(Vout+(Rdson2+Rs+Rdcr)*K41)/(Vin+(Rs+Rdson2-Rdson1)*K41)</f>
        <v>0.16769325120657014</v>
      </c>
      <c r="N41" s="4">
        <f t="shared" ref="N41:N72" si="54">(Vin-(Rdson1+Rdcr)*K41-Vout)*M41/(Fsw*Lf)</f>
        <v>1.3958339048431678</v>
      </c>
      <c r="O41" s="4">
        <f t="shared" si="39"/>
        <v>3.8979169524215842</v>
      </c>
      <c r="P41" s="4">
        <f t="shared" si="40"/>
        <v>2.5020830475784162</v>
      </c>
      <c r="Q41" s="4">
        <f t="shared" ref="Q41:Q72" si="55">IF(MIN(Vin, -P41/(Coss_Q1+Coss_Q2)*0.00000002)&lt;0, 0, MIN(Vin, -P41/(Coss_Q1+Coss_Q2)*0.00000002))</f>
        <v>0</v>
      </c>
      <c r="R41" s="4">
        <f t="shared" si="41"/>
        <v>3.2252693981783618</v>
      </c>
      <c r="S41" s="360">
        <f t="shared" ref="S41:S72" si="56">R41^2*Rdcr</f>
        <v>0.12482835228990975</v>
      </c>
      <c r="T41" s="360">
        <f t="shared" ref="T41:T72" si="57">Core_Loss_Ch1</f>
        <v>0.3</v>
      </c>
      <c r="U41" s="360" t="e">
        <f t="shared" ref="U41:U72" si="58">(T41+S41*(1+Ltc*(Ta-25)))/(1-S41*Ltc*ThetaCa)</f>
        <v>#VALUE!</v>
      </c>
      <c r="V41" s="4">
        <f t="shared" si="42"/>
        <v>0.40294254035260474</v>
      </c>
      <c r="W41" s="360">
        <f t="shared" si="10"/>
        <v>3.24725381651621E-4</v>
      </c>
      <c r="X41" s="360">
        <f t="shared" si="43"/>
        <v>3.24725381651621E-4</v>
      </c>
      <c r="Y41" s="4">
        <f t="shared" si="44"/>
        <v>1.2049402072139477</v>
      </c>
      <c r="Z41" s="360">
        <f t="shared" si="11"/>
        <v>1.4518809029607912E-3</v>
      </c>
      <c r="AA41" s="541">
        <f t="shared" si="45"/>
        <v>1.4518809029607912E-3</v>
      </c>
      <c r="AB41" s="360">
        <f t="shared" si="46"/>
        <v>1.3207596374263206</v>
      </c>
      <c r="AC41" s="360">
        <f t="shared" ref="AC41:AC72" si="59">Rdson1*AB41^2</f>
        <v>1.0466436119127035E-2</v>
      </c>
      <c r="AD41" s="360">
        <f t="shared" ref="AD41:AD72" si="60">(Vin*K41/2)*Fsw*(Tr_buck+Tf_buck)</f>
        <v>0.20887939557729862</v>
      </c>
      <c r="AE41" s="360">
        <f t="shared" ref="AE41:AE72" si="61">(0.5*Coss_Q1*(Vin-Q41)^2-0.5*Coss_Q2*(Vin-Q41)^2+(Qoss_Q2*(Vin-Q41)/Vin)*Vin)*Fsw</f>
        <v>-0.52595999999999998</v>
      </c>
      <c r="AF41" s="360">
        <f t="shared" ref="AF41:AF72" si="62">IF(K41&gt;N41/2,0,ABS(K41-N41/2)*Vsd_Q1*Deadtime*Fsw)</f>
        <v>0</v>
      </c>
      <c r="AG41" s="360" t="e">
        <f t="shared" ref="AG41:AG72" si="63">(AF41+AE41+AD41+AC41*(1+RdsonTopTc*Ta-RdsonTopTc*25))/(1-AC41*RdsonTopTc*ThetaJA_Q1)</f>
        <v>#VALUE!</v>
      </c>
      <c r="AH41" s="360">
        <f t="shared" ref="AH41:AH72" si="64">SQRT((1-M41))*SQRT(K41^2+(N41^2)/12)</f>
        <v>2.9424405976962911</v>
      </c>
      <c r="AI41" s="360">
        <f t="shared" ref="AI41:AI72" si="65">Rdson2*AH41^2</f>
        <v>2.1644891677428269E-2</v>
      </c>
      <c r="AJ41" s="360">
        <f t="shared" ref="AJ41:AJ72" si="66">IF(K41&lt;N41/2,Deadtime*Fsw*IF(VfdSky_Q2&gt;0,0,Vsd_Q2)*(K41+N41/2),2*Deadtime*Fsw*IF(VfdSky_Q2&gt;0,0,Vsd_Q2)*K41)</f>
        <v>3.7631999999999999E-2</v>
      </c>
      <c r="AK41" s="360" t="e">
        <f t="shared" ref="AK41:AK72" si="67">(AJ41+AI41*(1+RdsonBotTc*Ta-RdsonBotTc*25))/(1-AI41*RdsonBotTc*ThetaJA_Q2)</f>
        <v>#VALUE!</v>
      </c>
      <c r="AL41" s="360">
        <f t="shared" ref="AL41:AL72" si="68">2*Deadtime*Fsw*IF(VfdSky_Q2&gt;0,VfdSky_Q2,Vsd_Q2)*K41</f>
        <v>3.7631999999999999E-2</v>
      </c>
      <c r="AM41" s="360">
        <f t="shared" ref="AM41:AM72" si="69">IF(QrrSky_Q2&gt;0,QrrSky_Q2,Qrr_Q2*K41/(Iout/Number_of_Phases))*Fsw*Vin</f>
        <v>0.69120000000000004</v>
      </c>
      <c r="AN41" s="360">
        <f t="shared" ref="AN41:AN72" si="70">CHOOSE(SENSING_TYPE, Rs*R41^2, 0)</f>
        <v>5.2011813454129065E-2</v>
      </c>
      <c r="AO41" s="360">
        <f t="shared" ref="AO41:AO72" si="71">Iq*Vin</f>
        <v>2.0999999999999999E-3</v>
      </c>
      <c r="AP41" s="360">
        <f t="shared" ref="AP41:AP72" si="72">IF(Ext_VCC=1,  (Qg_Q1+Qg_Q2)*Fsw*VCC, (Qg_Q1+Qg_Q2)*Fsw*Vin)</f>
        <v>9.8999999999999991E-2</v>
      </c>
      <c r="AQ41" s="360">
        <f t="shared" si="26"/>
        <v>1.1483999999999999</v>
      </c>
      <c r="AR41" s="360">
        <f t="shared" ref="AR41:AR72" si="73">(Qg_Q1+Qg_Q2)*Fsw*(Vin-VCC)</f>
        <v>1.089</v>
      </c>
      <c r="AS41" s="360">
        <f t="shared" ref="AS41:AS74" si="74">SUM(AO41:AP41)</f>
        <v>0.1011</v>
      </c>
      <c r="AT41" s="360" t="e">
        <f t="shared" ref="AT41:AT72" si="75" xml:space="preserve"> SUM(U41,X41,AA41,AG41,AK41,AL41,AM41,AS41,AN41)</f>
        <v>#VALUE!</v>
      </c>
      <c r="AU41">
        <f t="shared" ref="AU41:AU72" si="76">Vout*K41</f>
        <v>32</v>
      </c>
      <c r="AV41" s="542" t="e">
        <f t="shared" si="47"/>
        <v>#VALUE!</v>
      </c>
      <c r="AW41" s="551" t="e">
        <f t="shared" ref="AW41:AW72" si="77">ThetaJA_Q1*BC41</f>
        <v>#VALUE!</v>
      </c>
      <c r="AX41" s="551" t="e">
        <f t="shared" ref="AX41:AX72" si="78">ThetaJA_Q2*BD41</f>
        <v>#VALUE!</v>
      </c>
      <c r="AY41" s="9"/>
      <c r="AZ41" s="4" t="e">
        <f t="shared" si="48"/>
        <v>#VALUE!</v>
      </c>
      <c r="BA41" s="360" t="e">
        <f t="shared" ref="BA41:BA72" si="79">U41</f>
        <v>#VALUE!</v>
      </c>
      <c r="BB41" s="360" t="e">
        <f t="shared" ref="BB41:BB73" si="80">AG41+AK41+AM41</f>
        <v>#VALUE!</v>
      </c>
      <c r="BC41" s="360" t="e">
        <f t="shared" ref="BC41:BC73" si="81">AG41+AM41*0.66</f>
        <v>#VALUE!</v>
      </c>
      <c r="BD41" s="360" t="e">
        <f t="shared" ref="BD41:BD73" si="82">AK41+AM41*0.33</f>
        <v>#VALUE!</v>
      </c>
      <c r="BE41" s="360">
        <f t="shared" ref="BE41:BE73" si="83">AN41</f>
        <v>5.2011813454129065E-2</v>
      </c>
    </row>
    <row r="42" spans="1:57" x14ac:dyDescent="0.2">
      <c r="A42" s="23" t="s">
        <v>90</v>
      </c>
      <c r="B42" s="5">
        <f>Rgate1</f>
        <v>0.5</v>
      </c>
      <c r="C42" s="444" t="s">
        <v>116</v>
      </c>
      <c r="D42" s="21" t="s">
        <v>100</v>
      </c>
      <c r="G42">
        <v>33</v>
      </c>
      <c r="H42" s="548">
        <f t="shared" si="49"/>
        <v>60</v>
      </c>
      <c r="I42" s="4">
        <f t="shared" si="50"/>
        <v>1</v>
      </c>
      <c r="J42" s="360">
        <f t="shared" ref="J42:J73" si="84">Iout*G42/100</f>
        <v>3.3</v>
      </c>
      <c r="K42" s="360">
        <f t="shared" si="51"/>
        <v>3.3</v>
      </c>
      <c r="L42" s="4">
        <f t="shared" si="52"/>
        <v>0.61111111111111116</v>
      </c>
      <c r="M42" s="360">
        <f t="shared" si="53"/>
        <v>0.16772532932699719</v>
      </c>
      <c r="N42" s="4">
        <f t="shared" si="54"/>
        <v>1.3960505969646391</v>
      </c>
      <c r="O42" s="4">
        <f t="shared" si="39"/>
        <v>3.9980252984823195</v>
      </c>
      <c r="P42" s="4">
        <f t="shared" si="40"/>
        <v>2.6019747015176802</v>
      </c>
      <c r="Q42" s="4">
        <f t="shared" si="55"/>
        <v>0</v>
      </c>
      <c r="R42" s="4">
        <f t="shared" si="41"/>
        <v>3.3245169733021029</v>
      </c>
      <c r="S42" s="360">
        <f t="shared" si="56"/>
        <v>0.13262895726928531</v>
      </c>
      <c r="T42" s="360">
        <f t="shared" si="57"/>
        <v>0.3</v>
      </c>
      <c r="U42" s="360" t="e">
        <f t="shared" si="58"/>
        <v>#VALUE!</v>
      </c>
      <c r="V42" s="4">
        <f t="shared" si="42"/>
        <v>0.40300509397993606</v>
      </c>
      <c r="W42" s="360">
        <f t="shared" si="10"/>
        <v>3.2482621154755422E-4</v>
      </c>
      <c r="X42" s="360">
        <f t="shared" si="43"/>
        <v>3.2482621154755422E-4</v>
      </c>
      <c r="Y42" s="4">
        <f t="shared" si="44"/>
        <v>1.2421133227959631</v>
      </c>
      <c r="Z42" s="360">
        <f t="shared" si="11"/>
        <v>1.5428455066672285E-3</v>
      </c>
      <c r="AA42" s="541">
        <f t="shared" si="45"/>
        <v>1.5428455066672285E-3</v>
      </c>
      <c r="AB42" s="360">
        <f t="shared" si="46"/>
        <v>1.3615320885032149</v>
      </c>
      <c r="AC42" s="360">
        <f t="shared" si="59"/>
        <v>1.1122617768143559E-2</v>
      </c>
      <c r="AD42" s="360">
        <f t="shared" si="60"/>
        <v>0.2154068766890892</v>
      </c>
      <c r="AE42" s="360">
        <f t="shared" si="61"/>
        <v>-0.52595999999999998</v>
      </c>
      <c r="AF42" s="360">
        <f t="shared" si="62"/>
        <v>0</v>
      </c>
      <c r="AG42" s="360" t="e">
        <f t="shared" si="63"/>
        <v>#VALUE!</v>
      </c>
      <c r="AH42" s="360">
        <f t="shared" si="64"/>
        <v>3.0329265533062038</v>
      </c>
      <c r="AI42" s="360">
        <f t="shared" si="65"/>
        <v>2.2996608694374622E-2</v>
      </c>
      <c r="AJ42" s="360">
        <f t="shared" si="66"/>
        <v>3.8807999999999988E-2</v>
      </c>
      <c r="AK42" s="360" t="e">
        <f t="shared" si="67"/>
        <v>#VALUE!</v>
      </c>
      <c r="AL42" s="360">
        <f t="shared" si="68"/>
        <v>3.8807999999999988E-2</v>
      </c>
      <c r="AM42" s="360">
        <f t="shared" si="69"/>
        <v>0.71279999999999999</v>
      </c>
      <c r="AN42" s="360">
        <f t="shared" si="70"/>
        <v>5.5262065528868878E-2</v>
      </c>
      <c r="AO42" s="360">
        <f t="shared" si="71"/>
        <v>2.0999999999999999E-3</v>
      </c>
      <c r="AP42" s="360">
        <f t="shared" si="72"/>
        <v>9.8999999999999991E-2</v>
      </c>
      <c r="AQ42" s="360">
        <f t="shared" si="26"/>
        <v>1.1483999999999999</v>
      </c>
      <c r="AR42" s="360">
        <f t="shared" si="73"/>
        <v>1.089</v>
      </c>
      <c r="AS42" s="360">
        <f t="shared" si="74"/>
        <v>0.1011</v>
      </c>
      <c r="AT42" s="360" t="e">
        <f t="shared" si="75"/>
        <v>#VALUE!</v>
      </c>
      <c r="AU42">
        <f t="shared" si="76"/>
        <v>33</v>
      </c>
      <c r="AV42" s="542" t="e">
        <f t="shared" si="47"/>
        <v>#VALUE!</v>
      </c>
      <c r="AW42" s="551" t="e">
        <f t="shared" si="77"/>
        <v>#VALUE!</v>
      </c>
      <c r="AX42" s="551" t="e">
        <f t="shared" si="78"/>
        <v>#VALUE!</v>
      </c>
      <c r="AY42" s="9"/>
      <c r="AZ42" s="4" t="e">
        <f t="shared" si="48"/>
        <v>#VALUE!</v>
      </c>
      <c r="BA42" s="360" t="e">
        <f t="shared" si="79"/>
        <v>#VALUE!</v>
      </c>
      <c r="BB42" s="360" t="e">
        <f t="shared" si="80"/>
        <v>#VALUE!</v>
      </c>
      <c r="BC42" s="360" t="e">
        <f t="shared" si="81"/>
        <v>#VALUE!</v>
      </c>
      <c r="BD42" s="360" t="e">
        <f t="shared" si="82"/>
        <v>#VALUE!</v>
      </c>
      <c r="BE42" s="360">
        <f t="shared" si="83"/>
        <v>5.5262065528868878E-2</v>
      </c>
    </row>
    <row r="43" spans="1:57" x14ac:dyDescent="0.2">
      <c r="A43" s="23" t="s">
        <v>69</v>
      </c>
      <c r="B43" s="5">
        <f>Gfs_Q1</f>
        <v>64</v>
      </c>
      <c r="C43" s="440" t="s">
        <v>66</v>
      </c>
      <c r="D43" s="21" t="s">
        <v>101</v>
      </c>
      <c r="G43">
        <v>34</v>
      </c>
      <c r="H43" s="548">
        <f t="shared" si="49"/>
        <v>60</v>
      </c>
      <c r="I43" s="4">
        <f t="shared" si="50"/>
        <v>1</v>
      </c>
      <c r="J43" s="360">
        <f t="shared" si="84"/>
        <v>3.4</v>
      </c>
      <c r="K43" s="360">
        <f t="shared" si="51"/>
        <v>3.4</v>
      </c>
      <c r="L43" s="4">
        <f t="shared" si="52"/>
        <v>0.62962962962962965</v>
      </c>
      <c r="M43" s="360">
        <f t="shared" si="53"/>
        <v>0.16775740728704727</v>
      </c>
      <c r="N43" s="4">
        <f t="shared" si="54"/>
        <v>1.3962672685043991</v>
      </c>
      <c r="O43" s="4">
        <f t="shared" si="39"/>
        <v>4.0981336342521999</v>
      </c>
      <c r="P43" s="4">
        <f t="shared" si="40"/>
        <v>2.7018663657478004</v>
      </c>
      <c r="Q43" s="4">
        <f t="shared" si="55"/>
        <v>0</v>
      </c>
      <c r="R43" s="4">
        <f t="shared" si="41"/>
        <v>3.4238083363059415</v>
      </c>
      <c r="S43" s="360">
        <f t="shared" si="56"/>
        <v>0.14066956228509669</v>
      </c>
      <c r="T43" s="360">
        <f t="shared" si="57"/>
        <v>0.3</v>
      </c>
      <c r="U43" s="360" t="e">
        <f t="shared" si="58"/>
        <v>#VALUE!</v>
      </c>
      <c r="V43" s="4">
        <f t="shared" si="42"/>
        <v>0.40306764166583919</v>
      </c>
      <c r="W43" s="360">
        <f t="shared" si="10"/>
        <v>3.2492704751612268E-4</v>
      </c>
      <c r="X43" s="360">
        <f t="shared" si="43"/>
        <v>3.2492704751612268E-4</v>
      </c>
      <c r="Y43" s="4">
        <f t="shared" si="44"/>
        <v>1.2793084455625261</v>
      </c>
      <c r="Z43" s="360">
        <f t="shared" si="11"/>
        <v>1.6366300988876069E-3</v>
      </c>
      <c r="AA43" s="541">
        <f t="shared" si="45"/>
        <v>1.6366300988876069E-3</v>
      </c>
      <c r="AB43" s="360">
        <f t="shared" si="46"/>
        <v>1.4023302349170954</v>
      </c>
      <c r="AC43" s="360">
        <f t="shared" si="59"/>
        <v>1.1799180526575815E-2</v>
      </c>
      <c r="AD43" s="360">
        <f t="shared" si="60"/>
        <v>0.22193435780087978</v>
      </c>
      <c r="AE43" s="360">
        <f t="shared" si="61"/>
        <v>-0.52595999999999998</v>
      </c>
      <c r="AF43" s="360">
        <f t="shared" si="62"/>
        <v>0</v>
      </c>
      <c r="AG43" s="360" t="e">
        <f t="shared" si="63"/>
        <v>#VALUE!</v>
      </c>
      <c r="AH43" s="360">
        <f t="shared" si="64"/>
        <v>3.12344896484566</v>
      </c>
      <c r="AI43" s="360">
        <f t="shared" si="65"/>
        <v>2.4389833589988565E-2</v>
      </c>
      <c r="AJ43" s="360">
        <f t="shared" si="66"/>
        <v>3.9983999999999992E-2</v>
      </c>
      <c r="AK43" s="360" t="e">
        <f t="shared" si="67"/>
        <v>#VALUE!</v>
      </c>
      <c r="AL43" s="360">
        <f t="shared" si="68"/>
        <v>3.9983999999999992E-2</v>
      </c>
      <c r="AM43" s="360">
        <f t="shared" si="69"/>
        <v>0.73439999999999994</v>
      </c>
      <c r="AN43" s="360">
        <f t="shared" si="70"/>
        <v>5.8612317618790294E-2</v>
      </c>
      <c r="AO43" s="360">
        <f t="shared" si="71"/>
        <v>2.0999999999999999E-3</v>
      </c>
      <c r="AP43" s="360">
        <f t="shared" si="72"/>
        <v>9.8999999999999991E-2</v>
      </c>
      <c r="AQ43" s="360">
        <f t="shared" si="26"/>
        <v>1.1483999999999999</v>
      </c>
      <c r="AR43" s="360">
        <f t="shared" si="73"/>
        <v>1.089</v>
      </c>
      <c r="AS43" s="360">
        <f t="shared" si="74"/>
        <v>0.1011</v>
      </c>
      <c r="AT43" s="360" t="e">
        <f t="shared" si="75"/>
        <v>#VALUE!</v>
      </c>
      <c r="AU43">
        <f t="shared" si="76"/>
        <v>34</v>
      </c>
      <c r="AV43" s="542" t="e">
        <f t="shared" si="47"/>
        <v>#VALUE!</v>
      </c>
      <c r="AW43" s="551" t="e">
        <f t="shared" si="77"/>
        <v>#VALUE!</v>
      </c>
      <c r="AX43" s="551" t="e">
        <f t="shared" si="78"/>
        <v>#VALUE!</v>
      </c>
      <c r="AY43" s="9"/>
      <c r="AZ43" s="4" t="e">
        <f t="shared" si="48"/>
        <v>#VALUE!</v>
      </c>
      <c r="BA43" s="360" t="e">
        <f t="shared" si="79"/>
        <v>#VALUE!</v>
      </c>
      <c r="BB43" s="360" t="e">
        <f t="shared" si="80"/>
        <v>#VALUE!</v>
      </c>
      <c r="BC43" s="360" t="e">
        <f t="shared" si="81"/>
        <v>#VALUE!</v>
      </c>
      <c r="BD43" s="360" t="e">
        <f t="shared" si="82"/>
        <v>#VALUE!</v>
      </c>
      <c r="BE43" s="360">
        <f t="shared" si="83"/>
        <v>5.8612317618790294E-2</v>
      </c>
    </row>
    <row r="44" spans="1:57" x14ac:dyDescent="0.2">
      <c r="A44" s="23" t="s">
        <v>92</v>
      </c>
      <c r="B44" s="5">
        <f>Vth_Q1</f>
        <v>2.9</v>
      </c>
      <c r="C44" s="440" t="s">
        <v>0</v>
      </c>
      <c r="D44" s="21" t="s">
        <v>102</v>
      </c>
      <c r="G44">
        <v>35</v>
      </c>
      <c r="H44" s="548">
        <f t="shared" si="49"/>
        <v>60</v>
      </c>
      <c r="I44" s="4">
        <f t="shared" si="50"/>
        <v>1</v>
      </c>
      <c r="J44" s="360">
        <f t="shared" si="84"/>
        <v>3.5</v>
      </c>
      <c r="K44" s="360">
        <f t="shared" si="51"/>
        <v>3.5</v>
      </c>
      <c r="L44" s="4">
        <f t="shared" si="52"/>
        <v>0.64814814814814814</v>
      </c>
      <c r="M44" s="360">
        <f t="shared" si="53"/>
        <v>0.16778948508672159</v>
      </c>
      <c r="N44" s="4">
        <f t="shared" si="54"/>
        <v>1.3964839194626024</v>
      </c>
      <c r="O44" s="4">
        <f t="shared" si="39"/>
        <v>4.198241959731301</v>
      </c>
      <c r="P44" s="4">
        <f t="shared" si="40"/>
        <v>2.801758040268699</v>
      </c>
      <c r="Q44" s="4">
        <f t="shared" si="55"/>
        <v>0</v>
      </c>
      <c r="R44" s="4">
        <f t="shared" si="41"/>
        <v>3.5231397850179702</v>
      </c>
      <c r="S44" s="360">
        <f t="shared" si="56"/>
        <v>0.14895016733731764</v>
      </c>
      <c r="T44" s="360">
        <f t="shared" si="57"/>
        <v>0.3</v>
      </c>
      <c r="U44" s="360" t="e">
        <f t="shared" si="58"/>
        <v>#VALUE!</v>
      </c>
      <c r="V44" s="4">
        <f t="shared" si="42"/>
        <v>0.40313018341035861</v>
      </c>
      <c r="W44" s="360">
        <f t="shared" si="10"/>
        <v>3.2502788955293877E-4</v>
      </c>
      <c r="X44" s="360">
        <f t="shared" si="43"/>
        <v>3.2502788955293877E-4</v>
      </c>
      <c r="Y44" s="4">
        <f t="shared" si="44"/>
        <v>1.3165241943285997</v>
      </c>
      <c r="Z44" s="360">
        <f t="shared" si="11"/>
        <v>1.7332359542525687E-3</v>
      </c>
      <c r="AA44" s="541">
        <f t="shared" si="45"/>
        <v>1.7332359542525687E-3</v>
      </c>
      <c r="AB44" s="360">
        <f t="shared" si="46"/>
        <v>1.4431525641545302</v>
      </c>
      <c r="AC44" s="360">
        <f t="shared" si="59"/>
        <v>1.2496135940554771E-2</v>
      </c>
      <c r="AD44" s="360">
        <f t="shared" si="60"/>
        <v>0.22846183891267038</v>
      </c>
      <c r="AE44" s="360">
        <f t="shared" si="61"/>
        <v>-0.52595999999999998</v>
      </c>
      <c r="AF44" s="360">
        <f t="shared" si="62"/>
        <v>0</v>
      </c>
      <c r="AG44" s="360" t="e">
        <f t="shared" si="63"/>
        <v>#VALUE!</v>
      </c>
      <c r="AH44" s="360">
        <f t="shared" si="64"/>
        <v>3.2140044526028073</v>
      </c>
      <c r="AI44" s="360">
        <f t="shared" si="65"/>
        <v>2.5824561553376677E-2</v>
      </c>
      <c r="AJ44" s="360">
        <f t="shared" si="66"/>
        <v>4.1159999999999995E-2</v>
      </c>
      <c r="AK44" s="360" t="e">
        <f t="shared" si="67"/>
        <v>#VALUE!</v>
      </c>
      <c r="AL44" s="360">
        <f t="shared" si="68"/>
        <v>4.1159999999999995E-2</v>
      </c>
      <c r="AM44" s="360">
        <f t="shared" si="69"/>
        <v>0.75599999999999989</v>
      </c>
      <c r="AN44" s="360">
        <f t="shared" si="70"/>
        <v>6.2062569723882348E-2</v>
      </c>
      <c r="AO44" s="360">
        <f t="shared" si="71"/>
        <v>2.0999999999999999E-3</v>
      </c>
      <c r="AP44" s="360">
        <f t="shared" si="72"/>
        <v>9.8999999999999991E-2</v>
      </c>
      <c r="AQ44" s="360">
        <f t="shared" si="26"/>
        <v>1.1483999999999999</v>
      </c>
      <c r="AR44" s="360">
        <f t="shared" si="73"/>
        <v>1.089</v>
      </c>
      <c r="AS44" s="360">
        <f t="shared" si="74"/>
        <v>0.1011</v>
      </c>
      <c r="AT44" s="360" t="e">
        <f t="shared" si="75"/>
        <v>#VALUE!</v>
      </c>
      <c r="AU44">
        <f t="shared" si="76"/>
        <v>35</v>
      </c>
      <c r="AV44" s="542" t="e">
        <f t="shared" si="47"/>
        <v>#VALUE!</v>
      </c>
      <c r="AW44" s="551" t="e">
        <f t="shared" si="77"/>
        <v>#VALUE!</v>
      </c>
      <c r="AX44" s="551" t="e">
        <f t="shared" si="78"/>
        <v>#VALUE!</v>
      </c>
      <c r="AY44" s="9"/>
      <c r="AZ44" s="4" t="e">
        <f t="shared" si="48"/>
        <v>#VALUE!</v>
      </c>
      <c r="BA44" s="360" t="e">
        <f t="shared" si="79"/>
        <v>#VALUE!</v>
      </c>
      <c r="BB44" s="360" t="e">
        <f t="shared" si="80"/>
        <v>#VALUE!</v>
      </c>
      <c r="BC44" s="360" t="e">
        <f t="shared" si="81"/>
        <v>#VALUE!</v>
      </c>
      <c r="BD44" s="360" t="e">
        <f t="shared" si="82"/>
        <v>#VALUE!</v>
      </c>
      <c r="BE44" s="360">
        <f t="shared" si="83"/>
        <v>6.2062569723882348E-2</v>
      </c>
    </row>
    <row r="45" spans="1:57" x14ac:dyDescent="0.2">
      <c r="A45" s="28" t="s">
        <v>123</v>
      </c>
      <c r="B45" s="447">
        <f>Vsp_Q1</f>
        <v>3.0562499999999999</v>
      </c>
      <c r="C45" s="445" t="s">
        <v>0</v>
      </c>
      <c r="G45">
        <v>36</v>
      </c>
      <c r="H45" s="548">
        <f t="shared" si="49"/>
        <v>60</v>
      </c>
      <c r="I45" s="4">
        <f t="shared" si="50"/>
        <v>1</v>
      </c>
      <c r="J45" s="360">
        <f t="shared" si="84"/>
        <v>3.6</v>
      </c>
      <c r="K45" s="360">
        <f t="shared" si="51"/>
        <v>3.6</v>
      </c>
      <c r="L45" s="4">
        <f t="shared" si="52"/>
        <v>0.66666666666666663</v>
      </c>
      <c r="M45" s="360">
        <f t="shared" si="53"/>
        <v>0.16782156272602131</v>
      </c>
      <c r="N45" s="4">
        <f t="shared" si="54"/>
        <v>1.3967005498394029</v>
      </c>
      <c r="O45" s="4">
        <f t="shared" si="39"/>
        <v>4.2983502749197013</v>
      </c>
      <c r="P45" s="4">
        <f t="shared" si="40"/>
        <v>2.9016497250802988</v>
      </c>
      <c r="Q45" s="4">
        <f t="shared" si="55"/>
        <v>0</v>
      </c>
      <c r="R45" s="4">
        <f t="shared" si="41"/>
        <v>3.6225080219133825</v>
      </c>
      <c r="S45" s="360">
        <f t="shared" si="56"/>
        <v>0.1574707724259217</v>
      </c>
      <c r="T45" s="360">
        <f t="shared" si="57"/>
        <v>0.3</v>
      </c>
      <c r="U45" s="360" t="e">
        <f t="shared" si="58"/>
        <v>#VALUE!</v>
      </c>
      <c r="V45" s="4">
        <f t="shared" si="42"/>
        <v>0.40319271921353883</v>
      </c>
      <c r="W45" s="360">
        <f t="shared" si="10"/>
        <v>3.2512873765361511E-4</v>
      </c>
      <c r="X45" s="360">
        <f t="shared" si="43"/>
        <v>3.2512873765361511E-4</v>
      </c>
      <c r="Y45" s="4">
        <f t="shared" si="44"/>
        <v>1.353759338705774</v>
      </c>
      <c r="Z45" s="360">
        <f t="shared" si="11"/>
        <v>1.8326643471330945E-3</v>
      </c>
      <c r="AA45" s="541">
        <f t="shared" si="45"/>
        <v>1.8326643471330945E-3</v>
      </c>
      <c r="AB45" s="360">
        <f t="shared" si="46"/>
        <v>1.4839977288895425</v>
      </c>
      <c r="AC45" s="360">
        <f t="shared" si="59"/>
        <v>1.321349555609592E-2</v>
      </c>
      <c r="AD45" s="360">
        <f t="shared" si="60"/>
        <v>0.23498932002446096</v>
      </c>
      <c r="AE45" s="360">
        <f t="shared" si="61"/>
        <v>-0.52595999999999998</v>
      </c>
      <c r="AF45" s="360">
        <f t="shared" si="62"/>
        <v>0</v>
      </c>
      <c r="AG45" s="360" t="e">
        <f t="shared" si="63"/>
        <v>#VALUE!</v>
      </c>
      <c r="AH45" s="360">
        <f t="shared" si="64"/>
        <v>3.3045900062606082</v>
      </c>
      <c r="AI45" s="360">
        <f t="shared" si="65"/>
        <v>2.7300787773693717E-2</v>
      </c>
      <c r="AJ45" s="360">
        <f t="shared" si="66"/>
        <v>4.2335999999999992E-2</v>
      </c>
      <c r="AK45" s="360" t="e">
        <f t="shared" si="67"/>
        <v>#VALUE!</v>
      </c>
      <c r="AL45" s="360">
        <f t="shared" si="68"/>
        <v>4.2335999999999992E-2</v>
      </c>
      <c r="AM45" s="360">
        <f t="shared" si="69"/>
        <v>0.77759999999999996</v>
      </c>
      <c r="AN45" s="360">
        <f t="shared" si="70"/>
        <v>6.5612821844134042E-2</v>
      </c>
      <c r="AO45" s="360">
        <f t="shared" si="71"/>
        <v>2.0999999999999999E-3</v>
      </c>
      <c r="AP45" s="360">
        <f t="shared" si="72"/>
        <v>9.8999999999999991E-2</v>
      </c>
      <c r="AQ45" s="360">
        <f t="shared" si="26"/>
        <v>1.1483999999999999</v>
      </c>
      <c r="AR45" s="360">
        <f t="shared" si="73"/>
        <v>1.089</v>
      </c>
      <c r="AS45" s="360">
        <f t="shared" si="74"/>
        <v>0.1011</v>
      </c>
      <c r="AT45" s="360" t="e">
        <f t="shared" si="75"/>
        <v>#VALUE!</v>
      </c>
      <c r="AU45">
        <f t="shared" si="76"/>
        <v>36</v>
      </c>
      <c r="AV45" s="542" t="e">
        <f t="shared" si="47"/>
        <v>#VALUE!</v>
      </c>
      <c r="AW45" s="551" t="e">
        <f t="shared" si="77"/>
        <v>#VALUE!</v>
      </c>
      <c r="AX45" s="551" t="e">
        <f t="shared" si="78"/>
        <v>#VALUE!</v>
      </c>
      <c r="AY45" s="9"/>
      <c r="AZ45" s="4" t="e">
        <f t="shared" si="48"/>
        <v>#VALUE!</v>
      </c>
      <c r="BA45" s="360" t="e">
        <f t="shared" si="79"/>
        <v>#VALUE!</v>
      </c>
      <c r="BB45" s="360" t="e">
        <f t="shared" si="80"/>
        <v>#VALUE!</v>
      </c>
      <c r="BC45" s="360" t="e">
        <f t="shared" si="81"/>
        <v>#VALUE!</v>
      </c>
      <c r="BD45" s="360" t="e">
        <f t="shared" si="82"/>
        <v>#VALUE!</v>
      </c>
      <c r="BE45" s="360">
        <f t="shared" si="83"/>
        <v>6.5612821844134042E-2</v>
      </c>
    </row>
    <row r="46" spans="1:57" x14ac:dyDescent="0.2">
      <c r="A46" s="77" t="s">
        <v>203</v>
      </c>
      <c r="B46" s="5">
        <f>Vsd_Q1</f>
        <v>0.7</v>
      </c>
      <c r="C46" s="445" t="s">
        <v>0</v>
      </c>
      <c r="G46">
        <v>37</v>
      </c>
      <c r="H46" s="548">
        <f t="shared" si="49"/>
        <v>60</v>
      </c>
      <c r="I46" s="4">
        <f t="shared" si="50"/>
        <v>1</v>
      </c>
      <c r="J46" s="360">
        <f t="shared" si="84"/>
        <v>3.7</v>
      </c>
      <c r="K46" s="360">
        <f t="shared" si="51"/>
        <v>3.7</v>
      </c>
      <c r="L46" s="4">
        <f t="shared" si="52"/>
        <v>0.68518518518518523</v>
      </c>
      <c r="M46" s="360">
        <f t="shared" si="53"/>
        <v>0.16785364020494772</v>
      </c>
      <c r="N46" s="4">
        <f t="shared" si="54"/>
        <v>1.3969171596349559</v>
      </c>
      <c r="O46" s="4">
        <f t="shared" si="39"/>
        <v>4.3984585798174782</v>
      </c>
      <c r="P46" s="4">
        <f t="shared" si="40"/>
        <v>3.0015414201825221</v>
      </c>
      <c r="Q46" s="4">
        <f t="shared" si="55"/>
        <v>0</v>
      </c>
      <c r="R46" s="4">
        <f t="shared" si="41"/>
        <v>3.7219101004600965</v>
      </c>
      <c r="S46" s="360">
        <f t="shared" si="56"/>
        <v>0.16623137755088263</v>
      </c>
      <c r="T46" s="360">
        <f t="shared" si="57"/>
        <v>0.3</v>
      </c>
      <c r="U46" s="360" t="e">
        <f t="shared" si="58"/>
        <v>#VALUE!</v>
      </c>
      <c r="V46" s="4">
        <f t="shared" si="42"/>
        <v>0.40325524907542465</v>
      </c>
      <c r="W46" s="360">
        <f t="shared" si="10"/>
        <v>3.2522959181376554E-4</v>
      </c>
      <c r="X46" s="360">
        <f t="shared" si="43"/>
        <v>3.2522959181376554E-4</v>
      </c>
      <c r="Y46" s="4">
        <f t="shared" si="44"/>
        <v>1.3910127791075517</v>
      </c>
      <c r="Z46" s="360">
        <f t="shared" si="11"/>
        <v>1.9349165516405146E-3</v>
      </c>
      <c r="AA46" s="541">
        <f t="shared" si="45"/>
        <v>1.9349165516405146E-3</v>
      </c>
      <c r="AB46" s="360">
        <f t="shared" si="46"/>
        <v>1.5248645250807988</v>
      </c>
      <c r="AC46" s="360">
        <f t="shared" si="59"/>
        <v>1.3951270919099342E-2</v>
      </c>
      <c r="AD46" s="360">
        <f t="shared" si="60"/>
        <v>0.24151680113625154</v>
      </c>
      <c r="AE46" s="360">
        <f t="shared" si="61"/>
        <v>-0.52595999999999998</v>
      </c>
      <c r="AF46" s="360">
        <f t="shared" si="62"/>
        <v>0</v>
      </c>
      <c r="AG46" s="360" t="e">
        <f t="shared" si="63"/>
        <v>#VALUE!</v>
      </c>
      <c r="AH46" s="360">
        <f t="shared" si="64"/>
        <v>3.3952029359166436</v>
      </c>
      <c r="AI46" s="360">
        <f t="shared" si="65"/>
        <v>2.8818507440142489E-2</v>
      </c>
      <c r="AJ46" s="360">
        <f t="shared" si="66"/>
        <v>4.3511999999999995E-2</v>
      </c>
      <c r="AK46" s="360" t="e">
        <f t="shared" si="67"/>
        <v>#VALUE!</v>
      </c>
      <c r="AL46" s="360">
        <f t="shared" si="68"/>
        <v>4.3511999999999995E-2</v>
      </c>
      <c r="AM46" s="360">
        <f t="shared" si="69"/>
        <v>0.79920000000000002</v>
      </c>
      <c r="AN46" s="360">
        <f t="shared" si="70"/>
        <v>6.9263073979534434E-2</v>
      </c>
      <c r="AO46" s="360">
        <f t="shared" si="71"/>
        <v>2.0999999999999999E-3</v>
      </c>
      <c r="AP46" s="360">
        <f t="shared" si="72"/>
        <v>9.8999999999999991E-2</v>
      </c>
      <c r="AQ46" s="360">
        <f t="shared" si="26"/>
        <v>1.1483999999999999</v>
      </c>
      <c r="AR46" s="360">
        <f t="shared" si="73"/>
        <v>1.089</v>
      </c>
      <c r="AS46" s="360">
        <f t="shared" si="74"/>
        <v>0.1011</v>
      </c>
      <c r="AT46" s="360" t="e">
        <f t="shared" si="75"/>
        <v>#VALUE!</v>
      </c>
      <c r="AU46">
        <f t="shared" si="76"/>
        <v>37</v>
      </c>
      <c r="AV46" s="542" t="e">
        <f t="shared" si="47"/>
        <v>#VALUE!</v>
      </c>
      <c r="AW46" s="551" t="e">
        <f t="shared" si="77"/>
        <v>#VALUE!</v>
      </c>
      <c r="AX46" s="551" t="e">
        <f t="shared" si="78"/>
        <v>#VALUE!</v>
      </c>
      <c r="AY46" s="9"/>
      <c r="AZ46" s="4" t="e">
        <f t="shared" si="48"/>
        <v>#VALUE!</v>
      </c>
      <c r="BA46" s="360" t="e">
        <f t="shared" si="79"/>
        <v>#VALUE!</v>
      </c>
      <c r="BB46" s="360" t="e">
        <f t="shared" si="80"/>
        <v>#VALUE!</v>
      </c>
      <c r="BC46" s="360" t="e">
        <f t="shared" si="81"/>
        <v>#VALUE!</v>
      </c>
      <c r="BD46" s="360" t="e">
        <f t="shared" si="82"/>
        <v>#VALUE!</v>
      </c>
      <c r="BE46" s="360">
        <f t="shared" si="83"/>
        <v>6.9263073979534434E-2</v>
      </c>
    </row>
    <row r="47" spans="1:57" ht="15.75" x14ac:dyDescent="0.3">
      <c r="A47" s="446" t="s">
        <v>472</v>
      </c>
      <c r="B47" s="5">
        <f>ThetaJA_Q1</f>
        <v>50</v>
      </c>
      <c r="C47" s="441" t="s">
        <v>205</v>
      </c>
      <c r="D47" s="21" t="s">
        <v>103</v>
      </c>
      <c r="G47">
        <v>38</v>
      </c>
      <c r="H47" s="548">
        <f t="shared" si="49"/>
        <v>60</v>
      </c>
      <c r="I47" s="4">
        <f t="shared" si="50"/>
        <v>1</v>
      </c>
      <c r="J47" s="360">
        <f t="shared" si="84"/>
        <v>3.8</v>
      </c>
      <c r="K47" s="360">
        <f t="shared" si="51"/>
        <v>3.8</v>
      </c>
      <c r="L47" s="4">
        <f t="shared" si="52"/>
        <v>0.70370370370370372</v>
      </c>
      <c r="M47" s="360">
        <f t="shared" si="53"/>
        <v>0.16788571752350193</v>
      </c>
      <c r="N47" s="4">
        <f t="shared" si="54"/>
        <v>1.3971337488494147</v>
      </c>
      <c r="O47" s="4">
        <f t="shared" si="39"/>
        <v>4.4985668744247072</v>
      </c>
      <c r="P47" s="4">
        <f t="shared" si="40"/>
        <v>3.1014331255752925</v>
      </c>
      <c r="Q47" s="4">
        <f t="shared" si="55"/>
        <v>0</v>
      </c>
      <c r="R47" s="4">
        <f t="shared" si="41"/>
        <v>3.8213433797572423</v>
      </c>
      <c r="S47" s="360">
        <f t="shared" si="56"/>
        <v>0.17523198271217405</v>
      </c>
      <c r="T47" s="360">
        <f t="shared" si="57"/>
        <v>0.3</v>
      </c>
      <c r="U47" s="360" t="e">
        <f t="shared" si="58"/>
        <v>#VALUE!</v>
      </c>
      <c r="V47" s="4">
        <f t="shared" si="42"/>
        <v>0.40331777299606031</v>
      </c>
      <c r="W47" s="360">
        <f t="shared" si="10"/>
        <v>3.2533045202900329E-4</v>
      </c>
      <c r="X47" s="360">
        <f t="shared" si="43"/>
        <v>3.2533045202900329E-4</v>
      </c>
      <c r="Y47" s="4">
        <f t="shared" si="44"/>
        <v>1.4282835298450054</v>
      </c>
      <c r="Z47" s="360">
        <f t="shared" si="11"/>
        <v>2.0399938416265084E-3</v>
      </c>
      <c r="AA47" s="541">
        <f t="shared" si="45"/>
        <v>2.0399938416265084E-3</v>
      </c>
      <c r="AB47" s="360">
        <f t="shared" si="46"/>
        <v>1.5657518734540716</v>
      </c>
      <c r="AC47" s="360">
        <f t="shared" si="59"/>
        <v>1.4709473575349612E-2</v>
      </c>
      <c r="AD47" s="360">
        <f t="shared" si="60"/>
        <v>0.24804428224804212</v>
      </c>
      <c r="AE47" s="360">
        <f t="shared" si="61"/>
        <v>-0.52595999999999998</v>
      </c>
      <c r="AF47" s="360">
        <f t="shared" si="62"/>
        <v>0</v>
      </c>
      <c r="AG47" s="360" t="e">
        <f t="shared" si="63"/>
        <v>#VALUE!</v>
      </c>
      <c r="AH47" s="360">
        <f t="shared" si="64"/>
        <v>3.4858408306733639</v>
      </c>
      <c r="AI47" s="360">
        <f t="shared" si="65"/>
        <v>3.0377715741973923E-2</v>
      </c>
      <c r="AJ47" s="360">
        <f t="shared" si="66"/>
        <v>4.4687999999999992E-2</v>
      </c>
      <c r="AK47" s="360" t="e">
        <f t="shared" si="67"/>
        <v>#VALUE!</v>
      </c>
      <c r="AL47" s="360">
        <f t="shared" si="68"/>
        <v>4.4687999999999992E-2</v>
      </c>
      <c r="AM47" s="360">
        <f t="shared" si="69"/>
        <v>0.82079999999999997</v>
      </c>
      <c r="AN47" s="360">
        <f t="shared" si="70"/>
        <v>7.3013326130072512E-2</v>
      </c>
      <c r="AO47" s="360">
        <f t="shared" si="71"/>
        <v>2.0999999999999999E-3</v>
      </c>
      <c r="AP47" s="360">
        <f t="shared" si="72"/>
        <v>9.8999999999999991E-2</v>
      </c>
      <c r="AQ47" s="360">
        <f t="shared" si="26"/>
        <v>1.1483999999999999</v>
      </c>
      <c r="AR47" s="360">
        <f t="shared" si="73"/>
        <v>1.089</v>
      </c>
      <c r="AS47" s="360">
        <f t="shared" si="74"/>
        <v>0.1011</v>
      </c>
      <c r="AT47" s="360" t="e">
        <f t="shared" si="75"/>
        <v>#VALUE!</v>
      </c>
      <c r="AU47">
        <f t="shared" si="76"/>
        <v>38</v>
      </c>
      <c r="AV47" s="542" t="e">
        <f t="shared" si="47"/>
        <v>#VALUE!</v>
      </c>
      <c r="AW47" s="551" t="e">
        <f t="shared" si="77"/>
        <v>#VALUE!</v>
      </c>
      <c r="AX47" s="551" t="e">
        <f t="shared" si="78"/>
        <v>#VALUE!</v>
      </c>
      <c r="AY47" s="9"/>
      <c r="AZ47" s="4" t="e">
        <f t="shared" si="48"/>
        <v>#VALUE!</v>
      </c>
      <c r="BA47" s="360" t="e">
        <f t="shared" si="79"/>
        <v>#VALUE!</v>
      </c>
      <c r="BB47" s="360" t="e">
        <f t="shared" si="80"/>
        <v>#VALUE!</v>
      </c>
      <c r="BC47" s="360" t="e">
        <f t="shared" si="81"/>
        <v>#VALUE!</v>
      </c>
      <c r="BD47" s="360" t="e">
        <f t="shared" si="82"/>
        <v>#VALUE!</v>
      </c>
      <c r="BE47" s="360">
        <f t="shared" si="83"/>
        <v>7.3013326130072512E-2</v>
      </c>
    </row>
    <row r="48" spans="1:57" x14ac:dyDescent="0.2">
      <c r="A48" s="24" t="s">
        <v>526</v>
      </c>
      <c r="B48" s="15" t="s">
        <v>111</v>
      </c>
      <c r="C48" s="24" t="s">
        <v>76</v>
      </c>
      <c r="D48" s="17" t="s">
        <v>107</v>
      </c>
      <c r="G48">
        <v>39</v>
      </c>
      <c r="H48" s="548">
        <f t="shared" si="49"/>
        <v>60</v>
      </c>
      <c r="I48" s="4">
        <f t="shared" si="50"/>
        <v>1</v>
      </c>
      <c r="J48" s="360">
        <f t="shared" si="84"/>
        <v>3.9</v>
      </c>
      <c r="K48" s="360">
        <f t="shared" si="51"/>
        <v>3.9</v>
      </c>
      <c r="L48" s="4">
        <f t="shared" si="52"/>
        <v>0.72222222222222221</v>
      </c>
      <c r="M48" s="360">
        <f t="shared" si="53"/>
        <v>0.16791779468168519</v>
      </c>
      <c r="N48" s="4">
        <f t="shared" si="54"/>
        <v>1.397350317482934</v>
      </c>
      <c r="O48" s="4">
        <f t="shared" si="39"/>
        <v>4.5986751587414672</v>
      </c>
      <c r="P48" s="4">
        <f t="shared" si="40"/>
        <v>3.2013248412585327</v>
      </c>
      <c r="Q48" s="4">
        <f t="shared" si="55"/>
        <v>0</v>
      </c>
      <c r="R48" s="4">
        <f t="shared" si="41"/>
        <v>3.9208054860127235</v>
      </c>
      <c r="S48" s="360">
        <f t="shared" si="56"/>
        <v>0.18447258790976961</v>
      </c>
      <c r="T48" s="360">
        <f t="shared" si="57"/>
        <v>0.3</v>
      </c>
      <c r="U48" s="360" t="e">
        <f t="shared" si="58"/>
        <v>#VALUE!</v>
      </c>
      <c r="V48" s="4">
        <f t="shared" si="42"/>
        <v>0.4033802909754905</v>
      </c>
      <c r="W48" s="360">
        <f t="shared" si="10"/>
        <v>3.2543131829494275E-4</v>
      </c>
      <c r="X48" s="360">
        <f t="shared" si="43"/>
        <v>3.2543131829494275E-4</v>
      </c>
      <c r="Y48" s="4">
        <f t="shared" si="44"/>
        <v>1.4655707047710516</v>
      </c>
      <c r="Z48" s="360">
        <f t="shared" si="11"/>
        <v>2.1478974906831167E-3</v>
      </c>
      <c r="AA48" s="541">
        <f t="shared" si="45"/>
        <v>2.1478974906831167E-3</v>
      </c>
      <c r="AB48" s="360">
        <f t="shared" si="46"/>
        <v>1.6066588037765366</v>
      </c>
      <c r="AC48" s="360">
        <f t="shared" si="59"/>
        <v>1.5488115070515911E-2</v>
      </c>
      <c r="AD48" s="360">
        <f t="shared" si="60"/>
        <v>0.25457176335983273</v>
      </c>
      <c r="AE48" s="360">
        <f t="shared" si="61"/>
        <v>-0.52595999999999998</v>
      </c>
      <c r="AF48" s="360">
        <f t="shared" si="62"/>
        <v>0</v>
      </c>
      <c r="AG48" s="360" t="e">
        <f t="shared" si="63"/>
        <v>#VALUE!</v>
      </c>
      <c r="AH48" s="360">
        <f t="shared" si="64"/>
        <v>3.5765015234716198</v>
      </c>
      <c r="AI48" s="360">
        <f t="shared" si="65"/>
        <v>3.197840786848704E-2</v>
      </c>
      <c r="AJ48" s="360">
        <f t="shared" si="66"/>
        <v>4.5863999999999988E-2</v>
      </c>
      <c r="AK48" s="360" t="e">
        <f t="shared" si="67"/>
        <v>#VALUE!</v>
      </c>
      <c r="AL48" s="360">
        <f t="shared" si="68"/>
        <v>4.5863999999999988E-2</v>
      </c>
      <c r="AM48" s="360">
        <f t="shared" si="69"/>
        <v>0.84239999999999993</v>
      </c>
      <c r="AN48" s="360">
        <f t="shared" si="70"/>
        <v>7.6863578295737339E-2</v>
      </c>
      <c r="AO48" s="360">
        <f t="shared" si="71"/>
        <v>2.0999999999999999E-3</v>
      </c>
      <c r="AP48" s="360">
        <f t="shared" si="72"/>
        <v>9.8999999999999991E-2</v>
      </c>
      <c r="AQ48" s="360">
        <f t="shared" si="26"/>
        <v>1.1483999999999999</v>
      </c>
      <c r="AR48" s="360">
        <f t="shared" si="73"/>
        <v>1.089</v>
      </c>
      <c r="AS48" s="360">
        <f t="shared" si="74"/>
        <v>0.1011</v>
      </c>
      <c r="AT48" s="360" t="e">
        <f t="shared" si="75"/>
        <v>#VALUE!</v>
      </c>
      <c r="AU48">
        <f t="shared" si="76"/>
        <v>39</v>
      </c>
      <c r="AV48" s="542" t="e">
        <f t="shared" si="47"/>
        <v>#VALUE!</v>
      </c>
      <c r="AW48" s="551" t="e">
        <f t="shared" si="77"/>
        <v>#VALUE!</v>
      </c>
      <c r="AX48" s="551" t="e">
        <f t="shared" si="78"/>
        <v>#VALUE!</v>
      </c>
      <c r="AY48" s="9"/>
      <c r="AZ48" s="4" t="e">
        <f t="shared" si="48"/>
        <v>#VALUE!</v>
      </c>
      <c r="BA48" s="360" t="e">
        <f t="shared" si="79"/>
        <v>#VALUE!</v>
      </c>
      <c r="BB48" s="360" t="e">
        <f t="shared" si="80"/>
        <v>#VALUE!</v>
      </c>
      <c r="BC48" s="360" t="e">
        <f t="shared" si="81"/>
        <v>#VALUE!</v>
      </c>
      <c r="BD48" s="360" t="e">
        <f t="shared" si="82"/>
        <v>#VALUE!</v>
      </c>
      <c r="BE48" s="360">
        <f t="shared" si="83"/>
        <v>7.6863578295737339E-2</v>
      </c>
    </row>
    <row r="49" spans="1:64" x14ac:dyDescent="0.2">
      <c r="A49" s="23" t="s">
        <v>68</v>
      </c>
      <c r="B49" s="5">
        <f>Rdson2*1000</f>
        <v>2.5</v>
      </c>
      <c r="C49" s="442" t="s">
        <v>466</v>
      </c>
      <c r="D49" s="440" t="s">
        <v>527</v>
      </c>
      <c r="G49">
        <v>40</v>
      </c>
      <c r="H49" s="548">
        <f t="shared" si="49"/>
        <v>60</v>
      </c>
      <c r="I49" s="4">
        <f t="shared" si="50"/>
        <v>1</v>
      </c>
      <c r="J49" s="360">
        <f t="shared" si="84"/>
        <v>4</v>
      </c>
      <c r="K49" s="360">
        <f t="shared" si="51"/>
        <v>4</v>
      </c>
      <c r="L49" s="4">
        <f t="shared" si="52"/>
        <v>0.7407407407407407</v>
      </c>
      <c r="M49" s="360">
        <f t="shared" si="53"/>
        <v>0.16794987167949871</v>
      </c>
      <c r="N49" s="4">
        <f t="shared" si="54"/>
        <v>1.3975668655356683</v>
      </c>
      <c r="O49" s="4">
        <f t="shared" si="39"/>
        <v>4.6987834327678346</v>
      </c>
      <c r="P49" s="4">
        <f t="shared" si="40"/>
        <v>3.3012165672321658</v>
      </c>
      <c r="Q49" s="4">
        <f t="shared" si="55"/>
        <v>0</v>
      </c>
      <c r="R49" s="4">
        <f t="shared" si="41"/>
        <v>4.0202942796894359</v>
      </c>
      <c r="S49" s="360">
        <f t="shared" si="56"/>
        <v>0.1939531931436432</v>
      </c>
      <c r="T49" s="360">
        <f t="shared" si="57"/>
        <v>0.3</v>
      </c>
      <c r="U49" s="360" t="e">
        <f t="shared" si="58"/>
        <v>#VALUE!</v>
      </c>
      <c r="V49" s="4">
        <f t="shared" si="42"/>
        <v>0.40344280301375984</v>
      </c>
      <c r="W49" s="360">
        <f t="shared" si="10"/>
        <v>3.2553219060719887E-4</v>
      </c>
      <c r="X49" s="360">
        <f t="shared" si="43"/>
        <v>3.2553219060719887E-4</v>
      </c>
      <c r="Y49" s="4">
        <f t="shared" si="44"/>
        <v>1.5028735050371833</v>
      </c>
      <c r="Z49" s="360">
        <f t="shared" si="11"/>
        <v>2.2586287721427485E-3</v>
      </c>
      <c r="AA49" s="541">
        <f t="shared" si="45"/>
        <v>2.2586287721427485E-3</v>
      </c>
      <c r="AB49" s="360">
        <f t="shared" si="46"/>
        <v>1.6475844414451091</v>
      </c>
      <c r="AC49" s="360">
        <f t="shared" si="59"/>
        <v>1.6287206950151952E-2</v>
      </c>
      <c r="AD49" s="360">
        <f t="shared" si="60"/>
        <v>0.2610992444716233</v>
      </c>
      <c r="AE49" s="360">
        <f t="shared" si="61"/>
        <v>-0.52595999999999998</v>
      </c>
      <c r="AF49" s="360">
        <f t="shared" si="62"/>
        <v>0</v>
      </c>
      <c r="AG49" s="360" t="e">
        <f t="shared" si="63"/>
        <v>#VALUE!</v>
      </c>
      <c r="AH49" s="360">
        <f t="shared" si="64"/>
        <v>3.6671830610990241</v>
      </c>
      <c r="AI49" s="360">
        <f t="shared" si="65"/>
        <v>3.3620579009029025E-2</v>
      </c>
      <c r="AJ49" s="360">
        <f t="shared" si="66"/>
        <v>4.7039999999999992E-2</v>
      </c>
      <c r="AK49" s="360" t="e">
        <f t="shared" si="67"/>
        <v>#VALUE!</v>
      </c>
      <c r="AL49" s="360">
        <f t="shared" si="68"/>
        <v>4.7039999999999992E-2</v>
      </c>
      <c r="AM49" s="360">
        <f t="shared" si="69"/>
        <v>0.86399999999999988</v>
      </c>
      <c r="AN49" s="360">
        <f t="shared" si="70"/>
        <v>8.0813830476517995E-2</v>
      </c>
      <c r="AO49" s="360">
        <f t="shared" si="71"/>
        <v>2.0999999999999999E-3</v>
      </c>
      <c r="AP49" s="360">
        <f t="shared" si="72"/>
        <v>9.8999999999999991E-2</v>
      </c>
      <c r="AQ49" s="360">
        <f t="shared" si="26"/>
        <v>1.1483999999999999</v>
      </c>
      <c r="AR49" s="360">
        <f t="shared" si="73"/>
        <v>1.089</v>
      </c>
      <c r="AS49" s="360">
        <f t="shared" si="74"/>
        <v>0.1011</v>
      </c>
      <c r="AT49" s="360" t="e">
        <f t="shared" si="75"/>
        <v>#VALUE!</v>
      </c>
      <c r="AU49">
        <f t="shared" si="76"/>
        <v>40</v>
      </c>
      <c r="AV49" s="542" t="e">
        <f t="shared" si="47"/>
        <v>#VALUE!</v>
      </c>
      <c r="AW49" s="551" t="e">
        <f t="shared" si="77"/>
        <v>#VALUE!</v>
      </c>
      <c r="AX49" s="551" t="e">
        <f t="shared" si="78"/>
        <v>#VALUE!</v>
      </c>
      <c r="AY49" s="9"/>
      <c r="AZ49" s="4" t="e">
        <f t="shared" si="48"/>
        <v>#VALUE!</v>
      </c>
      <c r="BA49" s="360" t="e">
        <f t="shared" si="79"/>
        <v>#VALUE!</v>
      </c>
      <c r="BB49" s="360" t="e">
        <f t="shared" si="80"/>
        <v>#VALUE!</v>
      </c>
      <c r="BC49" s="360" t="e">
        <f t="shared" si="81"/>
        <v>#VALUE!</v>
      </c>
      <c r="BD49" s="360" t="e">
        <f t="shared" si="82"/>
        <v>#VALUE!</v>
      </c>
      <c r="BE49" s="360">
        <f t="shared" si="83"/>
        <v>8.0813830476517995E-2</v>
      </c>
    </row>
    <row r="50" spans="1:64" x14ac:dyDescent="0.2">
      <c r="A50" s="23" t="s">
        <v>80</v>
      </c>
      <c r="B50" s="5">
        <f>RdsonBotTc*1000000</f>
        <v>4000</v>
      </c>
      <c r="C50" s="440" t="s">
        <v>81</v>
      </c>
      <c r="D50" s="21" t="s">
        <v>104</v>
      </c>
      <c r="G50">
        <v>41</v>
      </c>
      <c r="H50" s="548">
        <f t="shared" si="49"/>
        <v>60</v>
      </c>
      <c r="I50" s="4">
        <f t="shared" si="50"/>
        <v>1</v>
      </c>
      <c r="J50" s="360">
        <f t="shared" si="84"/>
        <v>4.0999999999999996</v>
      </c>
      <c r="K50" s="360">
        <f t="shared" si="51"/>
        <v>4.0999999999999996</v>
      </c>
      <c r="L50" s="4">
        <f t="shared" si="52"/>
        <v>0.7592592592592593</v>
      </c>
      <c r="M50" s="360">
        <f t="shared" si="53"/>
        <v>0.1679819485169437</v>
      </c>
      <c r="N50" s="4">
        <f t="shared" si="54"/>
        <v>1.3977833930077723</v>
      </c>
      <c r="O50" s="4">
        <f t="shared" si="39"/>
        <v>4.7988916965038859</v>
      </c>
      <c r="P50" s="4">
        <f t="shared" si="40"/>
        <v>3.4011083034961134</v>
      </c>
      <c r="Q50" s="4">
        <f t="shared" si="55"/>
        <v>0</v>
      </c>
      <c r="R50" s="4">
        <f t="shared" si="41"/>
        <v>4.1198078273726182</v>
      </c>
      <c r="S50" s="360">
        <f t="shared" si="56"/>
        <v>0.20367379841376831</v>
      </c>
      <c r="T50" s="360">
        <f t="shared" si="57"/>
        <v>0.3</v>
      </c>
      <c r="U50" s="360" t="e">
        <f t="shared" si="58"/>
        <v>#VALUE!</v>
      </c>
      <c r="V50" s="4">
        <f t="shared" si="42"/>
        <v>0.40350530911091292</v>
      </c>
      <c r="W50" s="360">
        <f t="shared" si="10"/>
        <v>3.2563306896138676E-4</v>
      </c>
      <c r="X50" s="360">
        <f t="shared" si="43"/>
        <v>3.2563306896138676E-4</v>
      </c>
      <c r="Y50" s="4">
        <f t="shared" si="44"/>
        <v>1.5401912086095606</v>
      </c>
      <c r="Z50" s="360">
        <f t="shared" si="11"/>
        <v>2.3721889590781792E-3</v>
      </c>
      <c r="AA50" s="541">
        <f t="shared" si="45"/>
        <v>2.3721889590781792E-3</v>
      </c>
      <c r="AB50" s="360">
        <f t="shared" si="46"/>
        <v>1.6885279960020405</v>
      </c>
      <c r="AC50" s="360">
        <f t="shared" si="59"/>
        <v>1.7106760759696003E-2</v>
      </c>
      <c r="AD50" s="360">
        <f t="shared" si="60"/>
        <v>0.26762672558341383</v>
      </c>
      <c r="AE50" s="360">
        <f t="shared" si="61"/>
        <v>-0.52595999999999998</v>
      </c>
      <c r="AF50" s="360">
        <f t="shared" si="62"/>
        <v>0</v>
      </c>
      <c r="AG50" s="360" t="e">
        <f t="shared" si="63"/>
        <v>#VALUE!</v>
      </c>
      <c r="AH50" s="360">
        <f t="shared" si="64"/>
        <v>3.7578836785081609</v>
      </c>
      <c r="AI50" s="360">
        <f t="shared" si="65"/>
        <v>3.5304224352995066E-2</v>
      </c>
      <c r="AJ50" s="360">
        <f t="shared" si="66"/>
        <v>4.8215999999999988E-2</v>
      </c>
      <c r="AK50" s="360" t="e">
        <f t="shared" si="67"/>
        <v>#VALUE!</v>
      </c>
      <c r="AL50" s="360">
        <f t="shared" si="68"/>
        <v>4.8215999999999988E-2</v>
      </c>
      <c r="AM50" s="360">
        <f t="shared" si="69"/>
        <v>0.88559999999999983</v>
      </c>
      <c r="AN50" s="360">
        <f t="shared" si="70"/>
        <v>8.486408267240346E-2</v>
      </c>
      <c r="AO50" s="360">
        <f t="shared" si="71"/>
        <v>2.0999999999999999E-3</v>
      </c>
      <c r="AP50" s="360">
        <f t="shared" si="72"/>
        <v>9.8999999999999991E-2</v>
      </c>
      <c r="AQ50" s="360">
        <f t="shared" si="26"/>
        <v>1.1483999999999999</v>
      </c>
      <c r="AR50" s="360">
        <f t="shared" si="73"/>
        <v>1.089</v>
      </c>
      <c r="AS50" s="360">
        <f t="shared" si="74"/>
        <v>0.1011</v>
      </c>
      <c r="AT50" s="360" t="e">
        <f t="shared" si="75"/>
        <v>#VALUE!</v>
      </c>
      <c r="AU50">
        <f t="shared" si="76"/>
        <v>41</v>
      </c>
      <c r="AV50" s="542" t="e">
        <f t="shared" si="47"/>
        <v>#VALUE!</v>
      </c>
      <c r="AW50" s="551" t="e">
        <f t="shared" si="77"/>
        <v>#VALUE!</v>
      </c>
      <c r="AX50" s="551" t="e">
        <f t="shared" si="78"/>
        <v>#VALUE!</v>
      </c>
      <c r="AY50" s="9"/>
      <c r="AZ50" s="4" t="e">
        <f t="shared" si="48"/>
        <v>#VALUE!</v>
      </c>
      <c r="BA50" s="360" t="e">
        <f t="shared" si="79"/>
        <v>#VALUE!</v>
      </c>
      <c r="BB50" s="360" t="e">
        <f t="shared" si="80"/>
        <v>#VALUE!</v>
      </c>
      <c r="BC50" s="360" t="e">
        <f t="shared" si="81"/>
        <v>#VALUE!</v>
      </c>
      <c r="BD50" s="360" t="e">
        <f t="shared" si="82"/>
        <v>#VALUE!</v>
      </c>
      <c r="BE50" s="360">
        <f t="shared" si="83"/>
        <v>8.486408267240346E-2</v>
      </c>
    </row>
    <row r="51" spans="1:64" x14ac:dyDescent="0.2">
      <c r="A51" s="23" t="s">
        <v>67</v>
      </c>
      <c r="B51" s="5">
        <f>Qg_Q2*1000000000</f>
        <v>25</v>
      </c>
      <c r="C51" s="440" t="s">
        <v>65</v>
      </c>
      <c r="D51" s="21" t="s">
        <v>99</v>
      </c>
      <c r="G51">
        <v>42</v>
      </c>
      <c r="H51" s="548">
        <f t="shared" si="49"/>
        <v>60</v>
      </c>
      <c r="I51" s="4">
        <f t="shared" si="50"/>
        <v>1</v>
      </c>
      <c r="J51" s="360">
        <f t="shared" si="84"/>
        <v>4.2</v>
      </c>
      <c r="K51" s="360">
        <f t="shared" si="51"/>
        <v>4.2</v>
      </c>
      <c r="L51" s="4">
        <f t="shared" si="52"/>
        <v>0.77777777777777779</v>
      </c>
      <c r="M51" s="360">
        <f t="shared" si="53"/>
        <v>0.16801402519402128</v>
      </c>
      <c r="N51" s="4">
        <f t="shared" si="54"/>
        <v>1.397999899899399</v>
      </c>
      <c r="O51" s="4">
        <f t="shared" si="39"/>
        <v>4.8989999499496992</v>
      </c>
      <c r="P51" s="4">
        <f t="shared" si="40"/>
        <v>3.5010000500503007</v>
      </c>
      <c r="Q51" s="4">
        <f t="shared" si="55"/>
        <v>0</v>
      </c>
      <c r="R51" s="4">
        <f t="shared" si="41"/>
        <v>4.2193443775871815</v>
      </c>
      <c r="S51" s="360">
        <f t="shared" si="56"/>
        <v>0.21363440372011874</v>
      </c>
      <c r="T51" s="360">
        <f t="shared" si="57"/>
        <v>0.3</v>
      </c>
      <c r="U51" s="360" t="e">
        <f t="shared" si="58"/>
        <v>#VALUE!</v>
      </c>
      <c r="V51" s="4">
        <f t="shared" si="42"/>
        <v>0.40356780926699398</v>
      </c>
      <c r="W51" s="360">
        <f t="shared" si="10"/>
        <v>3.2573395335312169E-4</v>
      </c>
      <c r="X51" s="360">
        <f t="shared" si="43"/>
        <v>3.2573395335312169E-4</v>
      </c>
      <c r="Y51" s="4">
        <f t="shared" si="44"/>
        <v>1.5775231612570901</v>
      </c>
      <c r="Z51" s="360">
        <f t="shared" si="11"/>
        <v>2.488579324302563E-3</v>
      </c>
      <c r="AA51" s="541">
        <f t="shared" si="45"/>
        <v>2.488579324302563E-3</v>
      </c>
      <c r="AB51" s="360">
        <f t="shared" si="46"/>
        <v>1.7294887512629693</v>
      </c>
      <c r="AC51" s="360">
        <f t="shared" si="59"/>
        <v>1.794678804447087E-2</v>
      </c>
      <c r="AD51" s="360">
        <f t="shared" si="60"/>
        <v>0.27415420669520446</v>
      </c>
      <c r="AE51" s="360">
        <f t="shared" si="61"/>
        <v>-0.52595999999999998</v>
      </c>
      <c r="AF51" s="360">
        <f t="shared" si="62"/>
        <v>0</v>
      </c>
      <c r="AG51" s="360" t="e">
        <f t="shared" si="63"/>
        <v>#VALUE!</v>
      </c>
      <c r="AH51" s="360">
        <f t="shared" si="64"/>
        <v>3.8486017767406664</v>
      </c>
      <c r="AI51" s="360">
        <f t="shared" si="65"/>
        <v>3.7029339089828535E-2</v>
      </c>
      <c r="AJ51" s="360">
        <f t="shared" si="66"/>
        <v>4.9391999999999991E-2</v>
      </c>
      <c r="AK51" s="360" t="e">
        <f t="shared" si="67"/>
        <v>#VALUE!</v>
      </c>
      <c r="AL51" s="360">
        <f t="shared" si="68"/>
        <v>4.9391999999999991E-2</v>
      </c>
      <c r="AM51" s="360">
        <f t="shared" si="69"/>
        <v>0.9071999999999999</v>
      </c>
      <c r="AN51" s="360">
        <f t="shared" si="70"/>
        <v>8.9014334883382812E-2</v>
      </c>
      <c r="AO51" s="360">
        <f t="shared" si="71"/>
        <v>2.0999999999999999E-3</v>
      </c>
      <c r="AP51" s="360">
        <f t="shared" si="72"/>
        <v>9.8999999999999991E-2</v>
      </c>
      <c r="AQ51" s="360">
        <f t="shared" si="26"/>
        <v>1.1483999999999999</v>
      </c>
      <c r="AR51" s="360">
        <f t="shared" si="73"/>
        <v>1.089</v>
      </c>
      <c r="AS51" s="360">
        <f t="shared" si="74"/>
        <v>0.1011</v>
      </c>
      <c r="AT51" s="360" t="e">
        <f t="shared" si="75"/>
        <v>#VALUE!</v>
      </c>
      <c r="AU51">
        <f t="shared" si="76"/>
        <v>42</v>
      </c>
      <c r="AV51" s="542" t="e">
        <f t="shared" si="47"/>
        <v>#VALUE!</v>
      </c>
      <c r="AW51" s="551" t="e">
        <f t="shared" si="77"/>
        <v>#VALUE!</v>
      </c>
      <c r="AX51" s="551" t="e">
        <f t="shared" si="78"/>
        <v>#VALUE!</v>
      </c>
      <c r="AY51" s="9"/>
      <c r="AZ51" s="4" t="e">
        <f t="shared" si="48"/>
        <v>#VALUE!</v>
      </c>
      <c r="BA51" s="360" t="e">
        <f t="shared" si="79"/>
        <v>#VALUE!</v>
      </c>
      <c r="BB51" s="360" t="e">
        <f t="shared" si="80"/>
        <v>#VALUE!</v>
      </c>
      <c r="BC51" s="360" t="e">
        <f t="shared" si="81"/>
        <v>#VALUE!</v>
      </c>
      <c r="BD51" s="360" t="e">
        <f t="shared" si="82"/>
        <v>#VALUE!</v>
      </c>
      <c r="BE51" s="360">
        <f t="shared" si="83"/>
        <v>8.9014334883382812E-2</v>
      </c>
    </row>
    <row r="52" spans="1:64" x14ac:dyDescent="0.2">
      <c r="A52" s="23" t="s">
        <v>91</v>
      </c>
      <c r="B52" s="5">
        <f>Rgate2</f>
        <v>0.5</v>
      </c>
      <c r="C52" s="444" t="s">
        <v>116</v>
      </c>
      <c r="D52" s="21" t="s">
        <v>100</v>
      </c>
      <c r="G52">
        <v>43</v>
      </c>
      <c r="H52" s="548">
        <f t="shared" si="49"/>
        <v>60</v>
      </c>
      <c r="I52" s="4">
        <f t="shared" si="50"/>
        <v>1</v>
      </c>
      <c r="J52" s="360">
        <f t="shared" si="84"/>
        <v>4.3</v>
      </c>
      <c r="K52" s="360">
        <f t="shared" si="51"/>
        <v>4.3</v>
      </c>
      <c r="L52" s="4">
        <f t="shared" si="52"/>
        <v>0.79629629629629628</v>
      </c>
      <c r="M52" s="360">
        <f t="shared" si="53"/>
        <v>0.16804610171073275</v>
      </c>
      <c r="N52" s="4">
        <f t="shared" si="54"/>
        <v>1.3982163862107044</v>
      </c>
      <c r="O52" s="4">
        <f t="shared" si="39"/>
        <v>4.9991081931053518</v>
      </c>
      <c r="P52" s="4">
        <f t="shared" si="40"/>
        <v>3.6008918068946478</v>
      </c>
      <c r="Q52" s="4">
        <f t="shared" si="55"/>
        <v>0</v>
      </c>
      <c r="R52" s="4">
        <f t="shared" si="41"/>
        <v>4.3189023399341888</v>
      </c>
      <c r="S52" s="360">
        <f t="shared" si="56"/>
        <v>0.22383500906266815</v>
      </c>
      <c r="T52" s="360">
        <f t="shared" si="57"/>
        <v>0.3</v>
      </c>
      <c r="U52" s="360" t="e">
        <f t="shared" si="58"/>
        <v>#VALUE!</v>
      </c>
      <c r="V52" s="4">
        <f t="shared" si="42"/>
        <v>0.40363030348204798</v>
      </c>
      <c r="W52" s="360">
        <f t="shared" si="10"/>
        <v>3.2583484377802033E-4</v>
      </c>
      <c r="X52" s="360">
        <f t="shared" si="43"/>
        <v>3.2583484377802033E-4</v>
      </c>
      <c r="Y52" s="4">
        <f t="shared" si="44"/>
        <v>1.6148687687764118</v>
      </c>
      <c r="Z52" s="360">
        <f t="shared" si="11"/>
        <v>2.6078011403694442E-3</v>
      </c>
      <c r="AA52" s="541">
        <f t="shared" si="45"/>
        <v>2.6078011403694442E-3</v>
      </c>
      <c r="AB52" s="360">
        <f t="shared" si="46"/>
        <v>1.7704660567999206</v>
      </c>
      <c r="AC52" s="360">
        <f t="shared" si="59"/>
        <v>1.8807300349683958E-2</v>
      </c>
      <c r="AD52" s="360">
        <f t="shared" si="60"/>
        <v>0.28068168780699504</v>
      </c>
      <c r="AE52" s="360">
        <f t="shared" si="61"/>
        <v>-0.52595999999999998</v>
      </c>
      <c r="AF52" s="360">
        <f t="shared" si="62"/>
        <v>0</v>
      </c>
      <c r="AG52" s="360" t="e">
        <f t="shared" si="63"/>
        <v>#VALUE!</v>
      </c>
      <c r="AH52" s="360">
        <f t="shared" si="64"/>
        <v>3.9393359038813069</v>
      </c>
      <c r="AI52" s="360">
        <f t="shared" si="65"/>
        <v>3.8795918409020885E-2</v>
      </c>
      <c r="AJ52" s="360">
        <f t="shared" si="66"/>
        <v>5.0567999999999988E-2</v>
      </c>
      <c r="AK52" s="360" t="e">
        <f t="shared" si="67"/>
        <v>#VALUE!</v>
      </c>
      <c r="AL52" s="360">
        <f t="shared" si="68"/>
        <v>5.0567999999999988E-2</v>
      </c>
      <c r="AM52" s="360">
        <f t="shared" si="69"/>
        <v>0.92879999999999985</v>
      </c>
      <c r="AN52" s="360">
        <f t="shared" si="70"/>
        <v>9.326458710944506E-2</v>
      </c>
      <c r="AO52" s="360">
        <f t="shared" si="71"/>
        <v>2.0999999999999999E-3</v>
      </c>
      <c r="AP52" s="360">
        <f t="shared" si="72"/>
        <v>9.8999999999999991E-2</v>
      </c>
      <c r="AQ52" s="360">
        <f t="shared" si="26"/>
        <v>1.1483999999999999</v>
      </c>
      <c r="AR52" s="360">
        <f t="shared" si="73"/>
        <v>1.089</v>
      </c>
      <c r="AS52" s="360">
        <f t="shared" si="74"/>
        <v>0.1011</v>
      </c>
      <c r="AT52" s="360" t="e">
        <f t="shared" si="75"/>
        <v>#VALUE!</v>
      </c>
      <c r="AU52">
        <f t="shared" si="76"/>
        <v>43</v>
      </c>
      <c r="AV52" s="542" t="e">
        <f t="shared" si="47"/>
        <v>#VALUE!</v>
      </c>
      <c r="AW52" s="551" t="e">
        <f t="shared" si="77"/>
        <v>#VALUE!</v>
      </c>
      <c r="AX52" s="551" t="e">
        <f t="shared" si="78"/>
        <v>#VALUE!</v>
      </c>
      <c r="AY52" s="9"/>
      <c r="AZ52" s="4" t="e">
        <f t="shared" si="48"/>
        <v>#VALUE!</v>
      </c>
      <c r="BA52" s="360" t="e">
        <f t="shared" si="79"/>
        <v>#VALUE!</v>
      </c>
      <c r="BB52" s="360" t="e">
        <f t="shared" si="80"/>
        <v>#VALUE!</v>
      </c>
      <c r="BC52" s="360" t="e">
        <f t="shared" si="81"/>
        <v>#VALUE!</v>
      </c>
      <c r="BD52" s="360" t="e">
        <f t="shared" si="82"/>
        <v>#VALUE!</v>
      </c>
      <c r="BE52" s="360">
        <f t="shared" si="83"/>
        <v>9.326458710944506E-2</v>
      </c>
    </row>
    <row r="53" spans="1:64" x14ac:dyDescent="0.2">
      <c r="A53" s="23" t="s">
        <v>72</v>
      </c>
      <c r="B53" s="5">
        <f>Vsd_Q2</f>
        <v>0.7</v>
      </c>
      <c r="C53" s="440" t="s">
        <v>0</v>
      </c>
      <c r="D53" s="21" t="s">
        <v>105</v>
      </c>
      <c r="G53">
        <v>44</v>
      </c>
      <c r="H53" s="548">
        <f t="shared" si="49"/>
        <v>60</v>
      </c>
      <c r="I53" s="4">
        <f t="shared" si="50"/>
        <v>1</v>
      </c>
      <c r="J53" s="360">
        <f t="shared" si="84"/>
        <v>4.4000000000000004</v>
      </c>
      <c r="K53" s="360">
        <f t="shared" si="51"/>
        <v>4.4000000000000004</v>
      </c>
      <c r="L53" s="4">
        <f t="shared" si="52"/>
        <v>0.81481481481481477</v>
      </c>
      <c r="M53" s="360">
        <f t="shared" si="53"/>
        <v>0.16807817806707931</v>
      </c>
      <c r="N53" s="4">
        <f t="shared" si="54"/>
        <v>1.3984328519418419</v>
      </c>
      <c r="O53" s="4">
        <f t="shared" si="39"/>
        <v>5.099216425970921</v>
      </c>
      <c r="P53" s="4">
        <f t="shared" si="40"/>
        <v>3.7007835740290793</v>
      </c>
      <c r="Q53" s="4">
        <f t="shared" si="55"/>
        <v>0</v>
      </c>
      <c r="R53" s="4">
        <f t="shared" si="41"/>
        <v>4.418480267028003</v>
      </c>
      <c r="S53" s="360">
        <f t="shared" si="56"/>
        <v>0.23427561444139022</v>
      </c>
      <c r="T53" s="360">
        <f t="shared" si="57"/>
        <v>0.3</v>
      </c>
      <c r="U53" s="360" t="e">
        <f t="shared" si="58"/>
        <v>#VALUE!</v>
      </c>
      <c r="V53" s="4">
        <f t="shared" si="42"/>
        <v>0.40369279175611927</v>
      </c>
      <c r="W53" s="360">
        <f t="shared" si="10"/>
        <v>3.2593574023169898E-4</v>
      </c>
      <c r="X53" s="360">
        <f t="shared" si="43"/>
        <v>3.2593574023169898E-4</v>
      </c>
      <c r="Y53" s="4">
        <f t="shared" si="44"/>
        <v>1.6522274902605736</v>
      </c>
      <c r="Z53" s="360">
        <f t="shared" si="11"/>
        <v>2.7298556795727538E-3</v>
      </c>
      <c r="AA53" s="541">
        <f t="shared" si="45"/>
        <v>2.7298556795727538E-3</v>
      </c>
      <c r="AB53" s="360">
        <f t="shared" si="46"/>
        <v>1.8114593205675917</v>
      </c>
      <c r="AC53" s="360">
        <f t="shared" si="59"/>
        <v>1.9688309220427205E-2</v>
      </c>
      <c r="AD53" s="360">
        <f t="shared" si="60"/>
        <v>0.28720916891878562</v>
      </c>
      <c r="AE53" s="360">
        <f t="shared" si="61"/>
        <v>-0.52595999999999998</v>
      </c>
      <c r="AF53" s="360">
        <f t="shared" si="62"/>
        <v>0</v>
      </c>
      <c r="AG53" s="360" t="e">
        <f t="shared" si="63"/>
        <v>#VALUE!</v>
      </c>
      <c r="AH53" s="360">
        <f t="shared" si="64"/>
        <v>4.0300847385687382</v>
      </c>
      <c r="AI53" s="360">
        <f t="shared" si="65"/>
        <v>4.0603957500111643E-2</v>
      </c>
      <c r="AJ53" s="360">
        <f t="shared" si="66"/>
        <v>5.1743999999999998E-2</v>
      </c>
      <c r="AK53" s="360" t="e">
        <f t="shared" si="67"/>
        <v>#VALUE!</v>
      </c>
      <c r="AL53" s="360">
        <f t="shared" si="68"/>
        <v>5.1743999999999998E-2</v>
      </c>
      <c r="AM53" s="360">
        <f t="shared" si="69"/>
        <v>0.95040000000000002</v>
      </c>
      <c r="AN53" s="360">
        <f t="shared" si="70"/>
        <v>9.7614839350579269E-2</v>
      </c>
      <c r="AO53" s="360">
        <f t="shared" si="71"/>
        <v>2.0999999999999999E-3</v>
      </c>
      <c r="AP53" s="360">
        <f t="shared" si="72"/>
        <v>9.8999999999999991E-2</v>
      </c>
      <c r="AQ53" s="360">
        <f t="shared" si="26"/>
        <v>1.1483999999999999</v>
      </c>
      <c r="AR53" s="360">
        <f t="shared" si="73"/>
        <v>1.089</v>
      </c>
      <c r="AS53" s="360">
        <f t="shared" si="74"/>
        <v>0.1011</v>
      </c>
      <c r="AT53" s="360" t="e">
        <f t="shared" si="75"/>
        <v>#VALUE!</v>
      </c>
      <c r="AU53">
        <f t="shared" si="76"/>
        <v>44</v>
      </c>
      <c r="AV53" s="542" t="e">
        <f t="shared" si="47"/>
        <v>#VALUE!</v>
      </c>
      <c r="AW53" s="551" t="e">
        <f t="shared" si="77"/>
        <v>#VALUE!</v>
      </c>
      <c r="AX53" s="551" t="e">
        <f t="shared" si="78"/>
        <v>#VALUE!</v>
      </c>
      <c r="AY53" s="9"/>
      <c r="AZ53" s="4" t="e">
        <f t="shared" si="48"/>
        <v>#VALUE!</v>
      </c>
      <c r="BA53" s="360" t="e">
        <f t="shared" si="79"/>
        <v>#VALUE!</v>
      </c>
      <c r="BB53" s="360" t="e">
        <f t="shared" si="80"/>
        <v>#VALUE!</v>
      </c>
      <c r="BC53" s="360" t="e">
        <f t="shared" si="81"/>
        <v>#VALUE!</v>
      </c>
      <c r="BD53" s="360" t="e">
        <f t="shared" si="82"/>
        <v>#VALUE!</v>
      </c>
      <c r="BE53" s="360">
        <f t="shared" si="83"/>
        <v>9.7614839350579269E-2</v>
      </c>
    </row>
    <row r="54" spans="1:64" x14ac:dyDescent="0.2">
      <c r="A54" s="23" t="s">
        <v>73</v>
      </c>
      <c r="B54" s="5">
        <f>Qrr_Q2*1000000000</f>
        <v>59.999999999999993</v>
      </c>
      <c r="C54" s="440" t="s">
        <v>65</v>
      </c>
      <c r="D54" s="21" t="s">
        <v>110</v>
      </c>
      <c r="G54">
        <v>45</v>
      </c>
      <c r="H54" s="548">
        <f t="shared" si="49"/>
        <v>60</v>
      </c>
      <c r="I54" s="4">
        <f t="shared" si="50"/>
        <v>1</v>
      </c>
      <c r="J54" s="360">
        <f t="shared" si="84"/>
        <v>4.5</v>
      </c>
      <c r="K54" s="360">
        <f t="shared" si="51"/>
        <v>4.5</v>
      </c>
      <c r="L54" s="4">
        <f t="shared" si="52"/>
        <v>0.83333333333333337</v>
      </c>
      <c r="M54" s="360">
        <f t="shared" si="53"/>
        <v>0.16811025426306209</v>
      </c>
      <c r="N54" s="4">
        <f t="shared" si="54"/>
        <v>1.3986492970929658</v>
      </c>
      <c r="O54" s="4">
        <f t="shared" si="39"/>
        <v>5.199324648546483</v>
      </c>
      <c r="P54" s="4">
        <f t="shared" si="40"/>
        <v>3.800675351453517</v>
      </c>
      <c r="Q54" s="4">
        <f t="shared" si="55"/>
        <v>0</v>
      </c>
      <c r="R54" s="4">
        <f t="shared" si="41"/>
        <v>4.5180768388059631</v>
      </c>
      <c r="S54" s="360">
        <f t="shared" si="56"/>
        <v>0.24495621985625859</v>
      </c>
      <c r="T54" s="360">
        <f t="shared" si="57"/>
        <v>0.3</v>
      </c>
      <c r="U54" s="360" t="e">
        <f t="shared" si="58"/>
        <v>#VALUE!</v>
      </c>
      <c r="V54" s="4">
        <f t="shared" si="42"/>
        <v>0.40375527408925238</v>
      </c>
      <c r="W54" s="360">
        <f t="shared" si="10"/>
        <v>3.2603664270977465E-4</v>
      </c>
      <c r="X54" s="360">
        <f t="shared" si="43"/>
        <v>3.2603664270977465E-4</v>
      </c>
      <c r="Y54" s="4">
        <f t="shared" si="44"/>
        <v>1.68959883225185</v>
      </c>
      <c r="Z54" s="360">
        <f t="shared" si="11"/>
        <v>2.8547442139468153E-3</v>
      </c>
      <c r="AA54" s="541">
        <f t="shared" si="45"/>
        <v>2.8547442139468153E-3</v>
      </c>
      <c r="AB54" s="360">
        <f t="shared" si="46"/>
        <v>1.8524680024981579</v>
      </c>
      <c r="AC54" s="360">
        <f t="shared" si="59"/>
        <v>2.058982620167709E-2</v>
      </c>
      <c r="AD54" s="360">
        <f t="shared" si="60"/>
        <v>0.2937366500305762</v>
      </c>
      <c r="AE54" s="360">
        <f t="shared" si="61"/>
        <v>-0.52595999999999998</v>
      </c>
      <c r="AF54" s="360">
        <f t="shared" si="62"/>
        <v>0</v>
      </c>
      <c r="AG54" s="360" t="e">
        <f t="shared" si="63"/>
        <v>#VALUE!</v>
      </c>
      <c r="AH54" s="360">
        <f t="shared" si="64"/>
        <v>4.120847075672109</v>
      </c>
      <c r="AI54" s="360">
        <f t="shared" si="65"/>
        <v>4.2453451552688426E-2</v>
      </c>
      <c r="AJ54" s="360">
        <f t="shared" si="66"/>
        <v>5.2919999999999988E-2</v>
      </c>
      <c r="AK54" s="360" t="e">
        <f t="shared" si="67"/>
        <v>#VALUE!</v>
      </c>
      <c r="AL54" s="360">
        <f t="shared" si="68"/>
        <v>5.2919999999999988E-2</v>
      </c>
      <c r="AM54" s="360">
        <f t="shared" si="69"/>
        <v>0.97199999999999998</v>
      </c>
      <c r="AN54" s="360">
        <f t="shared" si="70"/>
        <v>0.10206509160677442</v>
      </c>
      <c r="AO54" s="360">
        <f t="shared" si="71"/>
        <v>2.0999999999999999E-3</v>
      </c>
      <c r="AP54" s="360">
        <f t="shared" si="72"/>
        <v>9.8999999999999991E-2</v>
      </c>
      <c r="AQ54" s="360">
        <f t="shared" si="26"/>
        <v>1.1483999999999999</v>
      </c>
      <c r="AR54" s="360">
        <f t="shared" si="73"/>
        <v>1.089</v>
      </c>
      <c r="AS54" s="360">
        <f t="shared" si="74"/>
        <v>0.1011</v>
      </c>
      <c r="AT54" s="360" t="e">
        <f t="shared" si="75"/>
        <v>#VALUE!</v>
      </c>
      <c r="AU54">
        <f t="shared" si="76"/>
        <v>45</v>
      </c>
      <c r="AV54" s="542" t="e">
        <f t="shared" si="47"/>
        <v>#VALUE!</v>
      </c>
      <c r="AW54" s="551" t="e">
        <f t="shared" si="77"/>
        <v>#VALUE!</v>
      </c>
      <c r="AX54" s="551" t="e">
        <f t="shared" si="78"/>
        <v>#VALUE!</v>
      </c>
      <c r="AY54" s="9"/>
      <c r="AZ54" s="4" t="e">
        <f t="shared" si="48"/>
        <v>#VALUE!</v>
      </c>
      <c r="BA54" s="360" t="e">
        <f t="shared" si="79"/>
        <v>#VALUE!</v>
      </c>
      <c r="BB54" s="360" t="e">
        <f t="shared" si="80"/>
        <v>#VALUE!</v>
      </c>
      <c r="BC54" s="360" t="e">
        <f t="shared" si="81"/>
        <v>#VALUE!</v>
      </c>
      <c r="BD54" s="360" t="e">
        <f t="shared" si="82"/>
        <v>#VALUE!</v>
      </c>
      <c r="BE54" s="360">
        <f t="shared" si="83"/>
        <v>0.10206509160677442</v>
      </c>
    </row>
    <row r="55" spans="1:64" x14ac:dyDescent="0.2">
      <c r="A55" s="23" t="s">
        <v>74</v>
      </c>
      <c r="B55" s="5">
        <f>Trr_Q2*1000000000</f>
        <v>40</v>
      </c>
      <c r="C55" s="440" t="s">
        <v>75</v>
      </c>
      <c r="D55" s="76" t="s">
        <v>106</v>
      </c>
      <c r="G55">
        <v>46</v>
      </c>
      <c r="H55" s="548">
        <f t="shared" si="49"/>
        <v>60</v>
      </c>
      <c r="I55" s="4">
        <f t="shared" si="50"/>
        <v>1</v>
      </c>
      <c r="J55" s="360">
        <f t="shared" si="84"/>
        <v>4.5999999999999996</v>
      </c>
      <c r="K55" s="360">
        <f t="shared" si="51"/>
        <v>4.5999999999999996</v>
      </c>
      <c r="L55" s="4">
        <f t="shared" si="52"/>
        <v>0.85185185185185186</v>
      </c>
      <c r="M55" s="360">
        <f t="shared" si="53"/>
        <v>0.16814233029868234</v>
      </c>
      <c r="N55" s="4">
        <f t="shared" si="54"/>
        <v>1.3988657216642308</v>
      </c>
      <c r="O55" s="4">
        <f t="shared" si="39"/>
        <v>5.2994328608321153</v>
      </c>
      <c r="P55" s="4">
        <f t="shared" si="40"/>
        <v>3.900567139167884</v>
      </c>
      <c r="Q55" s="4">
        <f t="shared" si="55"/>
        <v>0</v>
      </c>
      <c r="R55" s="4">
        <f t="shared" si="41"/>
        <v>4.6176908488555108</v>
      </c>
      <c r="S55" s="360">
        <f t="shared" si="56"/>
        <v>0.25587682530724715</v>
      </c>
      <c r="T55" s="360">
        <f t="shared" si="57"/>
        <v>0.3</v>
      </c>
      <c r="U55" s="360" t="e">
        <f t="shared" si="58"/>
        <v>#VALUE!</v>
      </c>
      <c r="V55" s="4">
        <f t="shared" si="42"/>
        <v>0.40381775048149193</v>
      </c>
      <c r="W55" s="360">
        <f t="shared" si="10"/>
        <v>3.2613755120786499E-4</v>
      </c>
      <c r="X55" s="360">
        <f t="shared" si="43"/>
        <v>3.2613755120786499E-4</v>
      </c>
      <c r="Y55" s="4">
        <f t="shared" si="44"/>
        <v>1.7269823436463867</v>
      </c>
      <c r="Z55" s="360">
        <f t="shared" si="11"/>
        <v>2.9824680152663666E-3</v>
      </c>
      <c r="AA55" s="541">
        <f t="shared" si="45"/>
        <v>2.9824680152663666E-3</v>
      </c>
      <c r="AB55" s="360">
        <f t="shared" si="46"/>
        <v>1.8934916089196474</v>
      </c>
      <c r="AC55" s="360">
        <f t="shared" si="59"/>
        <v>2.151186283829469E-2</v>
      </c>
      <c r="AD55" s="360">
        <f t="shared" si="60"/>
        <v>0.30026413114236677</v>
      </c>
      <c r="AE55" s="360">
        <f t="shared" si="61"/>
        <v>-0.52595999999999998</v>
      </c>
      <c r="AF55" s="360">
        <f t="shared" si="62"/>
        <v>0</v>
      </c>
      <c r="AG55" s="360" t="e">
        <f t="shared" si="63"/>
        <v>#VALUE!</v>
      </c>
      <c r="AH55" s="360">
        <f t="shared" si="64"/>
        <v>4.211621813809356</v>
      </c>
      <c r="AI55" s="360">
        <f t="shared" si="65"/>
        <v>4.4344395756387024E-2</v>
      </c>
      <c r="AJ55" s="360">
        <f t="shared" si="66"/>
        <v>5.4095999999999984E-2</v>
      </c>
      <c r="AK55" s="360" t="e">
        <f t="shared" si="67"/>
        <v>#VALUE!</v>
      </c>
      <c r="AL55" s="360">
        <f t="shared" si="68"/>
        <v>5.4095999999999984E-2</v>
      </c>
      <c r="AM55" s="360">
        <f t="shared" si="69"/>
        <v>0.99359999999999971</v>
      </c>
      <c r="AN55" s="360">
        <f t="shared" si="70"/>
        <v>0.10661534387801964</v>
      </c>
      <c r="AO55" s="360">
        <f t="shared" si="71"/>
        <v>2.0999999999999999E-3</v>
      </c>
      <c r="AP55" s="360">
        <f t="shared" si="72"/>
        <v>9.8999999999999991E-2</v>
      </c>
      <c r="AQ55" s="360">
        <f t="shared" si="26"/>
        <v>1.1483999999999999</v>
      </c>
      <c r="AR55" s="360">
        <f t="shared" si="73"/>
        <v>1.089</v>
      </c>
      <c r="AS55" s="360">
        <f t="shared" si="74"/>
        <v>0.1011</v>
      </c>
      <c r="AT55" s="360" t="e">
        <f t="shared" si="75"/>
        <v>#VALUE!</v>
      </c>
      <c r="AU55">
        <f t="shared" si="76"/>
        <v>46</v>
      </c>
      <c r="AV55" s="542" t="e">
        <f t="shared" si="47"/>
        <v>#VALUE!</v>
      </c>
      <c r="AW55" s="551" t="e">
        <f t="shared" si="77"/>
        <v>#VALUE!</v>
      </c>
      <c r="AX55" s="551" t="e">
        <f t="shared" si="78"/>
        <v>#VALUE!</v>
      </c>
      <c r="AY55" s="9"/>
      <c r="AZ55" s="4" t="e">
        <f t="shared" si="48"/>
        <v>#VALUE!</v>
      </c>
      <c r="BA55" s="360" t="e">
        <f t="shared" si="79"/>
        <v>#VALUE!</v>
      </c>
      <c r="BB55" s="360" t="e">
        <f t="shared" si="80"/>
        <v>#VALUE!</v>
      </c>
      <c r="BC55" s="360" t="e">
        <f t="shared" si="81"/>
        <v>#VALUE!</v>
      </c>
      <c r="BD55" s="360" t="e">
        <f t="shared" si="82"/>
        <v>#VALUE!</v>
      </c>
      <c r="BE55" s="360">
        <f t="shared" si="83"/>
        <v>0.10661534387801964</v>
      </c>
    </row>
    <row r="56" spans="1:64" ht="15.75" x14ac:dyDescent="0.3">
      <c r="A56" s="446" t="s">
        <v>471</v>
      </c>
      <c r="B56" s="5">
        <f>ThetaJA_Q2</f>
        <v>38</v>
      </c>
      <c r="C56" s="441" t="s">
        <v>205</v>
      </c>
      <c r="D56" s="76" t="s">
        <v>103</v>
      </c>
      <c r="E56" s="2"/>
      <c r="G56">
        <v>47</v>
      </c>
      <c r="H56" s="548">
        <f t="shared" si="49"/>
        <v>60</v>
      </c>
      <c r="I56" s="4">
        <f t="shared" si="50"/>
        <v>1</v>
      </c>
      <c r="J56" s="360">
        <f t="shared" si="84"/>
        <v>4.7</v>
      </c>
      <c r="K56" s="360">
        <f t="shared" si="51"/>
        <v>4.7</v>
      </c>
      <c r="L56" s="4">
        <f t="shared" si="52"/>
        <v>0.87037037037037035</v>
      </c>
      <c r="M56" s="360">
        <f t="shared" si="53"/>
        <v>0.16817440617394122</v>
      </c>
      <c r="N56" s="4">
        <f t="shared" si="54"/>
        <v>1.3990821256557906</v>
      </c>
      <c r="O56" s="4">
        <f t="shared" si="39"/>
        <v>5.399541062827895</v>
      </c>
      <c r="P56" s="4">
        <f t="shared" si="40"/>
        <v>4.0004589371721053</v>
      </c>
      <c r="Q56" s="4">
        <f t="shared" si="55"/>
        <v>0</v>
      </c>
      <c r="R56" s="4">
        <f t="shared" si="41"/>
        <v>4.7173211924630269</v>
      </c>
      <c r="S56" s="360">
        <f t="shared" si="56"/>
        <v>0.26703743079432951</v>
      </c>
      <c r="T56" s="360">
        <f t="shared" si="57"/>
        <v>0.3</v>
      </c>
      <c r="U56" s="360" t="e">
        <f t="shared" si="58"/>
        <v>#VALUE!</v>
      </c>
      <c r="V56" s="4">
        <f t="shared" si="42"/>
        <v>0.40388022093288228</v>
      </c>
      <c r="W56" s="360">
        <f t="shared" si="10"/>
        <v>3.2623846572158761E-4</v>
      </c>
      <c r="X56" s="360">
        <f t="shared" si="43"/>
        <v>3.2623846572158761E-4</v>
      </c>
      <c r="Y56" s="4">
        <f t="shared" si="44"/>
        <v>1.764377611240447</v>
      </c>
      <c r="Z56" s="360">
        <f t="shared" si="11"/>
        <v>3.1130283550465459E-3</v>
      </c>
      <c r="AA56" s="541">
        <f t="shared" si="45"/>
        <v>3.1130283550465459E-3</v>
      </c>
      <c r="AB56" s="360">
        <f t="shared" si="46"/>
        <v>1.9345296876771558</v>
      </c>
      <c r="AC56" s="360">
        <f t="shared" si="59"/>
        <v>2.2454430675025644E-2</v>
      </c>
      <c r="AD56" s="360">
        <f t="shared" si="60"/>
        <v>0.30679161225415735</v>
      </c>
      <c r="AE56" s="360">
        <f t="shared" si="61"/>
        <v>-0.52595999999999998</v>
      </c>
      <c r="AF56" s="360">
        <f t="shared" si="62"/>
        <v>0</v>
      </c>
      <c r="AG56" s="360" t="e">
        <f t="shared" si="63"/>
        <v>#VALUE!</v>
      </c>
      <c r="AH56" s="360">
        <f t="shared" si="64"/>
        <v>4.3024079444372214</v>
      </c>
      <c r="AI56" s="360">
        <f t="shared" si="65"/>
        <v>4.6276785300891292E-2</v>
      </c>
      <c r="AJ56" s="360">
        <f t="shared" si="66"/>
        <v>5.5271999999999995E-2</v>
      </c>
      <c r="AK56" s="360" t="e">
        <f t="shared" si="67"/>
        <v>#VALUE!</v>
      </c>
      <c r="AL56" s="360">
        <f t="shared" si="68"/>
        <v>5.5271999999999995E-2</v>
      </c>
      <c r="AM56" s="360">
        <f t="shared" si="69"/>
        <v>1.0152000000000001</v>
      </c>
      <c r="AN56" s="360">
        <f t="shared" si="70"/>
        <v>0.11126559616430397</v>
      </c>
      <c r="AO56" s="360">
        <f t="shared" si="71"/>
        <v>2.0999999999999999E-3</v>
      </c>
      <c r="AP56" s="360">
        <f t="shared" si="72"/>
        <v>9.8999999999999991E-2</v>
      </c>
      <c r="AQ56" s="360">
        <f t="shared" si="26"/>
        <v>1.1483999999999999</v>
      </c>
      <c r="AR56" s="360">
        <f t="shared" si="73"/>
        <v>1.089</v>
      </c>
      <c r="AS56" s="360">
        <f t="shared" si="74"/>
        <v>0.1011</v>
      </c>
      <c r="AT56" s="360" t="e">
        <f t="shared" si="75"/>
        <v>#VALUE!</v>
      </c>
      <c r="AU56">
        <f t="shared" si="76"/>
        <v>47</v>
      </c>
      <c r="AV56" s="542" t="e">
        <f t="shared" si="47"/>
        <v>#VALUE!</v>
      </c>
      <c r="AW56" s="551" t="e">
        <f t="shared" si="77"/>
        <v>#VALUE!</v>
      </c>
      <c r="AX56" s="551" t="e">
        <f t="shared" si="78"/>
        <v>#VALUE!</v>
      </c>
      <c r="AY56" s="9"/>
      <c r="AZ56" s="4" t="e">
        <f t="shared" si="48"/>
        <v>#VALUE!</v>
      </c>
      <c r="BA56" s="360" t="e">
        <f t="shared" si="79"/>
        <v>#VALUE!</v>
      </c>
      <c r="BB56" s="360" t="e">
        <f t="shared" si="80"/>
        <v>#VALUE!</v>
      </c>
      <c r="BC56" s="360" t="e">
        <f t="shared" si="81"/>
        <v>#VALUE!</v>
      </c>
      <c r="BD56" s="360" t="e">
        <f t="shared" si="82"/>
        <v>#VALUE!</v>
      </c>
      <c r="BE56" s="360">
        <f t="shared" si="83"/>
        <v>0.11126559616430397</v>
      </c>
      <c r="BK56" s="18"/>
      <c r="BL56" s="19"/>
    </row>
    <row r="57" spans="1:64" x14ac:dyDescent="0.2">
      <c r="A57" s="24" t="s">
        <v>224</v>
      </c>
      <c r="B57" s="15" t="s">
        <v>111</v>
      </c>
      <c r="C57" s="24" t="s">
        <v>76</v>
      </c>
      <c r="D57" s="24" t="s">
        <v>213</v>
      </c>
      <c r="G57">
        <v>48</v>
      </c>
      <c r="H57" s="548">
        <f t="shared" si="49"/>
        <v>60</v>
      </c>
      <c r="I57" s="4">
        <f t="shared" si="50"/>
        <v>1</v>
      </c>
      <c r="J57" s="360">
        <f t="shared" si="84"/>
        <v>4.8</v>
      </c>
      <c r="K57" s="360">
        <f t="shared" si="51"/>
        <v>4.8</v>
      </c>
      <c r="L57" s="4">
        <f t="shared" si="52"/>
        <v>0.88888888888888884</v>
      </c>
      <c r="M57" s="360">
        <f t="shared" si="53"/>
        <v>0.16820648188884002</v>
      </c>
      <c r="N57" s="4">
        <f t="shared" si="54"/>
        <v>1.3992985090678007</v>
      </c>
      <c r="O57" s="4">
        <f t="shared" si="39"/>
        <v>5.4996492545339004</v>
      </c>
      <c r="P57" s="4">
        <f t="shared" si="40"/>
        <v>4.1003507454660992</v>
      </c>
      <c r="Q57" s="4">
        <f t="shared" si="55"/>
        <v>0</v>
      </c>
      <c r="R57" s="4">
        <f t="shared" si="41"/>
        <v>4.8169668561370935</v>
      </c>
      <c r="S57" s="360">
        <f t="shared" si="56"/>
        <v>0.27843803631747932</v>
      </c>
      <c r="T57" s="360">
        <f t="shared" si="57"/>
        <v>0.3</v>
      </c>
      <c r="U57" s="360" t="e">
        <f t="shared" si="58"/>
        <v>#VALUE!</v>
      </c>
      <c r="V57" s="4">
        <f t="shared" si="42"/>
        <v>0.4039426854434684</v>
      </c>
      <c r="W57" s="360">
        <f t="shared" si="10"/>
        <v>3.2633938624656173E-4</v>
      </c>
      <c r="X57" s="360">
        <f t="shared" si="43"/>
        <v>3.2633938624656173E-4</v>
      </c>
      <c r="Y57" s="4">
        <f t="shared" si="44"/>
        <v>1.8017842558261279</v>
      </c>
      <c r="Z57" s="360">
        <f t="shared" si="11"/>
        <v>3.2464265045429133E-3</v>
      </c>
      <c r="AA57" s="541">
        <f t="shared" si="45"/>
        <v>3.2464265045429133E-3</v>
      </c>
      <c r="AB57" s="360">
        <f t="shared" si="46"/>
        <v>1.975581823855955</v>
      </c>
      <c r="AC57" s="360">
        <f t="shared" si="59"/>
        <v>2.341754125650013E-2</v>
      </c>
      <c r="AD57" s="360">
        <f t="shared" si="60"/>
        <v>0.31331909336594793</v>
      </c>
      <c r="AE57" s="360">
        <f t="shared" si="61"/>
        <v>-0.52595999999999998</v>
      </c>
      <c r="AF57" s="360">
        <f t="shared" si="62"/>
        <v>0</v>
      </c>
      <c r="AG57" s="360" t="e">
        <f t="shared" si="63"/>
        <v>#VALUE!</v>
      </c>
      <c r="AH57" s="360">
        <f t="shared" si="64"/>
        <v>4.3932045422872417</v>
      </c>
      <c r="AI57" s="360">
        <f t="shared" si="65"/>
        <v>4.8250615375933129E-2</v>
      </c>
      <c r="AJ57" s="360">
        <f t="shared" si="66"/>
        <v>5.6447999999999984E-2</v>
      </c>
      <c r="AK57" s="360" t="e">
        <f t="shared" si="67"/>
        <v>#VALUE!</v>
      </c>
      <c r="AL57" s="360">
        <f t="shared" si="68"/>
        <v>5.6447999999999984E-2</v>
      </c>
      <c r="AM57" s="360">
        <f t="shared" si="69"/>
        <v>1.0367999999999999</v>
      </c>
      <c r="AN57" s="360">
        <f t="shared" si="70"/>
        <v>0.11601584846561638</v>
      </c>
      <c r="AO57" s="360">
        <f t="shared" si="71"/>
        <v>2.0999999999999999E-3</v>
      </c>
      <c r="AP57" s="360">
        <f t="shared" si="72"/>
        <v>9.8999999999999991E-2</v>
      </c>
      <c r="AQ57" s="360">
        <f t="shared" si="26"/>
        <v>1.1483999999999999</v>
      </c>
      <c r="AR57" s="360">
        <f t="shared" si="73"/>
        <v>1.089</v>
      </c>
      <c r="AS57" s="360">
        <f t="shared" si="74"/>
        <v>0.1011</v>
      </c>
      <c r="AT57" s="360" t="e">
        <f t="shared" si="75"/>
        <v>#VALUE!</v>
      </c>
      <c r="AU57">
        <f t="shared" si="76"/>
        <v>48</v>
      </c>
      <c r="AV57" s="542" t="e">
        <f t="shared" si="47"/>
        <v>#VALUE!</v>
      </c>
      <c r="AW57" s="551" t="e">
        <f t="shared" si="77"/>
        <v>#VALUE!</v>
      </c>
      <c r="AX57" s="551" t="e">
        <f t="shared" si="78"/>
        <v>#VALUE!</v>
      </c>
      <c r="AY57" s="9"/>
      <c r="AZ57" s="4" t="e">
        <f t="shared" si="48"/>
        <v>#VALUE!</v>
      </c>
      <c r="BA57" s="360" t="e">
        <f t="shared" si="79"/>
        <v>#VALUE!</v>
      </c>
      <c r="BB57" s="360" t="e">
        <f t="shared" si="80"/>
        <v>#VALUE!</v>
      </c>
      <c r="BC57" s="360" t="e">
        <f t="shared" si="81"/>
        <v>#VALUE!</v>
      </c>
      <c r="BD57" s="360" t="e">
        <f t="shared" si="82"/>
        <v>#VALUE!</v>
      </c>
      <c r="BE57" s="360">
        <f t="shared" si="83"/>
        <v>0.11601584846561638</v>
      </c>
      <c r="BK57" s="18"/>
      <c r="BL57" s="19"/>
    </row>
    <row r="58" spans="1:64" x14ac:dyDescent="0.2">
      <c r="A58" s="23" t="s">
        <v>195</v>
      </c>
      <c r="B58" s="73">
        <f>VfdSky_Q2</f>
        <v>0</v>
      </c>
      <c r="C58" s="440" t="s">
        <v>0</v>
      </c>
      <c r="D58" s="76" t="s">
        <v>198</v>
      </c>
      <c r="G58">
        <v>49</v>
      </c>
      <c r="H58" s="548">
        <f t="shared" si="49"/>
        <v>60</v>
      </c>
      <c r="I58" s="4">
        <f t="shared" si="50"/>
        <v>1</v>
      </c>
      <c r="J58" s="360">
        <f t="shared" si="84"/>
        <v>4.9000000000000004</v>
      </c>
      <c r="K58" s="360">
        <f t="shared" si="51"/>
        <v>4.9000000000000004</v>
      </c>
      <c r="L58" s="4">
        <f t="shared" si="52"/>
        <v>0.90740740740740744</v>
      </c>
      <c r="M58" s="360">
        <f t="shared" si="53"/>
        <v>0.16823855744337984</v>
      </c>
      <c r="N58" s="4">
        <f t="shared" si="54"/>
        <v>1.399514871900414</v>
      </c>
      <c r="O58" s="4">
        <f t="shared" si="39"/>
        <v>5.5997574359502078</v>
      </c>
      <c r="P58" s="4">
        <f t="shared" si="40"/>
        <v>4.2002425640497929</v>
      </c>
      <c r="Q58" s="4">
        <f t="shared" si="55"/>
        <v>0</v>
      </c>
      <c r="R58" s="4">
        <f t="shared" si="41"/>
        <v>4.9166269083986034</v>
      </c>
      <c r="S58" s="360">
        <f t="shared" si="56"/>
        <v>0.29007864187667054</v>
      </c>
      <c r="T58" s="360">
        <f t="shared" si="57"/>
        <v>0.3</v>
      </c>
      <c r="U58" s="360" t="e">
        <f t="shared" si="58"/>
        <v>#VALUE!</v>
      </c>
      <c r="V58" s="4">
        <f t="shared" si="42"/>
        <v>0.40400514401329435</v>
      </c>
      <c r="W58" s="360">
        <f t="shared" si="10"/>
        <v>3.2644031277840539E-4</v>
      </c>
      <c r="X58" s="360">
        <f t="shared" si="43"/>
        <v>3.2644031277840539E-4</v>
      </c>
      <c r="Y58" s="4">
        <f t="shared" si="44"/>
        <v>1.8392019287591694</v>
      </c>
      <c r="Z58" s="360">
        <f t="shared" si="11"/>
        <v>3.3826637347514491E-3</v>
      </c>
      <c r="AA58" s="541">
        <f t="shared" si="45"/>
        <v>3.3826637347514491E-3</v>
      </c>
      <c r="AB58" s="360">
        <f t="shared" si="46"/>
        <v>2.01664763602176</v>
      </c>
      <c r="AC58" s="360">
        <f t="shared" si="59"/>
        <v>2.440120612723292E-2</v>
      </c>
      <c r="AD58" s="360">
        <f t="shared" si="60"/>
        <v>0.31984657447773851</v>
      </c>
      <c r="AE58" s="360">
        <f t="shared" si="61"/>
        <v>-0.52595999999999998</v>
      </c>
      <c r="AF58" s="360">
        <f t="shared" si="62"/>
        <v>0</v>
      </c>
      <c r="AG58" s="360" t="e">
        <f t="shared" si="63"/>
        <v>#VALUE!</v>
      </c>
      <c r="AH58" s="360">
        <f t="shared" si="64"/>
        <v>4.4840107569582228</v>
      </c>
      <c r="AI58" s="360">
        <f t="shared" si="65"/>
        <v>5.0265881171292638E-2</v>
      </c>
      <c r="AJ58" s="360">
        <f t="shared" si="66"/>
        <v>5.7623999999999995E-2</v>
      </c>
      <c r="AK58" s="360" t="e">
        <f t="shared" si="67"/>
        <v>#VALUE!</v>
      </c>
      <c r="AL58" s="360">
        <f t="shared" si="68"/>
        <v>5.7623999999999995E-2</v>
      </c>
      <c r="AM58" s="360">
        <f t="shared" si="69"/>
        <v>1.0584</v>
      </c>
      <c r="AN58" s="360">
        <f t="shared" si="70"/>
        <v>0.12086610078194605</v>
      </c>
      <c r="AO58" s="360">
        <f t="shared" si="71"/>
        <v>2.0999999999999999E-3</v>
      </c>
      <c r="AP58" s="360">
        <f t="shared" si="72"/>
        <v>9.8999999999999991E-2</v>
      </c>
      <c r="AQ58" s="360">
        <f t="shared" si="26"/>
        <v>1.1483999999999999</v>
      </c>
      <c r="AR58" s="360">
        <f t="shared" si="73"/>
        <v>1.089</v>
      </c>
      <c r="AS58" s="360">
        <f t="shared" si="74"/>
        <v>0.1011</v>
      </c>
      <c r="AT58" s="360" t="e">
        <f t="shared" si="75"/>
        <v>#VALUE!</v>
      </c>
      <c r="AU58">
        <f t="shared" si="76"/>
        <v>49</v>
      </c>
      <c r="AV58" s="542" t="e">
        <f t="shared" si="47"/>
        <v>#VALUE!</v>
      </c>
      <c r="AW58" s="551" t="e">
        <f t="shared" si="77"/>
        <v>#VALUE!</v>
      </c>
      <c r="AX58" s="551" t="e">
        <f t="shared" si="78"/>
        <v>#VALUE!</v>
      </c>
      <c r="AY58" s="9"/>
      <c r="AZ58" s="4" t="e">
        <f t="shared" si="48"/>
        <v>#VALUE!</v>
      </c>
      <c r="BA58" s="360" t="e">
        <f t="shared" si="79"/>
        <v>#VALUE!</v>
      </c>
      <c r="BB58" s="360" t="e">
        <f t="shared" si="80"/>
        <v>#VALUE!</v>
      </c>
      <c r="BC58" s="360" t="e">
        <f t="shared" si="81"/>
        <v>#VALUE!</v>
      </c>
      <c r="BD58" s="360" t="e">
        <f t="shared" si="82"/>
        <v>#VALUE!</v>
      </c>
      <c r="BE58" s="360">
        <f t="shared" si="83"/>
        <v>0.12086610078194605</v>
      </c>
      <c r="BK58" s="18"/>
      <c r="BL58" s="19"/>
    </row>
    <row r="59" spans="1:64" x14ac:dyDescent="0.2">
      <c r="A59" s="23" t="s">
        <v>196</v>
      </c>
      <c r="B59" s="73">
        <f>QrrSky_Q2*1000000000</f>
        <v>0</v>
      </c>
      <c r="C59" s="440" t="s">
        <v>65</v>
      </c>
      <c r="D59" s="76" t="s">
        <v>199</v>
      </c>
      <c r="G59">
        <v>50</v>
      </c>
      <c r="H59" s="548">
        <f t="shared" si="49"/>
        <v>60</v>
      </c>
      <c r="I59" s="4">
        <f t="shared" si="50"/>
        <v>1</v>
      </c>
      <c r="J59" s="360">
        <f t="shared" si="84"/>
        <v>5</v>
      </c>
      <c r="K59" s="360">
        <f t="shared" si="51"/>
        <v>5</v>
      </c>
      <c r="L59" s="4">
        <f t="shared" si="52"/>
        <v>0.92592592592592593</v>
      </c>
      <c r="M59" s="360">
        <f t="shared" si="53"/>
        <v>0.16827063283756197</v>
      </c>
      <c r="N59" s="4">
        <f t="shared" si="54"/>
        <v>1.3997312141537861</v>
      </c>
      <c r="O59" s="4">
        <f t="shared" si="39"/>
        <v>5.6998656070768927</v>
      </c>
      <c r="P59" s="4">
        <f t="shared" si="40"/>
        <v>4.3001343929231073</v>
      </c>
      <c r="Q59" s="4">
        <f t="shared" si="55"/>
        <v>0</v>
      </c>
      <c r="R59" s="4">
        <f t="shared" si="41"/>
        <v>5.0163004916627925</v>
      </c>
      <c r="S59" s="360">
        <f t="shared" si="56"/>
        <v>0.30195924747187647</v>
      </c>
      <c r="T59" s="360">
        <f t="shared" si="57"/>
        <v>0.3</v>
      </c>
      <c r="U59" s="360" t="e">
        <f t="shared" si="58"/>
        <v>#VALUE!</v>
      </c>
      <c r="V59" s="4">
        <f t="shared" si="42"/>
        <v>0.4040675966424051</v>
      </c>
      <c r="W59" s="360">
        <f t="shared" si="10"/>
        <v>3.2654124531273878E-4</v>
      </c>
      <c r="X59" s="360">
        <f t="shared" si="43"/>
        <v>3.2654124531273878E-4</v>
      </c>
      <c r="Y59" s="4">
        <f t="shared" si="44"/>
        <v>1.8766303089336906</v>
      </c>
      <c r="Z59" s="360">
        <f t="shared" si="11"/>
        <v>3.5217413164085596E-3</v>
      </c>
      <c r="AA59" s="541">
        <f t="shared" si="45"/>
        <v>3.5217413164085596E-3</v>
      </c>
      <c r="AB59" s="360">
        <f t="shared" si="46"/>
        <v>2.0577267729067481</v>
      </c>
      <c r="AC59" s="360">
        <f t="shared" si="59"/>
        <v>2.5405436831623319E-2</v>
      </c>
      <c r="AD59" s="360">
        <f t="shared" si="60"/>
        <v>0.32637405558952909</v>
      </c>
      <c r="AE59" s="360">
        <f t="shared" si="61"/>
        <v>-0.52595999999999998</v>
      </c>
      <c r="AF59" s="360">
        <f t="shared" si="62"/>
        <v>0</v>
      </c>
      <c r="AG59" s="360" t="e">
        <f t="shared" si="63"/>
        <v>#VALUE!</v>
      </c>
      <c r="AH59" s="360">
        <f t="shared" si="64"/>
        <v>4.5748258055055118</v>
      </c>
      <c r="AI59" s="360">
        <f t="shared" si="65"/>
        <v>5.2322577876797886E-2</v>
      </c>
      <c r="AJ59" s="360">
        <f t="shared" si="66"/>
        <v>5.8799999999999991E-2</v>
      </c>
      <c r="AK59" s="360" t="e">
        <f t="shared" si="67"/>
        <v>#VALUE!</v>
      </c>
      <c r="AL59" s="360">
        <f t="shared" si="68"/>
        <v>5.8799999999999991E-2</v>
      </c>
      <c r="AM59" s="360">
        <f t="shared" si="69"/>
        <v>1.0799999999999998</v>
      </c>
      <c r="AN59" s="360">
        <f t="shared" si="70"/>
        <v>0.12581635311328188</v>
      </c>
      <c r="AO59" s="360">
        <f t="shared" si="71"/>
        <v>2.0999999999999999E-3</v>
      </c>
      <c r="AP59" s="360">
        <f t="shared" si="72"/>
        <v>9.8999999999999991E-2</v>
      </c>
      <c r="AQ59" s="360">
        <f t="shared" si="26"/>
        <v>1.1483999999999999</v>
      </c>
      <c r="AR59" s="360">
        <f t="shared" si="73"/>
        <v>1.089</v>
      </c>
      <c r="AS59" s="360">
        <f t="shared" si="74"/>
        <v>0.1011</v>
      </c>
      <c r="AT59" s="360" t="e">
        <f t="shared" si="75"/>
        <v>#VALUE!</v>
      </c>
      <c r="AU59">
        <f t="shared" si="76"/>
        <v>50</v>
      </c>
      <c r="AV59" s="542" t="e">
        <f t="shared" si="47"/>
        <v>#VALUE!</v>
      </c>
      <c r="AW59" s="551" t="e">
        <f t="shared" si="77"/>
        <v>#VALUE!</v>
      </c>
      <c r="AX59" s="551" t="e">
        <f t="shared" si="78"/>
        <v>#VALUE!</v>
      </c>
      <c r="AY59" s="9"/>
      <c r="AZ59" s="4" t="e">
        <f t="shared" si="48"/>
        <v>#VALUE!</v>
      </c>
      <c r="BA59" s="360" t="e">
        <f t="shared" si="79"/>
        <v>#VALUE!</v>
      </c>
      <c r="BB59" s="360" t="e">
        <f t="shared" si="80"/>
        <v>#VALUE!</v>
      </c>
      <c r="BC59" s="360" t="e">
        <f t="shared" si="81"/>
        <v>#VALUE!</v>
      </c>
      <c r="BD59" s="360" t="e">
        <f t="shared" si="82"/>
        <v>#VALUE!</v>
      </c>
      <c r="BE59" s="360">
        <f t="shared" si="83"/>
        <v>0.12581635311328188</v>
      </c>
      <c r="BK59" s="18"/>
      <c r="BL59" s="19"/>
    </row>
    <row r="60" spans="1:64" x14ac:dyDescent="0.2">
      <c r="A60" s="23" t="s">
        <v>197</v>
      </c>
      <c r="B60" s="73">
        <f>Ireverse</f>
        <v>0</v>
      </c>
      <c r="C60" s="440" t="s">
        <v>64</v>
      </c>
      <c r="D60" s="76" t="s">
        <v>200</v>
      </c>
      <c r="E60" s="2"/>
      <c r="G60">
        <v>51</v>
      </c>
      <c r="H60" s="548">
        <f t="shared" si="49"/>
        <v>60</v>
      </c>
      <c r="I60" s="4">
        <f t="shared" si="50"/>
        <v>1</v>
      </c>
      <c r="J60" s="360">
        <f t="shared" si="84"/>
        <v>5.0999999999999996</v>
      </c>
      <c r="K60" s="360">
        <f t="shared" si="51"/>
        <v>5.0999999999999996</v>
      </c>
      <c r="L60" s="4">
        <f t="shared" si="52"/>
        <v>0.94444444444444442</v>
      </c>
      <c r="M60" s="360">
        <f t="shared" si="53"/>
        <v>0.16830270807138756</v>
      </c>
      <c r="N60" s="4">
        <f t="shared" si="54"/>
        <v>1.3999475358280706</v>
      </c>
      <c r="O60" s="4">
        <f t="shared" si="39"/>
        <v>5.7999737679140351</v>
      </c>
      <c r="P60" s="4">
        <f t="shared" si="40"/>
        <v>4.4000262320859642</v>
      </c>
      <c r="Q60" s="4">
        <f t="shared" si="55"/>
        <v>0</v>
      </c>
      <c r="R60" s="4">
        <f t="shared" si="41"/>
        <v>5.1159868150653587</v>
      </c>
      <c r="S60" s="360">
        <f t="shared" si="56"/>
        <v>0.31407985310307113</v>
      </c>
      <c r="T60" s="360">
        <f t="shared" si="57"/>
        <v>0.3</v>
      </c>
      <c r="U60" s="360" t="e">
        <f t="shared" si="58"/>
        <v>#VALUE!</v>
      </c>
      <c r="V60" s="4">
        <f t="shared" si="42"/>
        <v>0.40413004333084496</v>
      </c>
      <c r="W60" s="360">
        <f t="shared" si="10"/>
        <v>3.2664218384518125E-4</v>
      </c>
      <c r="X60" s="360">
        <f t="shared" si="43"/>
        <v>3.2664218384518125E-4</v>
      </c>
      <c r="Y60" s="4">
        <f t="shared" si="44"/>
        <v>1.9140691001087426</v>
      </c>
      <c r="Z60" s="360">
        <f t="shared" si="11"/>
        <v>3.6636605199910923E-3</v>
      </c>
      <c r="AA60" s="541">
        <f t="shared" si="45"/>
        <v>3.6636605199910923E-3</v>
      </c>
      <c r="AB60" s="360">
        <f t="shared" si="46"/>
        <v>2.0988189104809729</v>
      </c>
      <c r="AC60" s="360">
        <f t="shared" si="59"/>
        <v>2.643024491395523E-2</v>
      </c>
      <c r="AD60" s="360">
        <f t="shared" si="60"/>
        <v>0.33290153670131967</v>
      </c>
      <c r="AE60" s="360">
        <f t="shared" si="61"/>
        <v>-0.52595999999999998</v>
      </c>
      <c r="AF60" s="360">
        <f t="shared" si="62"/>
        <v>0</v>
      </c>
      <c r="AG60" s="360" t="e">
        <f t="shared" si="63"/>
        <v>#VALUE!</v>
      </c>
      <c r="AH60" s="360">
        <f t="shared" si="64"/>
        <v>4.6656489658921032</v>
      </c>
      <c r="AI60" s="360">
        <f t="shared" si="65"/>
        <v>5.4420700682325129E-2</v>
      </c>
      <c r="AJ60" s="360">
        <f t="shared" si="66"/>
        <v>5.9975999999999988E-2</v>
      </c>
      <c r="AK60" s="360" t="e">
        <f t="shared" si="67"/>
        <v>#VALUE!</v>
      </c>
      <c r="AL60" s="360">
        <f t="shared" si="68"/>
        <v>5.9975999999999988E-2</v>
      </c>
      <c r="AM60" s="360">
        <f t="shared" si="69"/>
        <v>1.1015999999999999</v>
      </c>
      <c r="AN60" s="360">
        <f t="shared" si="70"/>
        <v>0.13086660545961296</v>
      </c>
      <c r="AO60" s="360">
        <f t="shared" si="71"/>
        <v>2.0999999999999999E-3</v>
      </c>
      <c r="AP60" s="360">
        <f t="shared" si="72"/>
        <v>9.8999999999999991E-2</v>
      </c>
      <c r="AQ60" s="360">
        <f t="shared" si="26"/>
        <v>1.1483999999999999</v>
      </c>
      <c r="AR60" s="360">
        <f t="shared" si="73"/>
        <v>1.089</v>
      </c>
      <c r="AS60" s="360">
        <f t="shared" si="74"/>
        <v>0.1011</v>
      </c>
      <c r="AT60" s="360" t="e">
        <f t="shared" si="75"/>
        <v>#VALUE!</v>
      </c>
      <c r="AU60">
        <f t="shared" si="76"/>
        <v>51</v>
      </c>
      <c r="AV60" s="542" t="e">
        <f t="shared" si="47"/>
        <v>#VALUE!</v>
      </c>
      <c r="AW60" s="551" t="e">
        <f t="shared" si="77"/>
        <v>#VALUE!</v>
      </c>
      <c r="AX60" s="551" t="e">
        <f t="shared" si="78"/>
        <v>#VALUE!</v>
      </c>
      <c r="AY60" s="9"/>
      <c r="AZ60" s="4" t="e">
        <f t="shared" si="48"/>
        <v>#VALUE!</v>
      </c>
      <c r="BA60" s="360" t="e">
        <f t="shared" si="79"/>
        <v>#VALUE!</v>
      </c>
      <c r="BB60" s="360" t="e">
        <f t="shared" si="80"/>
        <v>#VALUE!</v>
      </c>
      <c r="BC60" s="360" t="e">
        <f t="shared" si="81"/>
        <v>#VALUE!</v>
      </c>
      <c r="BD60" s="360" t="e">
        <f t="shared" si="82"/>
        <v>#VALUE!</v>
      </c>
      <c r="BE60" s="360">
        <f t="shared" si="83"/>
        <v>0.13086660545961296</v>
      </c>
      <c r="BK60" s="18"/>
      <c r="BL60" s="19"/>
    </row>
    <row r="61" spans="1:64" x14ac:dyDescent="0.2">
      <c r="A61" s="24" t="s">
        <v>117</v>
      </c>
      <c r="B61" s="15" t="s">
        <v>111</v>
      </c>
      <c r="C61" s="24" t="s">
        <v>76</v>
      </c>
      <c r="D61" s="24" t="s">
        <v>213</v>
      </c>
      <c r="G61">
        <v>52</v>
      </c>
      <c r="H61" s="548">
        <f t="shared" si="49"/>
        <v>60</v>
      </c>
      <c r="I61" s="4">
        <f t="shared" si="50"/>
        <v>1</v>
      </c>
      <c r="J61" s="360">
        <f t="shared" si="84"/>
        <v>5.2</v>
      </c>
      <c r="K61" s="360">
        <f t="shared" si="51"/>
        <v>5.2</v>
      </c>
      <c r="L61" s="4">
        <f t="shared" si="52"/>
        <v>0.96296296296296291</v>
      </c>
      <c r="M61" s="360">
        <f t="shared" si="53"/>
        <v>0.16833478314485784</v>
      </c>
      <c r="N61" s="4">
        <f t="shared" si="54"/>
        <v>1.4001638369234219</v>
      </c>
      <c r="O61" s="4">
        <f t="shared" si="39"/>
        <v>5.9000819184617113</v>
      </c>
      <c r="P61" s="4">
        <f t="shared" si="40"/>
        <v>4.4999180815382891</v>
      </c>
      <c r="Q61" s="4">
        <f t="shared" si="55"/>
        <v>0</v>
      </c>
      <c r="R61" s="4">
        <f t="shared" si="41"/>
        <v>5.2156851481071671</v>
      </c>
      <c r="S61" s="360">
        <f t="shared" si="56"/>
        <v>0.32644045877022815</v>
      </c>
      <c r="T61" s="360">
        <f t="shared" si="57"/>
        <v>0.3</v>
      </c>
      <c r="U61" s="360" t="e">
        <f t="shared" si="58"/>
        <v>#VALUE!</v>
      </c>
      <c r="V61" s="4">
        <f t="shared" si="42"/>
        <v>0.40419248407865849</v>
      </c>
      <c r="W61" s="360">
        <f t="shared" si="10"/>
        <v>3.2674312837135315E-4</v>
      </c>
      <c r="X61" s="360">
        <f t="shared" si="43"/>
        <v>3.2674312837135315E-4</v>
      </c>
      <c r="Y61" s="4">
        <f t="shared" si="44"/>
        <v>1.9515180285399187</v>
      </c>
      <c r="Z61" s="360">
        <f t="shared" si="11"/>
        <v>3.8084226157163309E-3</v>
      </c>
      <c r="AA61" s="541">
        <f t="shared" si="45"/>
        <v>3.8084226157163309E-3</v>
      </c>
      <c r="AB61" s="360">
        <f t="shared" si="46"/>
        <v>2.1399237493579504</v>
      </c>
      <c r="AC61" s="360">
        <f t="shared" si="59"/>
        <v>2.7475641918397131E-2</v>
      </c>
      <c r="AD61" s="360">
        <f t="shared" si="60"/>
        <v>0.33942901781311025</v>
      </c>
      <c r="AE61" s="360">
        <f t="shared" si="61"/>
        <v>-0.52595999999999998</v>
      </c>
      <c r="AF61" s="360">
        <f t="shared" si="62"/>
        <v>0</v>
      </c>
      <c r="AG61" s="360" t="e">
        <f t="shared" si="63"/>
        <v>#VALUE!</v>
      </c>
      <c r="AH61" s="360">
        <f t="shared" si="64"/>
        <v>4.7564795711870236</v>
      </c>
      <c r="AI61" s="360">
        <f t="shared" si="65"/>
        <v>5.6560244777798731E-2</v>
      </c>
      <c r="AJ61" s="360">
        <f t="shared" si="66"/>
        <v>6.1151999999999991E-2</v>
      </c>
      <c r="AK61" s="360" t="e">
        <f t="shared" si="67"/>
        <v>#VALUE!</v>
      </c>
      <c r="AL61" s="360">
        <f t="shared" si="68"/>
        <v>6.1151999999999991E-2</v>
      </c>
      <c r="AM61" s="360">
        <f t="shared" si="69"/>
        <v>1.1232</v>
      </c>
      <c r="AN61" s="360">
        <f t="shared" si="70"/>
        <v>0.1360168578209284</v>
      </c>
      <c r="AO61" s="360">
        <f t="shared" si="71"/>
        <v>2.0999999999999999E-3</v>
      </c>
      <c r="AP61" s="360">
        <f t="shared" si="72"/>
        <v>9.8999999999999991E-2</v>
      </c>
      <c r="AQ61" s="360">
        <f t="shared" si="26"/>
        <v>1.1483999999999999</v>
      </c>
      <c r="AR61" s="360">
        <f t="shared" si="73"/>
        <v>1.089</v>
      </c>
      <c r="AS61" s="360">
        <f t="shared" si="74"/>
        <v>0.1011</v>
      </c>
      <c r="AT61" s="360" t="e">
        <f t="shared" si="75"/>
        <v>#VALUE!</v>
      </c>
      <c r="AU61">
        <f t="shared" si="76"/>
        <v>52</v>
      </c>
      <c r="AV61" s="542" t="e">
        <f t="shared" si="47"/>
        <v>#VALUE!</v>
      </c>
      <c r="AW61" s="551" t="e">
        <f t="shared" si="77"/>
        <v>#VALUE!</v>
      </c>
      <c r="AX61" s="551" t="e">
        <f t="shared" si="78"/>
        <v>#VALUE!</v>
      </c>
      <c r="AY61" s="9"/>
      <c r="AZ61" s="4" t="e">
        <f t="shared" si="48"/>
        <v>#VALUE!</v>
      </c>
      <c r="BA61" s="360" t="e">
        <f t="shared" si="79"/>
        <v>#VALUE!</v>
      </c>
      <c r="BB61" s="360" t="e">
        <f t="shared" si="80"/>
        <v>#VALUE!</v>
      </c>
      <c r="BC61" s="360" t="e">
        <f t="shared" si="81"/>
        <v>#VALUE!</v>
      </c>
      <c r="BD61" s="360" t="e">
        <f t="shared" si="82"/>
        <v>#VALUE!</v>
      </c>
      <c r="BE61" s="360">
        <f t="shared" si="83"/>
        <v>0.1360168578209284</v>
      </c>
      <c r="BK61" s="18"/>
      <c r="BL61" s="19"/>
    </row>
    <row r="62" spans="1:64" ht="15.75" x14ac:dyDescent="0.3">
      <c r="A62" s="446" t="s">
        <v>470</v>
      </c>
      <c r="B62" s="74">
        <v>30</v>
      </c>
      <c r="C62" s="441" t="s">
        <v>205</v>
      </c>
      <c r="D62" s="76" t="s">
        <v>103</v>
      </c>
      <c r="G62">
        <v>53</v>
      </c>
      <c r="H62" s="548">
        <f t="shared" si="49"/>
        <v>60</v>
      </c>
      <c r="I62" s="4">
        <f t="shared" si="50"/>
        <v>1</v>
      </c>
      <c r="J62" s="360">
        <f t="shared" si="84"/>
        <v>5.3</v>
      </c>
      <c r="K62" s="360">
        <f t="shared" si="51"/>
        <v>5.3</v>
      </c>
      <c r="L62" s="4">
        <f t="shared" si="52"/>
        <v>0.98148148148148151</v>
      </c>
      <c r="M62" s="360">
        <f t="shared" si="53"/>
        <v>0.16836685805797399</v>
      </c>
      <c r="N62" s="4">
        <f t="shared" si="54"/>
        <v>1.4003801174399946</v>
      </c>
      <c r="O62" s="4">
        <f t="shared" si="39"/>
        <v>6.0001900587199968</v>
      </c>
      <c r="P62" s="4">
        <f t="shared" si="40"/>
        <v>4.5998099412800029</v>
      </c>
      <c r="Q62" s="4">
        <f t="shared" si="55"/>
        <v>0</v>
      </c>
      <c r="R62" s="4">
        <f t="shared" si="41"/>
        <v>5.3153948150107757</v>
      </c>
      <c r="S62" s="360">
        <f t="shared" si="56"/>
        <v>0.33904106447332127</v>
      </c>
      <c r="T62" s="360">
        <f t="shared" si="57"/>
        <v>0.3</v>
      </c>
      <c r="U62" s="360" t="e">
        <f t="shared" si="58"/>
        <v>#VALUE!</v>
      </c>
      <c r="V62" s="4">
        <f t="shared" si="42"/>
        <v>0.40425491888589032</v>
      </c>
      <c r="W62" s="360">
        <f t="shared" si="10"/>
        <v>3.2684407888687556E-4</v>
      </c>
      <c r="X62" s="360">
        <f t="shared" si="43"/>
        <v>3.2684407888687556E-4</v>
      </c>
      <c r="Y62" s="4">
        <f t="shared" si="44"/>
        <v>1.9889768408762354</v>
      </c>
      <c r="Z62" s="360">
        <f t="shared" si="11"/>
        <v>3.956028873542009E-3</v>
      </c>
      <c r="AA62" s="541">
        <f t="shared" si="45"/>
        <v>3.956028873542009E-3</v>
      </c>
      <c r="AB62" s="360">
        <f t="shared" si="46"/>
        <v>2.1810410124908262</v>
      </c>
      <c r="AC62" s="360">
        <f t="shared" si="59"/>
        <v>2.854163938900205E-2</v>
      </c>
      <c r="AD62" s="360">
        <f t="shared" si="60"/>
        <v>0.34595649892490082</v>
      </c>
      <c r="AE62" s="360">
        <f t="shared" si="61"/>
        <v>-0.52595999999999998</v>
      </c>
      <c r="AF62" s="360">
        <f t="shared" si="62"/>
        <v>0</v>
      </c>
      <c r="AG62" s="360" t="e">
        <f t="shared" si="63"/>
        <v>#VALUE!</v>
      </c>
      <c r="AH62" s="360">
        <f t="shared" si="64"/>
        <v>4.847317004413517</v>
      </c>
      <c r="AI62" s="360">
        <f t="shared" si="65"/>
        <v>5.8741205353191078E-2</v>
      </c>
      <c r="AJ62" s="360">
        <f t="shared" si="66"/>
        <v>6.2327999999999988E-2</v>
      </c>
      <c r="AK62" s="360" t="e">
        <f t="shared" si="67"/>
        <v>#VALUE!</v>
      </c>
      <c r="AL62" s="360">
        <f t="shared" si="68"/>
        <v>6.2327999999999988E-2</v>
      </c>
      <c r="AM62" s="360">
        <f t="shared" si="69"/>
        <v>1.1447999999999998</v>
      </c>
      <c r="AN62" s="360">
        <f t="shared" si="70"/>
        <v>0.14126711019721719</v>
      </c>
      <c r="AO62" s="360">
        <f t="shared" si="71"/>
        <v>2.0999999999999999E-3</v>
      </c>
      <c r="AP62" s="360">
        <f t="shared" si="72"/>
        <v>9.8999999999999991E-2</v>
      </c>
      <c r="AQ62" s="360">
        <f t="shared" si="26"/>
        <v>1.1483999999999999</v>
      </c>
      <c r="AR62" s="360">
        <f t="shared" si="73"/>
        <v>1.089</v>
      </c>
      <c r="AS62" s="360">
        <f t="shared" si="74"/>
        <v>0.1011</v>
      </c>
      <c r="AT62" s="360" t="e">
        <f t="shared" si="75"/>
        <v>#VALUE!</v>
      </c>
      <c r="AU62">
        <f t="shared" si="76"/>
        <v>53</v>
      </c>
      <c r="AV62" s="542" t="e">
        <f t="shared" si="47"/>
        <v>#VALUE!</v>
      </c>
      <c r="AW62" s="551" t="e">
        <f t="shared" si="77"/>
        <v>#VALUE!</v>
      </c>
      <c r="AX62" s="551" t="e">
        <f t="shared" si="78"/>
        <v>#VALUE!</v>
      </c>
      <c r="AY62" s="9"/>
      <c r="AZ62" s="4" t="e">
        <f t="shared" si="48"/>
        <v>#VALUE!</v>
      </c>
      <c r="BA62" s="360" t="e">
        <f t="shared" si="79"/>
        <v>#VALUE!</v>
      </c>
      <c r="BB62" s="360" t="e">
        <f t="shared" si="80"/>
        <v>#VALUE!</v>
      </c>
      <c r="BC62" s="360" t="e">
        <f t="shared" si="81"/>
        <v>#VALUE!</v>
      </c>
      <c r="BD62" s="360" t="e">
        <f t="shared" si="82"/>
        <v>#VALUE!</v>
      </c>
      <c r="BE62" s="360">
        <f t="shared" si="83"/>
        <v>0.14126711019721719</v>
      </c>
      <c r="BK62" s="18"/>
      <c r="BL62" s="19"/>
    </row>
    <row r="63" spans="1:64" x14ac:dyDescent="0.2">
      <c r="A63" s="23" t="s">
        <v>118</v>
      </c>
      <c r="B63" s="74">
        <v>2</v>
      </c>
      <c r="C63" s="441" t="s">
        <v>205</v>
      </c>
      <c r="D63" s="21" t="s">
        <v>103</v>
      </c>
      <c r="G63">
        <v>54</v>
      </c>
      <c r="H63" s="548">
        <f t="shared" si="49"/>
        <v>60</v>
      </c>
      <c r="I63" s="4">
        <f t="shared" si="50"/>
        <v>1</v>
      </c>
      <c r="J63" s="360">
        <f t="shared" si="84"/>
        <v>5.4</v>
      </c>
      <c r="K63" s="360">
        <f t="shared" si="51"/>
        <v>5.4</v>
      </c>
      <c r="L63" s="4">
        <f t="shared" si="52"/>
        <v>1</v>
      </c>
      <c r="M63" s="360">
        <f t="shared" si="53"/>
        <v>0.16839893281073723</v>
      </c>
      <c r="N63" s="4">
        <f t="shared" si="54"/>
        <v>1.4005963773779428</v>
      </c>
      <c r="O63" s="4">
        <f t="shared" si="39"/>
        <v>6.1002981886889716</v>
      </c>
      <c r="P63" s="4">
        <f t="shared" si="40"/>
        <v>4.6997018113110292</v>
      </c>
      <c r="Q63" s="4">
        <f t="shared" si="55"/>
        <v>0</v>
      </c>
      <c r="R63" s="4">
        <f t="shared" si="41"/>
        <v>5.4151151896976009</v>
      </c>
      <c r="S63" s="360">
        <f t="shared" si="56"/>
        <v>0.35188167021232419</v>
      </c>
      <c r="T63" s="360">
        <f t="shared" si="57"/>
        <v>0.3</v>
      </c>
      <c r="U63" s="360" t="e">
        <f t="shared" si="58"/>
        <v>#VALUE!</v>
      </c>
      <c r="V63" s="4">
        <f t="shared" si="42"/>
        <v>0.40431734775258499</v>
      </c>
      <c r="W63" s="360">
        <f t="shared" si="10"/>
        <v>3.2694503538736945E-4</v>
      </c>
      <c r="X63" s="360">
        <f t="shared" si="43"/>
        <v>3.2694503538736945E-4</v>
      </c>
      <c r="Y63" s="4">
        <f t="shared" si="44"/>
        <v>2.0264453022882991</v>
      </c>
      <c r="Z63" s="360">
        <f t="shared" si="11"/>
        <v>4.1064805631663157E-3</v>
      </c>
      <c r="AA63" s="541">
        <f t="shared" si="45"/>
        <v>4.1064805631663157E-3</v>
      </c>
      <c r="AB63" s="360">
        <f t="shared" si="46"/>
        <v>2.2221704431219038</v>
      </c>
      <c r="AC63" s="360">
        <f t="shared" si="59"/>
        <v>2.9628248869707594E-2</v>
      </c>
      <c r="AD63" s="360">
        <f t="shared" si="60"/>
        <v>0.35248398003669146</v>
      </c>
      <c r="AE63" s="360">
        <f t="shared" si="61"/>
        <v>-0.52595999999999998</v>
      </c>
      <c r="AF63" s="360">
        <f t="shared" si="62"/>
        <v>0</v>
      </c>
      <c r="AG63" s="360" t="e">
        <f t="shared" si="63"/>
        <v>#VALUE!</v>
      </c>
      <c r="AH63" s="360">
        <f t="shared" si="64"/>
        <v>4.9381606939638045</v>
      </c>
      <c r="AI63" s="360">
        <f t="shared" si="65"/>
        <v>6.0963577598522715E-2</v>
      </c>
      <c r="AJ63" s="360">
        <f t="shared" si="66"/>
        <v>6.3503999999999991E-2</v>
      </c>
      <c r="AK63" s="360" t="e">
        <f t="shared" si="67"/>
        <v>#VALUE!</v>
      </c>
      <c r="AL63" s="360">
        <f t="shared" si="68"/>
        <v>6.3503999999999991E-2</v>
      </c>
      <c r="AM63" s="360">
        <f t="shared" si="69"/>
        <v>1.1663999999999999</v>
      </c>
      <c r="AN63" s="360">
        <f t="shared" si="70"/>
        <v>0.14661736258846841</v>
      </c>
      <c r="AO63" s="360">
        <f t="shared" si="71"/>
        <v>2.0999999999999999E-3</v>
      </c>
      <c r="AP63" s="360">
        <f t="shared" si="72"/>
        <v>9.8999999999999991E-2</v>
      </c>
      <c r="AQ63" s="360">
        <f t="shared" si="26"/>
        <v>1.1483999999999999</v>
      </c>
      <c r="AR63" s="360">
        <f t="shared" si="73"/>
        <v>1.089</v>
      </c>
      <c r="AS63" s="360">
        <f t="shared" si="74"/>
        <v>0.1011</v>
      </c>
      <c r="AT63" s="360" t="e">
        <f t="shared" si="75"/>
        <v>#VALUE!</v>
      </c>
      <c r="AU63">
        <f t="shared" si="76"/>
        <v>54</v>
      </c>
      <c r="AV63" s="542" t="e">
        <f t="shared" si="47"/>
        <v>#VALUE!</v>
      </c>
      <c r="AW63" s="551" t="e">
        <f t="shared" si="77"/>
        <v>#VALUE!</v>
      </c>
      <c r="AX63" s="551" t="e">
        <f t="shared" si="78"/>
        <v>#VALUE!</v>
      </c>
      <c r="AY63" s="9"/>
      <c r="AZ63" s="4" t="e">
        <f t="shared" si="48"/>
        <v>#VALUE!</v>
      </c>
      <c r="BA63" s="360" t="e">
        <f t="shared" si="79"/>
        <v>#VALUE!</v>
      </c>
      <c r="BB63" s="360" t="e">
        <f t="shared" si="80"/>
        <v>#VALUE!</v>
      </c>
      <c r="BC63" s="360" t="e">
        <f t="shared" si="81"/>
        <v>#VALUE!</v>
      </c>
      <c r="BD63" s="360" t="e">
        <f t="shared" si="82"/>
        <v>#VALUE!</v>
      </c>
      <c r="BE63" s="360">
        <f t="shared" si="83"/>
        <v>0.14661736258846841</v>
      </c>
      <c r="BK63" s="18"/>
      <c r="BL63" s="19"/>
    </row>
    <row r="64" spans="1:64" x14ac:dyDescent="0.2">
      <c r="A64" s="75"/>
      <c r="B64" s="30"/>
      <c r="G64">
        <v>55</v>
      </c>
      <c r="H64" s="548">
        <f t="shared" si="49"/>
        <v>60</v>
      </c>
      <c r="I64" s="4">
        <f t="shared" si="50"/>
        <v>1</v>
      </c>
      <c r="J64" s="360">
        <f t="shared" si="84"/>
        <v>5.5</v>
      </c>
      <c r="K64" s="360">
        <f t="shared" si="51"/>
        <v>5.5</v>
      </c>
      <c r="L64" s="4">
        <f t="shared" si="52"/>
        <v>1.0185185185185186</v>
      </c>
      <c r="M64" s="360">
        <f t="shared" si="53"/>
        <v>0.16843100740314876</v>
      </c>
      <c r="N64" s="4">
        <f t="shared" si="54"/>
        <v>1.4008126167374209</v>
      </c>
      <c r="O64" s="4">
        <f t="shared" si="39"/>
        <v>6.2004063083687102</v>
      </c>
      <c r="P64" s="4">
        <f t="shared" si="40"/>
        <v>4.7995936916312898</v>
      </c>
      <c r="Q64" s="4">
        <f t="shared" si="55"/>
        <v>0</v>
      </c>
      <c r="R64" s="4">
        <f t="shared" si="41"/>
        <v>5.5148456913076211</v>
      </c>
      <c r="S64" s="360">
        <f t="shared" si="56"/>
        <v>0.36496227598721082</v>
      </c>
      <c r="T64" s="360">
        <f t="shared" si="57"/>
        <v>0.3</v>
      </c>
      <c r="U64" s="360" t="e">
        <f t="shared" si="58"/>
        <v>#VALUE!</v>
      </c>
      <c r="V64" s="4">
        <f t="shared" si="42"/>
        <v>0.404379770678787</v>
      </c>
      <c r="W64" s="360">
        <f t="shared" si="10"/>
        <v>3.2704599786845674E-4</v>
      </c>
      <c r="X64" s="360">
        <f t="shared" si="43"/>
        <v>3.2704599786845674E-4</v>
      </c>
      <c r="Y64" s="4">
        <f t="shared" si="44"/>
        <v>2.0639231947986585</v>
      </c>
      <c r="Z64" s="360">
        <f t="shared" si="11"/>
        <v>4.2597789540279015E-3</v>
      </c>
      <c r="AA64" s="541">
        <f t="shared" si="45"/>
        <v>4.2597789540279015E-3</v>
      </c>
      <c r="AB64" s="360">
        <f t="shared" si="46"/>
        <v>2.2633118029536554</v>
      </c>
      <c r="AC64" s="360">
        <f t="shared" si="59"/>
        <v>3.0735481904335959E-2</v>
      </c>
      <c r="AD64" s="360">
        <f t="shared" si="60"/>
        <v>0.35901146114848204</v>
      </c>
      <c r="AE64" s="360">
        <f t="shared" si="61"/>
        <v>-0.52595999999999998</v>
      </c>
      <c r="AF64" s="360">
        <f t="shared" si="62"/>
        <v>0</v>
      </c>
      <c r="AG64" s="360" t="e">
        <f t="shared" si="63"/>
        <v>#VALUE!</v>
      </c>
      <c r="AH64" s="360">
        <f t="shared" si="64"/>
        <v>5.0290101095091178</v>
      </c>
      <c r="AI64" s="360">
        <f t="shared" si="65"/>
        <v>6.3227356703862272E-2</v>
      </c>
      <c r="AJ64" s="360">
        <f t="shared" si="66"/>
        <v>6.4679999999999988E-2</v>
      </c>
      <c r="AK64" s="360" t="e">
        <f t="shared" si="67"/>
        <v>#VALUE!</v>
      </c>
      <c r="AL64" s="360">
        <f t="shared" si="68"/>
        <v>6.4679999999999988E-2</v>
      </c>
      <c r="AM64" s="360">
        <f t="shared" si="69"/>
        <v>1.1879999999999999</v>
      </c>
      <c r="AN64" s="360">
        <f t="shared" si="70"/>
        <v>0.15206761499467117</v>
      </c>
      <c r="AO64" s="360">
        <f t="shared" si="71"/>
        <v>2.0999999999999999E-3</v>
      </c>
      <c r="AP64" s="360">
        <f t="shared" si="72"/>
        <v>9.8999999999999991E-2</v>
      </c>
      <c r="AQ64" s="360">
        <f t="shared" si="26"/>
        <v>1.1483999999999999</v>
      </c>
      <c r="AR64" s="360">
        <f t="shared" si="73"/>
        <v>1.089</v>
      </c>
      <c r="AS64" s="360">
        <f t="shared" si="74"/>
        <v>0.1011</v>
      </c>
      <c r="AT64" s="360" t="e">
        <f t="shared" si="75"/>
        <v>#VALUE!</v>
      </c>
      <c r="AU64">
        <f t="shared" si="76"/>
        <v>55</v>
      </c>
      <c r="AV64" s="542" t="e">
        <f t="shared" si="47"/>
        <v>#VALUE!</v>
      </c>
      <c r="AW64" s="551" t="e">
        <f t="shared" si="77"/>
        <v>#VALUE!</v>
      </c>
      <c r="AX64" s="551" t="e">
        <f t="shared" si="78"/>
        <v>#VALUE!</v>
      </c>
      <c r="AY64" s="9"/>
      <c r="AZ64" s="4" t="e">
        <f t="shared" si="48"/>
        <v>#VALUE!</v>
      </c>
      <c r="BA64" s="360" t="e">
        <f t="shared" si="79"/>
        <v>#VALUE!</v>
      </c>
      <c r="BB64" s="360" t="e">
        <f t="shared" si="80"/>
        <v>#VALUE!</v>
      </c>
      <c r="BC64" s="360" t="e">
        <f t="shared" si="81"/>
        <v>#VALUE!</v>
      </c>
      <c r="BD64" s="360" t="e">
        <f t="shared" si="82"/>
        <v>#VALUE!</v>
      </c>
      <c r="BE64" s="360">
        <f t="shared" si="83"/>
        <v>0.15206761499467117</v>
      </c>
      <c r="BK64" s="18"/>
      <c r="BL64" s="19"/>
    </row>
    <row r="65" spans="1:64" x14ac:dyDescent="0.2">
      <c r="G65">
        <v>56</v>
      </c>
      <c r="H65" s="548">
        <f t="shared" si="49"/>
        <v>60</v>
      </c>
      <c r="I65" s="4">
        <f t="shared" si="50"/>
        <v>1</v>
      </c>
      <c r="J65" s="360">
        <f t="shared" si="84"/>
        <v>5.6</v>
      </c>
      <c r="K65" s="360">
        <f t="shared" si="51"/>
        <v>5.6</v>
      </c>
      <c r="L65" s="4">
        <f t="shared" si="52"/>
        <v>1.037037037037037</v>
      </c>
      <c r="M65" s="360">
        <f t="shared" si="53"/>
        <v>0.16846308183520972</v>
      </c>
      <c r="N65" s="4">
        <f t="shared" si="54"/>
        <v>1.4010288355185825</v>
      </c>
      <c r="O65" s="4">
        <f t="shared" si="39"/>
        <v>6.3005144177592909</v>
      </c>
      <c r="P65" s="4">
        <f t="shared" si="40"/>
        <v>4.8994855822407084</v>
      </c>
      <c r="Q65" s="4">
        <f t="shared" si="55"/>
        <v>0</v>
      </c>
      <c r="R65" s="4">
        <f t="shared" si="41"/>
        <v>5.6145857801945525</v>
      </c>
      <c r="S65" s="360">
        <f t="shared" si="56"/>
        <v>0.37828288179795444</v>
      </c>
      <c r="T65" s="360">
        <f t="shared" si="57"/>
        <v>0.3</v>
      </c>
      <c r="U65" s="360" t="e">
        <f t="shared" si="58"/>
        <v>#VALUE!</v>
      </c>
      <c r="V65" s="4">
        <f t="shared" si="42"/>
        <v>0.40444218766454076</v>
      </c>
      <c r="W65" s="360">
        <f t="shared" si="10"/>
        <v>3.2714696632575927E-4</v>
      </c>
      <c r="X65" s="360">
        <f t="shared" si="43"/>
        <v>3.2714696632575927E-4</v>
      </c>
      <c r="Y65" s="4">
        <f t="shared" si="44"/>
        <v>2.1014103157893445</v>
      </c>
      <c r="Z65" s="360">
        <f t="shared" si="11"/>
        <v>4.4159253153058728E-3</v>
      </c>
      <c r="AA65" s="541">
        <f t="shared" si="45"/>
        <v>4.4159253153058728E-3</v>
      </c>
      <c r="AB65" s="360">
        <f t="shared" si="46"/>
        <v>2.304464870513828</v>
      </c>
      <c r="AC65" s="360">
        <f t="shared" si="59"/>
        <v>3.1863350036593886E-2</v>
      </c>
      <c r="AD65" s="360">
        <f t="shared" si="60"/>
        <v>0.36553894226027261</v>
      </c>
      <c r="AE65" s="360">
        <f t="shared" si="61"/>
        <v>-0.52595999999999998</v>
      </c>
      <c r="AF65" s="360">
        <f t="shared" si="62"/>
        <v>0</v>
      </c>
      <c r="AG65" s="360" t="e">
        <f t="shared" si="63"/>
        <v>#VALUE!</v>
      </c>
      <c r="AH65" s="360">
        <f t="shared" si="64"/>
        <v>5.1198647583437742</v>
      </c>
      <c r="AI65" s="360">
        <f t="shared" si="65"/>
        <v>6.553253785932639E-2</v>
      </c>
      <c r="AJ65" s="360">
        <f t="shared" si="66"/>
        <v>6.5855999999999984E-2</v>
      </c>
      <c r="AK65" s="360" t="e">
        <f t="shared" si="67"/>
        <v>#VALUE!</v>
      </c>
      <c r="AL65" s="360">
        <f t="shared" si="68"/>
        <v>6.5855999999999984E-2</v>
      </c>
      <c r="AM65" s="360">
        <f t="shared" si="69"/>
        <v>1.2095999999999998</v>
      </c>
      <c r="AN65" s="360">
        <f t="shared" si="70"/>
        <v>0.15761786741581435</v>
      </c>
      <c r="AO65" s="360">
        <f t="shared" si="71"/>
        <v>2.0999999999999999E-3</v>
      </c>
      <c r="AP65" s="360">
        <f t="shared" si="72"/>
        <v>9.8999999999999991E-2</v>
      </c>
      <c r="AQ65" s="360">
        <f t="shared" si="26"/>
        <v>1.1483999999999999</v>
      </c>
      <c r="AR65" s="360">
        <f t="shared" si="73"/>
        <v>1.089</v>
      </c>
      <c r="AS65" s="360">
        <f t="shared" si="74"/>
        <v>0.1011</v>
      </c>
      <c r="AT65" s="360" t="e">
        <f t="shared" si="75"/>
        <v>#VALUE!</v>
      </c>
      <c r="AU65">
        <f t="shared" si="76"/>
        <v>56</v>
      </c>
      <c r="AV65" s="542" t="e">
        <f t="shared" si="47"/>
        <v>#VALUE!</v>
      </c>
      <c r="AW65" s="551" t="e">
        <f t="shared" si="77"/>
        <v>#VALUE!</v>
      </c>
      <c r="AX65" s="551" t="e">
        <f t="shared" si="78"/>
        <v>#VALUE!</v>
      </c>
      <c r="AY65" s="9"/>
      <c r="AZ65" s="4" t="e">
        <f t="shared" si="48"/>
        <v>#VALUE!</v>
      </c>
      <c r="BA65" s="360" t="e">
        <f t="shared" si="79"/>
        <v>#VALUE!</v>
      </c>
      <c r="BB65" s="360" t="e">
        <f t="shared" si="80"/>
        <v>#VALUE!</v>
      </c>
      <c r="BC65" s="360" t="e">
        <f t="shared" si="81"/>
        <v>#VALUE!</v>
      </c>
      <c r="BD65" s="360" t="e">
        <f t="shared" si="82"/>
        <v>#VALUE!</v>
      </c>
      <c r="BE65" s="360">
        <f t="shared" si="83"/>
        <v>0.15761786741581435</v>
      </c>
      <c r="BK65" s="18"/>
      <c r="BL65" s="19"/>
    </row>
    <row r="66" spans="1:64" x14ac:dyDescent="0.2">
      <c r="A66" s="11" t="s">
        <v>77</v>
      </c>
      <c r="B66" s="31"/>
      <c r="C66" s="31"/>
      <c r="G66">
        <v>57</v>
      </c>
      <c r="H66" s="548">
        <f t="shared" si="49"/>
        <v>60</v>
      </c>
      <c r="I66" s="4">
        <f t="shared" si="50"/>
        <v>1</v>
      </c>
      <c r="J66" s="360">
        <f t="shared" si="84"/>
        <v>5.7</v>
      </c>
      <c r="K66" s="360">
        <f t="shared" si="51"/>
        <v>5.7</v>
      </c>
      <c r="L66" s="4">
        <f t="shared" si="52"/>
        <v>1.0555555555555556</v>
      </c>
      <c r="M66" s="360">
        <f t="shared" si="53"/>
        <v>0.16849515610692142</v>
      </c>
      <c r="N66" s="4">
        <f t="shared" si="54"/>
        <v>1.4012450337215832</v>
      </c>
      <c r="O66" s="4">
        <f t="shared" si="39"/>
        <v>6.4006225168607918</v>
      </c>
      <c r="P66" s="4">
        <f t="shared" si="40"/>
        <v>4.9993774831392086</v>
      </c>
      <c r="Q66" s="4">
        <f t="shared" si="55"/>
        <v>0</v>
      </c>
      <c r="R66" s="4">
        <f t="shared" si="41"/>
        <v>5.7143349543387334</v>
      </c>
      <c r="S66" s="360">
        <f t="shared" si="56"/>
        <v>0.39184348764452942</v>
      </c>
      <c r="T66" s="360">
        <f t="shared" si="57"/>
        <v>0.3</v>
      </c>
      <c r="U66" s="360" t="e">
        <f t="shared" si="58"/>
        <v>#VALUE!</v>
      </c>
      <c r="V66" s="4">
        <f t="shared" si="42"/>
        <v>0.40450459870989114</v>
      </c>
      <c r="W66" s="360">
        <f t="shared" si="10"/>
        <v>3.2724794075490011E-4</v>
      </c>
      <c r="X66" s="360">
        <f t="shared" si="43"/>
        <v>3.2724794075490011E-4</v>
      </c>
      <c r="Y66" s="4">
        <f t="shared" si="44"/>
        <v>2.1389064766650803</v>
      </c>
      <c r="Z66" s="360">
        <f t="shared" si="11"/>
        <v>4.5749209159198275E-3</v>
      </c>
      <c r="AA66" s="541">
        <f t="shared" si="45"/>
        <v>4.5749209159198275E-3</v>
      </c>
      <c r="AB66" s="360">
        <f t="shared" si="46"/>
        <v>2.3456294396910735</v>
      </c>
      <c r="AC66" s="360">
        <f t="shared" si="59"/>
        <v>3.3011864810072754E-2</v>
      </c>
      <c r="AD66" s="360">
        <f t="shared" si="60"/>
        <v>0.37206642337206319</v>
      </c>
      <c r="AE66" s="360">
        <f t="shared" si="61"/>
        <v>-0.52595999999999998</v>
      </c>
      <c r="AF66" s="360">
        <f t="shared" si="62"/>
        <v>0</v>
      </c>
      <c r="AG66" s="360" t="e">
        <f t="shared" si="63"/>
        <v>#VALUE!</v>
      </c>
      <c r="AH66" s="360">
        <f t="shared" si="64"/>
        <v>5.2107241821105825</v>
      </c>
      <c r="AI66" s="360">
        <f t="shared" si="65"/>
        <v>6.7879116255080002E-2</v>
      </c>
      <c r="AJ66" s="360">
        <f t="shared" si="66"/>
        <v>6.7031999999999994E-2</v>
      </c>
      <c r="AK66" s="360" t="e">
        <f t="shared" si="67"/>
        <v>#VALUE!</v>
      </c>
      <c r="AL66" s="360">
        <f t="shared" si="68"/>
        <v>6.7031999999999994E-2</v>
      </c>
      <c r="AM66" s="360">
        <f t="shared" si="69"/>
        <v>1.2311999999999999</v>
      </c>
      <c r="AN66" s="360">
        <f t="shared" si="70"/>
        <v>0.16326811985188727</v>
      </c>
      <c r="AO66" s="360">
        <f t="shared" si="71"/>
        <v>2.0999999999999999E-3</v>
      </c>
      <c r="AP66" s="360">
        <f t="shared" si="72"/>
        <v>9.8999999999999991E-2</v>
      </c>
      <c r="AQ66" s="360">
        <f t="shared" si="26"/>
        <v>1.1483999999999999</v>
      </c>
      <c r="AR66" s="360">
        <f t="shared" si="73"/>
        <v>1.089</v>
      </c>
      <c r="AS66" s="360">
        <f t="shared" si="74"/>
        <v>0.1011</v>
      </c>
      <c r="AT66" s="360" t="e">
        <f t="shared" si="75"/>
        <v>#VALUE!</v>
      </c>
      <c r="AU66">
        <f t="shared" si="76"/>
        <v>57</v>
      </c>
      <c r="AV66" s="542" t="e">
        <f t="shared" si="47"/>
        <v>#VALUE!</v>
      </c>
      <c r="AW66" s="551" t="e">
        <f t="shared" si="77"/>
        <v>#VALUE!</v>
      </c>
      <c r="AX66" s="551" t="e">
        <f t="shared" si="78"/>
        <v>#VALUE!</v>
      </c>
      <c r="AY66" s="9"/>
      <c r="AZ66" s="4" t="e">
        <f t="shared" si="48"/>
        <v>#VALUE!</v>
      </c>
      <c r="BA66" s="360" t="e">
        <f t="shared" si="79"/>
        <v>#VALUE!</v>
      </c>
      <c r="BB66" s="360" t="e">
        <f t="shared" si="80"/>
        <v>#VALUE!</v>
      </c>
      <c r="BC66" s="360" t="e">
        <f t="shared" si="81"/>
        <v>#VALUE!</v>
      </c>
      <c r="BD66" s="360" t="e">
        <f t="shared" si="82"/>
        <v>#VALUE!</v>
      </c>
      <c r="BE66" s="360">
        <f t="shared" si="83"/>
        <v>0.16326811985188727</v>
      </c>
      <c r="BK66" s="18"/>
      <c r="BL66" s="19"/>
    </row>
    <row r="67" spans="1:64" x14ac:dyDescent="0.2">
      <c r="A67" s="14" t="s">
        <v>55</v>
      </c>
      <c r="B67" s="15" t="s">
        <v>7</v>
      </c>
      <c r="C67" s="15" t="s">
        <v>76</v>
      </c>
      <c r="G67">
        <v>58</v>
      </c>
      <c r="H67" s="548">
        <f t="shared" si="49"/>
        <v>60</v>
      </c>
      <c r="I67" s="4">
        <f t="shared" si="50"/>
        <v>1</v>
      </c>
      <c r="J67" s="360">
        <f t="shared" si="84"/>
        <v>5.8</v>
      </c>
      <c r="K67" s="360">
        <f t="shared" si="51"/>
        <v>5.8</v>
      </c>
      <c r="L67" s="4">
        <f t="shared" si="52"/>
        <v>1.0740740740740742</v>
      </c>
      <c r="M67" s="360">
        <f t="shared" si="53"/>
        <v>0.168527230218285</v>
      </c>
      <c r="N67" s="4">
        <f t="shared" si="54"/>
        <v>1.4014612113465768</v>
      </c>
      <c r="O67" s="4">
        <f t="shared" si="39"/>
        <v>6.5007306056732883</v>
      </c>
      <c r="P67" s="4">
        <f t="shared" si="40"/>
        <v>5.0992693943267113</v>
      </c>
      <c r="Q67" s="4">
        <f t="shared" si="55"/>
        <v>0</v>
      </c>
      <c r="R67" s="4">
        <f t="shared" si="41"/>
        <v>5.8140927461277867</v>
      </c>
      <c r="S67" s="360">
        <f t="shared" si="56"/>
        <v>0.405644093526909</v>
      </c>
      <c r="T67" s="360">
        <f t="shared" si="57"/>
        <v>0.3</v>
      </c>
      <c r="U67" s="360" t="e">
        <f t="shared" si="58"/>
        <v>#VALUE!</v>
      </c>
      <c r="V67" s="4">
        <f t="shared" si="42"/>
        <v>0.40456700381488259</v>
      </c>
      <c r="W67" s="360">
        <f t="shared" si="10"/>
        <v>3.2734892115150244E-4</v>
      </c>
      <c r="X67" s="360">
        <f t="shared" si="43"/>
        <v>3.2734892115150244E-4</v>
      </c>
      <c r="Y67" s="4">
        <f t="shared" si="44"/>
        <v>2.1764115016535421</v>
      </c>
      <c r="Z67" s="360">
        <f t="shared" si="11"/>
        <v>4.7367670245298263E-3</v>
      </c>
      <c r="AA67" s="541">
        <f t="shared" si="45"/>
        <v>4.7367670245298263E-3</v>
      </c>
      <c r="AB67" s="360">
        <f t="shared" si="46"/>
        <v>2.386805318420715</v>
      </c>
      <c r="AC67" s="360">
        <f t="shared" si="59"/>
        <v>3.4181037768248462E-2</v>
      </c>
      <c r="AD67" s="360">
        <f t="shared" si="60"/>
        <v>0.37859390448385377</v>
      </c>
      <c r="AE67" s="360">
        <f t="shared" si="61"/>
        <v>-0.52595999999999998</v>
      </c>
      <c r="AF67" s="360">
        <f t="shared" si="62"/>
        <v>0</v>
      </c>
      <c r="AG67" s="360" t="e">
        <f t="shared" si="63"/>
        <v>#VALUE!</v>
      </c>
      <c r="AH67" s="360">
        <f t="shared" si="64"/>
        <v>5.3015879538619686</v>
      </c>
      <c r="AI67" s="360">
        <f t="shared" si="65"/>
        <v>7.0267087081335847E-2</v>
      </c>
      <c r="AJ67" s="360">
        <f t="shared" si="66"/>
        <v>6.8207999999999991E-2</v>
      </c>
      <c r="AK67" s="360" t="e">
        <f t="shared" si="67"/>
        <v>#VALUE!</v>
      </c>
      <c r="AL67" s="360">
        <f t="shared" si="68"/>
        <v>6.8207999999999991E-2</v>
      </c>
      <c r="AM67" s="360">
        <f t="shared" si="69"/>
        <v>1.2527999999999997</v>
      </c>
      <c r="AN67" s="360">
        <f t="shared" si="70"/>
        <v>0.16901837230287875</v>
      </c>
      <c r="AO67" s="360">
        <f t="shared" si="71"/>
        <v>2.0999999999999999E-3</v>
      </c>
      <c r="AP67" s="360">
        <f t="shared" si="72"/>
        <v>9.8999999999999991E-2</v>
      </c>
      <c r="AQ67" s="360">
        <f t="shared" si="26"/>
        <v>1.1483999999999999</v>
      </c>
      <c r="AR67" s="360">
        <f t="shared" si="73"/>
        <v>1.089</v>
      </c>
      <c r="AS67" s="360">
        <f t="shared" si="74"/>
        <v>0.1011</v>
      </c>
      <c r="AT67" s="360" t="e">
        <f t="shared" si="75"/>
        <v>#VALUE!</v>
      </c>
      <c r="AU67">
        <f t="shared" si="76"/>
        <v>58</v>
      </c>
      <c r="AV67" s="542" t="e">
        <f t="shared" si="47"/>
        <v>#VALUE!</v>
      </c>
      <c r="AW67" s="551" t="e">
        <f t="shared" si="77"/>
        <v>#VALUE!</v>
      </c>
      <c r="AX67" s="551" t="e">
        <f t="shared" si="78"/>
        <v>#VALUE!</v>
      </c>
      <c r="AY67" s="9"/>
      <c r="AZ67" s="4" t="e">
        <f t="shared" si="48"/>
        <v>#VALUE!</v>
      </c>
      <c r="BA67" s="360" t="e">
        <f t="shared" si="79"/>
        <v>#VALUE!</v>
      </c>
      <c r="BB67" s="360" t="e">
        <f t="shared" si="80"/>
        <v>#VALUE!</v>
      </c>
      <c r="BC67" s="360" t="e">
        <f t="shared" si="81"/>
        <v>#VALUE!</v>
      </c>
      <c r="BD67" s="360" t="e">
        <f t="shared" si="82"/>
        <v>#VALUE!</v>
      </c>
      <c r="BE67" s="360">
        <f t="shared" si="83"/>
        <v>0.16901837230287875</v>
      </c>
      <c r="BK67" s="18"/>
      <c r="BL67" s="19"/>
    </row>
    <row r="68" spans="1:64" x14ac:dyDescent="0.2">
      <c r="A68" s="32" t="s">
        <v>208</v>
      </c>
      <c r="B68" s="449">
        <f>D1_Vinmin</f>
        <v>0.18181818181818182</v>
      </c>
      <c r="C68" s="21" t="s">
        <v>18</v>
      </c>
      <c r="G68">
        <v>59</v>
      </c>
      <c r="H68" s="548">
        <f t="shared" si="49"/>
        <v>60</v>
      </c>
      <c r="I68" s="4">
        <f t="shared" si="50"/>
        <v>1</v>
      </c>
      <c r="J68" s="360">
        <f t="shared" si="84"/>
        <v>5.9</v>
      </c>
      <c r="K68" s="360">
        <f t="shared" si="51"/>
        <v>5.9</v>
      </c>
      <c r="L68" s="4">
        <f t="shared" si="52"/>
        <v>1.0925925925925926</v>
      </c>
      <c r="M68" s="360">
        <f t="shared" si="53"/>
        <v>0.16855930416930168</v>
      </c>
      <c r="N68" s="4">
        <f t="shared" si="54"/>
        <v>1.4016773683937171</v>
      </c>
      <c r="O68" s="4">
        <f t="shared" si="39"/>
        <v>6.6008386841968587</v>
      </c>
      <c r="P68" s="4">
        <f t="shared" si="40"/>
        <v>5.199161315803142</v>
      </c>
      <c r="Q68" s="4">
        <f t="shared" si="55"/>
        <v>0</v>
      </c>
      <c r="R68" s="4">
        <f t="shared" si="41"/>
        <v>5.9138587194619046</v>
      </c>
      <c r="S68" s="360">
        <f t="shared" si="56"/>
        <v>0.4196846994450672</v>
      </c>
      <c r="T68" s="360">
        <f t="shared" si="57"/>
        <v>0.3</v>
      </c>
      <c r="U68" s="360" t="e">
        <f t="shared" si="58"/>
        <v>#VALUE!</v>
      </c>
      <c r="V68" s="4">
        <f t="shared" si="42"/>
        <v>0.40462940297955946</v>
      </c>
      <c r="W68" s="360">
        <f t="shared" si="10"/>
        <v>3.2744990751118946E-4</v>
      </c>
      <c r="X68" s="360">
        <f t="shared" si="43"/>
        <v>3.2744990751118946E-4</v>
      </c>
      <c r="Y68" s="4">
        <f t="shared" si="44"/>
        <v>2.2139252267265999</v>
      </c>
      <c r="Z68" s="360">
        <f t="shared" si="11"/>
        <v>4.9014649095364266E-3</v>
      </c>
      <c r="AA68" s="541">
        <f t="shared" si="45"/>
        <v>4.9014649095364266E-3</v>
      </c>
      <c r="AB68" s="360">
        <f t="shared" si="46"/>
        <v>2.4279923275030311</v>
      </c>
      <c r="AC68" s="360">
        <f t="shared" si="59"/>
        <v>3.5370880454481515E-2</v>
      </c>
      <c r="AD68" s="360">
        <f t="shared" si="60"/>
        <v>0.38512138559564435</v>
      </c>
      <c r="AE68" s="360">
        <f t="shared" si="61"/>
        <v>-0.52595999999999998</v>
      </c>
      <c r="AF68" s="360">
        <f t="shared" si="62"/>
        <v>0</v>
      </c>
      <c r="AG68" s="360" t="e">
        <f t="shared" si="63"/>
        <v>#VALUE!</v>
      </c>
      <c r="AH68" s="360">
        <f t="shared" si="64"/>
        <v>5.3924556754174633</v>
      </c>
      <c r="AI68" s="360">
        <f t="shared" si="65"/>
        <v>7.2696445528355025E-2</v>
      </c>
      <c r="AJ68" s="360">
        <f t="shared" si="66"/>
        <v>6.9383999999999987E-2</v>
      </c>
      <c r="AK68" s="360" t="e">
        <f t="shared" si="67"/>
        <v>#VALUE!</v>
      </c>
      <c r="AL68" s="360">
        <f t="shared" si="68"/>
        <v>6.9383999999999987E-2</v>
      </c>
      <c r="AM68" s="360">
        <f t="shared" si="69"/>
        <v>1.2744</v>
      </c>
      <c r="AN68" s="360">
        <f t="shared" si="70"/>
        <v>0.17486862476877801</v>
      </c>
      <c r="AO68" s="360">
        <f t="shared" si="71"/>
        <v>2.0999999999999999E-3</v>
      </c>
      <c r="AP68" s="360">
        <f t="shared" si="72"/>
        <v>9.8999999999999991E-2</v>
      </c>
      <c r="AQ68" s="360">
        <f t="shared" si="26"/>
        <v>1.1483999999999999</v>
      </c>
      <c r="AR68" s="360">
        <f t="shared" si="73"/>
        <v>1.089</v>
      </c>
      <c r="AS68" s="360">
        <f t="shared" si="74"/>
        <v>0.1011</v>
      </c>
      <c r="AT68" s="360" t="e">
        <f t="shared" si="75"/>
        <v>#VALUE!</v>
      </c>
      <c r="AU68">
        <f t="shared" si="76"/>
        <v>59</v>
      </c>
      <c r="AV68" s="542" t="e">
        <f t="shared" si="47"/>
        <v>#VALUE!</v>
      </c>
      <c r="AW68" s="551" t="e">
        <f t="shared" si="77"/>
        <v>#VALUE!</v>
      </c>
      <c r="AX68" s="551" t="e">
        <f t="shared" si="78"/>
        <v>#VALUE!</v>
      </c>
      <c r="AY68" s="9"/>
      <c r="AZ68" s="4" t="e">
        <f t="shared" si="48"/>
        <v>#VALUE!</v>
      </c>
      <c r="BA68" s="360" t="e">
        <f t="shared" si="79"/>
        <v>#VALUE!</v>
      </c>
      <c r="BB68" s="360" t="e">
        <f t="shared" si="80"/>
        <v>#VALUE!</v>
      </c>
      <c r="BC68" s="360" t="e">
        <f t="shared" si="81"/>
        <v>#VALUE!</v>
      </c>
      <c r="BD68" s="360" t="e">
        <f t="shared" si="82"/>
        <v>#VALUE!</v>
      </c>
      <c r="BE68" s="360">
        <f t="shared" si="83"/>
        <v>0.17486862476877801</v>
      </c>
      <c r="BK68" s="18"/>
      <c r="BL68" s="19"/>
    </row>
    <row r="69" spans="1:64" x14ac:dyDescent="0.2">
      <c r="A69" s="23" t="s">
        <v>78</v>
      </c>
      <c r="B69" s="449">
        <f>1-B68</f>
        <v>0.81818181818181812</v>
      </c>
      <c r="C69" s="21" t="s">
        <v>18</v>
      </c>
      <c r="G69">
        <v>60</v>
      </c>
      <c r="H69" s="548">
        <f t="shared" si="49"/>
        <v>60</v>
      </c>
      <c r="I69" s="4">
        <f t="shared" si="50"/>
        <v>1</v>
      </c>
      <c r="J69" s="360">
        <f t="shared" si="84"/>
        <v>6</v>
      </c>
      <c r="K69" s="360">
        <f t="shared" si="51"/>
        <v>6</v>
      </c>
      <c r="L69" s="4">
        <f t="shared" si="52"/>
        <v>1.1111111111111112</v>
      </c>
      <c r="M69" s="360">
        <f t="shared" si="53"/>
        <v>0.16859137795997267</v>
      </c>
      <c r="N69" s="4">
        <f t="shared" si="54"/>
        <v>1.4018935048631593</v>
      </c>
      <c r="O69" s="4">
        <f t="shared" si="39"/>
        <v>6.7009467524315793</v>
      </c>
      <c r="P69" s="4">
        <f t="shared" si="40"/>
        <v>5.2990532475684207</v>
      </c>
      <c r="Q69" s="4">
        <f t="shared" si="55"/>
        <v>0</v>
      </c>
      <c r="R69" s="4">
        <f t="shared" si="41"/>
        <v>6.0136324671461923</v>
      </c>
      <c r="S69" s="360">
        <f t="shared" si="56"/>
        <v>0.43396530539897765</v>
      </c>
      <c r="T69" s="360">
        <f t="shared" si="57"/>
        <v>0.3</v>
      </c>
      <c r="U69" s="360" t="e">
        <f t="shared" si="58"/>
        <v>#VALUE!</v>
      </c>
      <c r="V69" s="4">
        <f t="shared" si="42"/>
        <v>0.4046917962039665</v>
      </c>
      <c r="W69" s="360">
        <f t="shared" si="10"/>
        <v>3.2755089982958554E-4</v>
      </c>
      <c r="X69" s="360">
        <f t="shared" si="43"/>
        <v>3.2755089982958554E-4</v>
      </c>
      <c r="Y69" s="4">
        <f t="shared" si="44"/>
        <v>2.2514474986285316</v>
      </c>
      <c r="Z69" s="360">
        <f t="shared" si="11"/>
        <v>5.0690158390806718E-3</v>
      </c>
      <c r="AA69" s="541">
        <f t="shared" si="45"/>
        <v>5.0690158390806718E-3</v>
      </c>
      <c r="AB69" s="360">
        <f t="shared" si="46"/>
        <v>2.4691902995387309</v>
      </c>
      <c r="AC69" s="360">
        <f t="shared" si="59"/>
        <v>3.6581404412017009E-2</v>
      </c>
      <c r="AD69" s="360">
        <f t="shared" si="60"/>
        <v>0.39164886670743493</v>
      </c>
      <c r="AE69" s="360">
        <f t="shared" si="61"/>
        <v>-0.52595999999999998</v>
      </c>
      <c r="AF69" s="360">
        <f t="shared" si="62"/>
        <v>0</v>
      </c>
      <c r="AG69" s="360" t="e">
        <f t="shared" si="63"/>
        <v>#VALUE!</v>
      </c>
      <c r="AH69" s="360">
        <f t="shared" si="64"/>
        <v>5.4833269749832203</v>
      </c>
      <c r="AI69" s="360">
        <f t="shared" si="65"/>
        <v>7.5167186786446585E-2</v>
      </c>
      <c r="AJ69" s="360">
        <f t="shared" si="66"/>
        <v>7.0559999999999984E-2</v>
      </c>
      <c r="AK69" s="360" t="e">
        <f t="shared" si="67"/>
        <v>#VALUE!</v>
      </c>
      <c r="AL69" s="360">
        <f t="shared" si="68"/>
        <v>7.0559999999999984E-2</v>
      </c>
      <c r="AM69" s="360">
        <f t="shared" si="69"/>
        <v>1.2959999999999996</v>
      </c>
      <c r="AN69" s="360">
        <f t="shared" si="70"/>
        <v>0.18081887724957402</v>
      </c>
      <c r="AO69" s="360">
        <f t="shared" si="71"/>
        <v>2.0999999999999999E-3</v>
      </c>
      <c r="AP69" s="360">
        <f t="shared" si="72"/>
        <v>9.8999999999999991E-2</v>
      </c>
      <c r="AQ69" s="360">
        <f t="shared" si="26"/>
        <v>1.1483999999999999</v>
      </c>
      <c r="AR69" s="360">
        <f t="shared" si="73"/>
        <v>1.089</v>
      </c>
      <c r="AS69" s="360">
        <f t="shared" si="74"/>
        <v>0.1011</v>
      </c>
      <c r="AT69" s="360" t="e">
        <f t="shared" si="75"/>
        <v>#VALUE!</v>
      </c>
      <c r="AU69">
        <f t="shared" si="76"/>
        <v>60</v>
      </c>
      <c r="AV69" s="542" t="e">
        <f t="shared" si="47"/>
        <v>#VALUE!</v>
      </c>
      <c r="AW69" s="551" t="e">
        <f t="shared" si="77"/>
        <v>#VALUE!</v>
      </c>
      <c r="AX69" s="551" t="e">
        <f t="shared" si="78"/>
        <v>#VALUE!</v>
      </c>
      <c r="AY69" s="9"/>
      <c r="AZ69" s="4" t="e">
        <f t="shared" si="48"/>
        <v>#VALUE!</v>
      </c>
      <c r="BA69" s="360" t="e">
        <f t="shared" si="79"/>
        <v>#VALUE!</v>
      </c>
      <c r="BB69" s="360" t="e">
        <f t="shared" si="80"/>
        <v>#VALUE!</v>
      </c>
      <c r="BC69" s="360" t="e">
        <f t="shared" si="81"/>
        <v>#VALUE!</v>
      </c>
      <c r="BD69" s="360" t="e">
        <f t="shared" si="82"/>
        <v>#VALUE!</v>
      </c>
      <c r="BE69" s="360">
        <f t="shared" si="83"/>
        <v>0.18081887724957402</v>
      </c>
      <c r="BK69" s="18"/>
      <c r="BL69" s="19"/>
    </row>
    <row r="70" spans="1:64" x14ac:dyDescent="0.2">
      <c r="A70" s="33" t="s">
        <v>209</v>
      </c>
      <c r="B70" s="449">
        <f>Iripple_Vinnom</f>
        <v>1.411323896752706</v>
      </c>
      <c r="C70" s="21" t="s">
        <v>1</v>
      </c>
      <c r="G70">
        <v>61</v>
      </c>
      <c r="H70" s="548">
        <f t="shared" si="49"/>
        <v>60</v>
      </c>
      <c r="I70" s="4">
        <f t="shared" si="50"/>
        <v>1</v>
      </c>
      <c r="J70" s="360">
        <f t="shared" si="84"/>
        <v>6.1</v>
      </c>
      <c r="K70" s="360">
        <f t="shared" si="51"/>
        <v>6.1</v>
      </c>
      <c r="L70" s="4">
        <f t="shared" si="52"/>
        <v>1.1296296296296295</v>
      </c>
      <c r="M70" s="360">
        <f t="shared" si="53"/>
        <v>0.16862345159029915</v>
      </c>
      <c r="N70" s="4">
        <f t="shared" si="54"/>
        <v>1.402109620755057</v>
      </c>
      <c r="O70" s="4">
        <f t="shared" si="39"/>
        <v>6.8010548103775283</v>
      </c>
      <c r="P70" s="4">
        <f t="shared" si="40"/>
        <v>5.3989451896224709</v>
      </c>
      <c r="Q70" s="4">
        <f t="shared" si="55"/>
        <v>0</v>
      </c>
      <c r="R70" s="4">
        <f t="shared" si="41"/>
        <v>6.1134136085374715</v>
      </c>
      <c r="S70" s="360">
        <f t="shared" si="56"/>
        <v>0.44848591138861382</v>
      </c>
      <c r="T70" s="360">
        <f t="shared" si="57"/>
        <v>0.3</v>
      </c>
      <c r="U70" s="360" t="e">
        <f t="shared" si="58"/>
        <v>#VALUE!</v>
      </c>
      <c r="V70" s="4">
        <f t="shared" si="42"/>
        <v>0.40475418348814812</v>
      </c>
      <c r="W70" s="360">
        <f t="shared" si="10"/>
        <v>3.2765189810231494E-4</v>
      </c>
      <c r="X70" s="360">
        <f t="shared" si="43"/>
        <v>3.2765189810231494E-4</v>
      </c>
      <c r="Y70" s="4">
        <f t="shared" si="44"/>
        <v>2.2889781739990669</v>
      </c>
      <c r="Z70" s="360">
        <f t="shared" si="11"/>
        <v>5.2394210810441022E-3</v>
      </c>
      <c r="AA70" s="541">
        <f t="shared" si="45"/>
        <v>5.2394210810441022E-3</v>
      </c>
      <c r="AB70" s="360">
        <f t="shared" si="46"/>
        <v>2.5103990779683003</v>
      </c>
      <c r="AC70" s="360">
        <f t="shared" si="59"/>
        <v>3.7812621183984554E-2</v>
      </c>
      <c r="AD70" s="360">
        <f t="shared" si="60"/>
        <v>0.39817634781922551</v>
      </c>
      <c r="AE70" s="360">
        <f t="shared" si="61"/>
        <v>-0.52595999999999998</v>
      </c>
      <c r="AF70" s="360">
        <f t="shared" si="62"/>
        <v>0</v>
      </c>
      <c r="AG70" s="360" t="e">
        <f t="shared" si="63"/>
        <v>#VALUE!</v>
      </c>
      <c r="AH70" s="360">
        <f t="shared" si="64"/>
        <v>5.5742015050038383</v>
      </c>
      <c r="AI70" s="360">
        <f t="shared" si="65"/>
        <v>7.7679306045967636E-2</v>
      </c>
      <c r="AJ70" s="360">
        <f t="shared" si="66"/>
        <v>7.173599999999998E-2</v>
      </c>
      <c r="AK70" s="360" t="e">
        <f t="shared" si="67"/>
        <v>#VALUE!</v>
      </c>
      <c r="AL70" s="360">
        <f t="shared" si="68"/>
        <v>7.173599999999998E-2</v>
      </c>
      <c r="AM70" s="360">
        <f t="shared" si="69"/>
        <v>1.3175999999999999</v>
      </c>
      <c r="AN70" s="360">
        <f t="shared" si="70"/>
        <v>0.18686912974525577</v>
      </c>
      <c r="AO70" s="360">
        <f t="shared" si="71"/>
        <v>2.0999999999999999E-3</v>
      </c>
      <c r="AP70" s="360">
        <f t="shared" si="72"/>
        <v>9.8999999999999991E-2</v>
      </c>
      <c r="AQ70" s="360">
        <f t="shared" si="26"/>
        <v>1.1483999999999999</v>
      </c>
      <c r="AR70" s="360">
        <f t="shared" si="73"/>
        <v>1.089</v>
      </c>
      <c r="AS70" s="360">
        <f t="shared" si="74"/>
        <v>0.1011</v>
      </c>
      <c r="AT70" s="360" t="e">
        <f t="shared" si="75"/>
        <v>#VALUE!</v>
      </c>
      <c r="AU70">
        <f t="shared" si="76"/>
        <v>61</v>
      </c>
      <c r="AV70" s="542" t="e">
        <f t="shared" si="47"/>
        <v>#VALUE!</v>
      </c>
      <c r="AW70" s="551" t="e">
        <f t="shared" si="77"/>
        <v>#VALUE!</v>
      </c>
      <c r="AX70" s="551" t="e">
        <f t="shared" si="78"/>
        <v>#VALUE!</v>
      </c>
      <c r="AY70" s="9"/>
      <c r="AZ70" s="4" t="e">
        <f t="shared" si="48"/>
        <v>#VALUE!</v>
      </c>
      <c r="BA70" s="360" t="e">
        <f t="shared" si="79"/>
        <v>#VALUE!</v>
      </c>
      <c r="BB70" s="360" t="e">
        <f t="shared" si="80"/>
        <v>#VALUE!</v>
      </c>
      <c r="BC70" s="360" t="e">
        <f t="shared" si="81"/>
        <v>#VALUE!</v>
      </c>
      <c r="BD70" s="360" t="e">
        <f t="shared" si="82"/>
        <v>#VALUE!</v>
      </c>
      <c r="BE70" s="360">
        <f t="shared" si="83"/>
        <v>0.18686912974525577</v>
      </c>
      <c r="BK70" s="18"/>
      <c r="BL70" s="19"/>
    </row>
    <row r="71" spans="1:64" x14ac:dyDescent="0.2">
      <c r="A71" s="14" t="s">
        <v>59</v>
      </c>
      <c r="B71" s="15" t="s">
        <v>7</v>
      </c>
      <c r="C71" s="17" t="s">
        <v>76</v>
      </c>
      <c r="G71">
        <v>62</v>
      </c>
      <c r="H71" s="548">
        <f t="shared" si="49"/>
        <v>60</v>
      </c>
      <c r="I71" s="4">
        <f t="shared" si="50"/>
        <v>1</v>
      </c>
      <c r="J71" s="360">
        <f t="shared" si="84"/>
        <v>6.2</v>
      </c>
      <c r="K71" s="360">
        <f t="shared" si="51"/>
        <v>6.2</v>
      </c>
      <c r="L71" s="4">
        <f t="shared" si="52"/>
        <v>1.1481481481481481</v>
      </c>
      <c r="M71" s="360">
        <f t="shared" si="53"/>
        <v>0.16865552506028234</v>
      </c>
      <c r="N71" s="4">
        <f t="shared" si="54"/>
        <v>1.4023257160695646</v>
      </c>
      <c r="O71" s="4">
        <f t="shared" si="39"/>
        <v>6.9011628580347821</v>
      </c>
      <c r="P71" s="4">
        <f t="shared" si="40"/>
        <v>5.4988371419652182</v>
      </c>
      <c r="Q71" s="4">
        <f t="shared" si="55"/>
        <v>0</v>
      </c>
      <c r="R71" s="4">
        <f t="shared" si="41"/>
        <v>6.2132017874170566</v>
      </c>
      <c r="S71" s="360">
        <f t="shared" si="56"/>
        <v>0.46324651741395007</v>
      </c>
      <c r="T71" s="360">
        <f t="shared" si="57"/>
        <v>0.3</v>
      </c>
      <c r="U71" s="360" t="e">
        <f t="shared" si="58"/>
        <v>#VALUE!</v>
      </c>
      <c r="V71" s="4">
        <f t="shared" si="42"/>
        <v>0.40481656483214895</v>
      </c>
      <c r="W71" s="360">
        <f t="shared" si="10"/>
        <v>3.2775290232500291E-4</v>
      </c>
      <c r="X71" s="360">
        <f t="shared" si="43"/>
        <v>3.2775290232500291E-4</v>
      </c>
      <c r="Y71" s="4">
        <f t="shared" si="44"/>
        <v>2.3265171185806421</v>
      </c>
      <c r="Z71" s="360">
        <f t="shared" si="11"/>
        <v>5.4126819030487737E-3</v>
      </c>
      <c r="AA71" s="541">
        <f t="shared" si="45"/>
        <v>5.4126819030487737E-3</v>
      </c>
      <c r="AB71" s="360">
        <f t="shared" si="46"/>
        <v>2.5516185162036038</v>
      </c>
      <c r="AC71" s="360">
        <f t="shared" si="59"/>
        <v>3.9064542313398488E-2</v>
      </c>
      <c r="AD71" s="360">
        <f t="shared" si="60"/>
        <v>0.40470382893101609</v>
      </c>
      <c r="AE71" s="360">
        <f t="shared" si="61"/>
        <v>-0.52595999999999998</v>
      </c>
      <c r="AF71" s="360">
        <f t="shared" si="62"/>
        <v>0</v>
      </c>
      <c r="AG71" s="360" t="e">
        <f t="shared" si="63"/>
        <v>#VALUE!</v>
      </c>
      <c r="AH71" s="360">
        <f t="shared" si="64"/>
        <v>5.6650789402204644</v>
      </c>
      <c r="AI71" s="360">
        <f t="shared" si="65"/>
        <v>8.0232798497323551E-2</v>
      </c>
      <c r="AJ71" s="360">
        <f t="shared" si="66"/>
        <v>7.2911999999999991E-2</v>
      </c>
      <c r="AK71" s="360" t="e">
        <f t="shared" si="67"/>
        <v>#VALUE!</v>
      </c>
      <c r="AL71" s="360">
        <f t="shared" si="68"/>
        <v>7.2911999999999991E-2</v>
      </c>
      <c r="AM71" s="360">
        <f t="shared" si="69"/>
        <v>1.3392000000000002</v>
      </c>
      <c r="AN71" s="360">
        <f t="shared" si="70"/>
        <v>0.19301938225581253</v>
      </c>
      <c r="AO71" s="360">
        <f t="shared" si="71"/>
        <v>2.0999999999999999E-3</v>
      </c>
      <c r="AP71" s="360">
        <f t="shared" si="72"/>
        <v>9.8999999999999991E-2</v>
      </c>
      <c r="AQ71" s="360">
        <f t="shared" si="26"/>
        <v>1.1483999999999999</v>
      </c>
      <c r="AR71" s="360">
        <f t="shared" si="73"/>
        <v>1.089</v>
      </c>
      <c r="AS71" s="360">
        <f t="shared" si="74"/>
        <v>0.1011</v>
      </c>
      <c r="AT71" s="360" t="e">
        <f t="shared" si="75"/>
        <v>#VALUE!</v>
      </c>
      <c r="AU71">
        <f t="shared" si="76"/>
        <v>62</v>
      </c>
      <c r="AV71" s="542" t="e">
        <f t="shared" si="47"/>
        <v>#VALUE!</v>
      </c>
      <c r="AW71" s="551" t="e">
        <f t="shared" si="77"/>
        <v>#VALUE!</v>
      </c>
      <c r="AX71" s="551" t="e">
        <f t="shared" si="78"/>
        <v>#VALUE!</v>
      </c>
      <c r="AY71" s="9"/>
      <c r="AZ71" s="4" t="e">
        <f t="shared" si="48"/>
        <v>#VALUE!</v>
      </c>
      <c r="BA71" s="360" t="e">
        <f t="shared" si="79"/>
        <v>#VALUE!</v>
      </c>
      <c r="BB71" s="360" t="e">
        <f t="shared" si="80"/>
        <v>#VALUE!</v>
      </c>
      <c r="BC71" s="360" t="e">
        <f t="shared" si="81"/>
        <v>#VALUE!</v>
      </c>
      <c r="BD71" s="360" t="e">
        <f t="shared" si="82"/>
        <v>#VALUE!</v>
      </c>
      <c r="BE71" s="360">
        <f t="shared" si="83"/>
        <v>0.19301938225581253</v>
      </c>
      <c r="BK71" s="18"/>
      <c r="BL71" s="19"/>
    </row>
    <row r="72" spans="1:64" x14ac:dyDescent="0.2">
      <c r="A72" s="32" t="s">
        <v>88</v>
      </c>
      <c r="B72" s="450">
        <f>(Qgd_Q1+Qgs_Q1/2)*(RdsonDRT+Rgate1)/(VCC-Vsp_Q1)*1000000000</f>
        <v>2.5466237942122185</v>
      </c>
      <c r="C72" s="21" t="s">
        <v>75</v>
      </c>
      <c r="D72" s="114" t="s">
        <v>508</v>
      </c>
      <c r="G72">
        <v>63</v>
      </c>
      <c r="H72" s="548">
        <f t="shared" si="49"/>
        <v>60</v>
      </c>
      <c r="I72" s="4">
        <f t="shared" si="50"/>
        <v>1</v>
      </c>
      <c r="J72" s="360">
        <f t="shared" si="84"/>
        <v>6.3</v>
      </c>
      <c r="K72" s="360">
        <f t="shared" si="51"/>
        <v>6.3</v>
      </c>
      <c r="L72" s="4">
        <f t="shared" si="52"/>
        <v>1.1666666666666667</v>
      </c>
      <c r="M72" s="360">
        <f t="shared" si="53"/>
        <v>0.16868759836992339</v>
      </c>
      <c r="N72" s="4">
        <f t="shared" si="54"/>
        <v>1.4025417908068367</v>
      </c>
      <c r="O72" s="4">
        <f t="shared" si="39"/>
        <v>7.001270895403418</v>
      </c>
      <c r="P72" s="4">
        <f t="shared" si="40"/>
        <v>5.5987291045965817</v>
      </c>
      <c r="Q72" s="4">
        <f t="shared" si="55"/>
        <v>0</v>
      </c>
      <c r="R72" s="4">
        <f t="shared" si="41"/>
        <v>6.3129966700645923</v>
      </c>
      <c r="S72" s="360">
        <f t="shared" si="56"/>
        <v>0.47824712347495957</v>
      </c>
      <c r="T72" s="360">
        <f t="shared" si="57"/>
        <v>0.3</v>
      </c>
      <c r="U72" s="360" t="e">
        <f t="shared" si="58"/>
        <v>#VALUE!</v>
      </c>
      <c r="V72" s="4">
        <f t="shared" si="42"/>
        <v>0.40487894023601351</v>
      </c>
      <c r="W72" s="360">
        <f t="shared" si="10"/>
        <v>3.2785391249327481E-4</v>
      </c>
      <c r="X72" s="360">
        <f t="shared" si="43"/>
        <v>3.2785391249327481E-4</v>
      </c>
      <c r="Y72" s="4">
        <f t="shared" si="44"/>
        <v>2.3640642065005846</v>
      </c>
      <c r="Z72" s="360">
        <f t="shared" si="11"/>
        <v>5.5887995724572389E-3</v>
      </c>
      <c r="AA72" s="541">
        <f t="shared" si="45"/>
        <v>5.5887995724572389E-3</v>
      </c>
      <c r="AB72" s="360">
        <f t="shared" si="46"/>
        <v>2.5928484768415596</v>
      </c>
      <c r="AC72" s="360">
        <f t="shared" si="59"/>
        <v>4.033717934315758E-2</v>
      </c>
      <c r="AD72" s="360">
        <f t="shared" si="60"/>
        <v>0.41123131004280666</v>
      </c>
      <c r="AE72" s="360">
        <f t="shared" si="61"/>
        <v>-0.52595999999999998</v>
      </c>
      <c r="AF72" s="360">
        <f t="shared" si="62"/>
        <v>0</v>
      </c>
      <c r="AG72" s="360" t="e">
        <f t="shared" si="63"/>
        <v>#VALUE!</v>
      </c>
      <c r="AH72" s="360">
        <f t="shared" si="64"/>
        <v>5.7559589759124439</v>
      </c>
      <c r="AI72" s="360">
        <f t="shared" si="65"/>
        <v>8.2827659330967571E-2</v>
      </c>
      <c r="AJ72" s="360">
        <f t="shared" si="66"/>
        <v>7.4087999999999987E-2</v>
      </c>
      <c r="AK72" s="360" t="e">
        <f t="shared" si="67"/>
        <v>#VALUE!</v>
      </c>
      <c r="AL72" s="360">
        <f t="shared" si="68"/>
        <v>7.4087999999999987E-2</v>
      </c>
      <c r="AM72" s="360">
        <f t="shared" si="69"/>
        <v>1.3607999999999998</v>
      </c>
      <c r="AN72" s="360">
        <f t="shared" si="70"/>
        <v>0.19926963478123316</v>
      </c>
      <c r="AO72" s="360">
        <f t="shared" si="71"/>
        <v>2.0999999999999999E-3</v>
      </c>
      <c r="AP72" s="360">
        <f t="shared" si="72"/>
        <v>9.8999999999999991E-2</v>
      </c>
      <c r="AQ72" s="360">
        <f t="shared" si="26"/>
        <v>1.1483999999999999</v>
      </c>
      <c r="AR72" s="360">
        <f t="shared" si="73"/>
        <v>1.089</v>
      </c>
      <c r="AS72" s="360">
        <f t="shared" si="74"/>
        <v>0.1011</v>
      </c>
      <c r="AT72" s="360" t="e">
        <f t="shared" si="75"/>
        <v>#VALUE!</v>
      </c>
      <c r="AU72">
        <f t="shared" si="76"/>
        <v>63</v>
      </c>
      <c r="AV72" s="542" t="e">
        <f t="shared" si="47"/>
        <v>#VALUE!</v>
      </c>
      <c r="AW72" s="551" t="e">
        <f t="shared" si="77"/>
        <v>#VALUE!</v>
      </c>
      <c r="AX72" s="551" t="e">
        <f t="shared" si="78"/>
        <v>#VALUE!</v>
      </c>
      <c r="AY72" s="9"/>
      <c r="AZ72" s="4" t="e">
        <f t="shared" si="48"/>
        <v>#VALUE!</v>
      </c>
      <c r="BA72" s="360" t="e">
        <f t="shared" si="79"/>
        <v>#VALUE!</v>
      </c>
      <c r="BB72" s="360" t="e">
        <f t="shared" si="80"/>
        <v>#VALUE!</v>
      </c>
      <c r="BC72" s="360" t="e">
        <f t="shared" si="81"/>
        <v>#VALUE!</v>
      </c>
      <c r="BD72" s="360" t="e">
        <f t="shared" si="82"/>
        <v>#VALUE!</v>
      </c>
      <c r="BE72" s="360">
        <f t="shared" si="83"/>
        <v>0.19926963478123316</v>
      </c>
      <c r="BK72" s="18"/>
      <c r="BL72" s="19"/>
    </row>
    <row r="73" spans="1:64" x14ac:dyDescent="0.2">
      <c r="A73" s="33" t="s">
        <v>89</v>
      </c>
      <c r="B73" s="450">
        <f>(Qgd_Q1+Qgs_Q1/2)*(RdsonDRT2+Rgate1)/(Vsp_Q1)*1000000000</f>
        <v>1.0797546012269938</v>
      </c>
      <c r="C73" s="21" t="s">
        <v>75</v>
      </c>
      <c r="D73" s="114" t="s">
        <v>509</v>
      </c>
      <c r="G73">
        <v>64</v>
      </c>
      <c r="H73" s="548">
        <f t="shared" ref="H73:H109" si="85">Vin</f>
        <v>60</v>
      </c>
      <c r="I73" s="4">
        <f t="shared" ref="I73:I109" si="86">MODE</f>
        <v>1</v>
      </c>
      <c r="J73" s="360">
        <f t="shared" si="84"/>
        <v>6.4</v>
      </c>
      <c r="K73" s="360">
        <f t="shared" ref="K73:K109" si="87">Iout*G73/100/Number_of_Phases</f>
        <v>6.4</v>
      </c>
      <c r="L73" s="4">
        <f t="shared" ref="L73:L104" si="88">Vout*K73/(Vin*Efficiency)</f>
        <v>1.1851851851851851</v>
      </c>
      <c r="M73" s="360">
        <f t="shared" ref="M73:M109" si="89">(Vout+(Rdson2+Rs+Rdcr)*K73)/(Vin+(Rs+Rdson2-Rdson1)*K73)</f>
        <v>0.1687196715192236</v>
      </c>
      <c r="N73" s="4">
        <f t="shared" ref="N73:N104" si="90">(Vin-(Rdson1+Rdcr)*K73-Vout)*M73/(Fsw*Lf)</f>
        <v>1.4027578449670273</v>
      </c>
      <c r="O73" s="4">
        <f t="shared" si="39"/>
        <v>7.101378922483514</v>
      </c>
      <c r="P73" s="4">
        <f t="shared" si="40"/>
        <v>5.6986210775164867</v>
      </c>
      <c r="Q73" s="4">
        <f t="shared" ref="Q73:Q104" si="91">IF(MIN(Vin, -P73/(Coss_Q1+Coss_Q2)*0.00000002)&lt;0, 0, MIN(Vin, -P73/(Coss_Q1+Coss_Q2)*0.00000002))</f>
        <v>0</v>
      </c>
      <c r="R73" s="4">
        <f t="shared" si="41"/>
        <v>6.412797943511193</v>
      </c>
      <c r="S73" s="360">
        <f t="shared" ref="S73:S104" si="92">R73^2*Rdcr</f>
        <v>0.49348772957161663</v>
      </c>
      <c r="T73" s="360">
        <f t="shared" ref="T73:T109" si="93">Core_Loss_Ch1</f>
        <v>0.3</v>
      </c>
      <c r="U73" s="360" t="e">
        <f t="shared" ref="U73:U104" si="94">(T73+S73*(1+Ltc*(Ta-25)))/(1-S73*Ltc*ThetaCa)</f>
        <v>#VALUE!</v>
      </c>
      <c r="V73" s="4">
        <f t="shared" si="42"/>
        <v>0.40494130969978626</v>
      </c>
      <c r="W73" s="360">
        <f t="shared" si="10"/>
        <v>3.2795492860275647E-4</v>
      </c>
      <c r="X73" s="360">
        <f t="shared" si="43"/>
        <v>3.2795492860275647E-4</v>
      </c>
      <c r="Y73" s="4">
        <f t="shared" si="44"/>
        <v>2.4016193196201145</v>
      </c>
      <c r="Z73" s="360">
        <f t="shared" si="11"/>
        <v>5.7677753563725818E-3</v>
      </c>
      <c r="AA73" s="541">
        <f t="shared" si="45"/>
        <v>5.7677753563725818E-3</v>
      </c>
      <c r="AB73" s="360">
        <f t="shared" si="46"/>
        <v>2.6340888309510144</v>
      </c>
      <c r="AC73" s="360">
        <f t="shared" ref="AC73:AC104" si="95">Rdson1*AB73^2</f>
        <v>4.1630543816045293E-2</v>
      </c>
      <c r="AD73" s="360">
        <f t="shared" ref="AD73:AD109" si="96">(Vin*K73/2)*Fsw*(Tr_buck+Tf_buck)</f>
        <v>0.41775879115459724</v>
      </c>
      <c r="AE73" s="360">
        <f t="shared" ref="AE73:AE109" si="97">(0.5*Coss_Q1*(Vin-Q73)^2-0.5*Coss_Q2*(Vin-Q73)^2+(Qoss_Q2*(Vin-Q73)/Vin)*Vin)*Fsw</f>
        <v>-0.52595999999999998</v>
      </c>
      <c r="AF73" s="360">
        <f t="shared" ref="AF73:AF109" si="98">IF(K73&gt;N73/2,0,ABS(K73-N73/2)*Vsd_Q1*Deadtime*Fsw)</f>
        <v>0</v>
      </c>
      <c r="AG73" s="360" t="e">
        <f t="shared" ref="AG73:AG104" si="99">(AF73+AE73+AD73+AC73*(1+RdsonTopTc*Ta-RdsonTopTc*25))/(1-AC73*RdsonTopTc*ThetaJA_Q1)</f>
        <v>#VALUE!</v>
      </c>
      <c r="AH73" s="360">
        <f t="shared" ref="AH73:AH109" si="100">SQRT((1-M73))*SQRT(K73^2+(N73^2)/12)</f>
        <v>5.8468413263026475</v>
      </c>
      <c r="AI73" s="360">
        <f t="shared" ref="AI73:AI104" si="101">Rdson2*AH73^2</f>
        <v>8.5463883737401256E-2</v>
      </c>
      <c r="AJ73" s="360">
        <f t="shared" ref="AJ73:AJ109" si="102">IF(K73&lt;N73/2,Deadtime*Fsw*IF(VfdSky_Q2&gt;0,0,Vsd_Q2)*(K73+N73/2),2*Deadtime*Fsw*IF(VfdSky_Q2&gt;0,0,Vsd_Q2)*K73)</f>
        <v>7.5263999999999998E-2</v>
      </c>
      <c r="AK73" s="360" t="e">
        <f t="shared" ref="AK73:AK104" si="103">(AJ73+AI73*(1+RdsonBotTc*Ta-RdsonBotTc*25))/(1-AI73*RdsonBotTc*ThetaJA_Q2)</f>
        <v>#VALUE!</v>
      </c>
      <c r="AL73" s="360">
        <f t="shared" ref="AL73:AL109" si="104">2*Deadtime*Fsw*IF(VfdSky_Q2&gt;0,VfdSky_Q2,Vsd_Q2)*K73</f>
        <v>7.5263999999999998E-2</v>
      </c>
      <c r="AM73" s="360">
        <f t="shared" ref="AM73:AM109" si="105">IF(QrrSky_Q2&gt;0,QrrSky_Q2,Qrr_Q2*K73/(Iout/Number_of_Phases))*Fsw*Vin</f>
        <v>1.3824000000000001</v>
      </c>
      <c r="AN73" s="360">
        <f t="shared" ref="AN73:AN109" si="106">CHOOSE(SENSING_TYPE, Rs*R73^2, 0)</f>
        <v>0.20561988732150693</v>
      </c>
      <c r="AO73" s="360">
        <f t="shared" ref="AO73:AO109" si="107">Iq*Vin</f>
        <v>2.0999999999999999E-3</v>
      </c>
      <c r="AP73" s="360">
        <f t="shared" ref="AP73:AP109" si="108">IF(Ext_VCC=1,  (Qg_Q1+Qg_Q2)*Fsw*VCC, (Qg_Q1+Qg_Q2)*Fsw*Vin)</f>
        <v>9.8999999999999991E-2</v>
      </c>
      <c r="AQ73" s="360">
        <f t="shared" ref="AQ73:AQ109" si="109">(Vin-VCC)*Fsw*(Qg_Q1+Qg_Q2)+(RdsonDRT+RdsonDRT2)*Fsw*Qg_Q1*VCC/(RdsonDRT+2*Rgate1+RdsonDRT2)+(RdsonDRB+RdsonDRB2)*Fsw*Qg_Q2*VCC/(RdsonDRB+2*Rgate2+RdsonDRB2)</f>
        <v>1.1483999999999999</v>
      </c>
      <c r="AR73" s="360">
        <f t="shared" ref="AR73:AR109" si="110">(Qg_Q1+Qg_Q2)*Fsw*(Vin-VCC)</f>
        <v>1.089</v>
      </c>
      <c r="AS73" s="360">
        <f t="shared" si="74"/>
        <v>0.1011</v>
      </c>
      <c r="AT73" s="360" t="e">
        <f t="shared" ref="AT73:AT104" si="111" xml:space="preserve"> SUM(U73,X73,AA73,AG73,AK73,AL73,AM73,AS73,AN73)</f>
        <v>#VALUE!</v>
      </c>
      <c r="AU73">
        <f t="shared" ref="AU73:AU109" si="112">Vout*K73</f>
        <v>64</v>
      </c>
      <c r="AV73" s="542" t="e">
        <f t="shared" si="47"/>
        <v>#VALUE!</v>
      </c>
      <c r="AW73" s="551" t="e">
        <f t="shared" ref="AW73:AW109" si="113">ThetaJA_Q1*BC73</f>
        <v>#VALUE!</v>
      </c>
      <c r="AX73" s="551" t="e">
        <f t="shared" ref="AX73:AX109" si="114">ThetaJA_Q2*BD73</f>
        <v>#VALUE!</v>
      </c>
      <c r="AY73" s="9"/>
      <c r="AZ73" s="4" t="e">
        <f t="shared" si="48"/>
        <v>#VALUE!</v>
      </c>
      <c r="BA73" s="360" t="e">
        <f t="shared" ref="BA73:BA109" si="115">U73</f>
        <v>#VALUE!</v>
      </c>
      <c r="BB73" s="360" t="e">
        <f t="shared" si="80"/>
        <v>#VALUE!</v>
      </c>
      <c r="BC73" s="360" t="e">
        <f t="shared" si="81"/>
        <v>#VALUE!</v>
      </c>
      <c r="BD73" s="360" t="e">
        <f t="shared" si="82"/>
        <v>#VALUE!</v>
      </c>
      <c r="BE73" s="360">
        <f t="shared" si="83"/>
        <v>0.20561988732150693</v>
      </c>
      <c r="BK73" s="18"/>
      <c r="BL73" s="19"/>
    </row>
    <row r="74" spans="1:64" x14ac:dyDescent="0.2">
      <c r="A74" s="14" t="s">
        <v>114</v>
      </c>
      <c r="B74" s="15" t="s">
        <v>7</v>
      </c>
      <c r="C74" s="17" t="s">
        <v>76</v>
      </c>
      <c r="G74">
        <v>65</v>
      </c>
      <c r="H74" s="548">
        <f t="shared" si="85"/>
        <v>60</v>
      </c>
      <c r="I74" s="4">
        <f t="shared" si="86"/>
        <v>1</v>
      </c>
      <c r="J74" s="360">
        <f t="shared" ref="J74:J109" si="116">Iout*G74/100</f>
        <v>6.5</v>
      </c>
      <c r="K74" s="360">
        <f t="shared" si="87"/>
        <v>6.5</v>
      </c>
      <c r="L74" s="4">
        <f t="shared" si="88"/>
        <v>1.2037037037037037</v>
      </c>
      <c r="M74" s="360">
        <f t="shared" si="89"/>
        <v>0.16875174450818409</v>
      </c>
      <c r="N74" s="4">
        <f t="shared" si="90"/>
        <v>1.402973878550291</v>
      </c>
      <c r="O74" s="4">
        <f t="shared" ref="O74:O109" si="117">K74+N74/2</f>
        <v>7.2014869392751457</v>
      </c>
      <c r="P74" s="4">
        <f t="shared" ref="P74:P109" si="118">K74-N74/2</f>
        <v>5.7985130607248543</v>
      </c>
      <c r="Q74" s="4">
        <f t="shared" si="91"/>
        <v>0</v>
      </c>
      <c r="R74" s="4">
        <f t="shared" ref="R74:R109" si="119">SQRT(K74^2+(N74^2)/12)</f>
        <v>6.512605313952669</v>
      </c>
      <c r="S74" s="360">
        <f t="shared" si="92"/>
        <v>0.50896833570389455</v>
      </c>
      <c r="T74" s="360">
        <f t="shared" si="93"/>
        <v>0.3</v>
      </c>
      <c r="U74" s="360" t="e">
        <f t="shared" si="94"/>
        <v>#VALUE!</v>
      </c>
      <c r="V74" s="4">
        <f t="shared" ref="V74:V109" si="120">N74/SQRT(12)</f>
        <v>0.40500367322351194</v>
      </c>
      <c r="W74" s="360">
        <f t="shared" ref="W74:W109" si="121">RCoutEsr*V74^2</f>
        <v>3.2805595064907449E-4</v>
      </c>
      <c r="X74" s="360">
        <f t="shared" ref="X74:X109" si="122">W74</f>
        <v>3.2805595064907449E-4</v>
      </c>
      <c r="Y74" s="4">
        <f t="shared" ref="Y74:Y109" si="123">SQRT(M74*(1-M74))*SQRT(K74^2+(N74^2)/12)</f>
        <v>2.439182346943007</v>
      </c>
      <c r="Z74" s="360">
        <f t="shared" ref="Z74:Z109" si="124">RCinEsr*Y74^2</f>
        <v>5.9496105216383958E-3</v>
      </c>
      <c r="AA74" s="541">
        <f t="shared" ref="AA74:AA109" si="125">Z74</f>
        <v>5.9496105216383958E-3</v>
      </c>
      <c r="AB74" s="360">
        <f t="shared" ref="AB74:AB109" si="126">SQRT(M74)*SQRT(K74^2+(N74^2)/12)</f>
        <v>2.6753394574249714</v>
      </c>
      <c r="AC74" s="360">
        <f t="shared" si="95"/>
        <v>4.2944647274729644E-2</v>
      </c>
      <c r="AD74" s="360">
        <f t="shared" si="96"/>
        <v>0.42428627226638782</v>
      </c>
      <c r="AE74" s="360">
        <f t="shared" si="97"/>
        <v>-0.52595999999999998</v>
      </c>
      <c r="AF74" s="360">
        <f t="shared" si="98"/>
        <v>0</v>
      </c>
      <c r="AG74" s="360" t="e">
        <f t="shared" si="99"/>
        <v>#VALUE!</v>
      </c>
      <c r="AH74" s="360">
        <f t="shared" si="100"/>
        <v>5.9377257231089411</v>
      </c>
      <c r="AI74" s="360">
        <f t="shared" si="101"/>
        <v>8.814146690717399E-2</v>
      </c>
      <c r="AJ74" s="360">
        <f t="shared" si="102"/>
        <v>7.643999999999998E-2</v>
      </c>
      <c r="AK74" s="360" t="e">
        <f t="shared" si="103"/>
        <v>#VALUE!</v>
      </c>
      <c r="AL74" s="360">
        <f t="shared" si="104"/>
        <v>7.643999999999998E-2</v>
      </c>
      <c r="AM74" s="360">
        <f t="shared" si="105"/>
        <v>1.4040000000000001</v>
      </c>
      <c r="AN74" s="360">
        <f t="shared" si="106"/>
        <v>0.21207013987662271</v>
      </c>
      <c r="AO74" s="360">
        <f t="shared" si="107"/>
        <v>2.0999999999999999E-3</v>
      </c>
      <c r="AP74" s="360">
        <f t="shared" si="108"/>
        <v>9.8999999999999991E-2</v>
      </c>
      <c r="AQ74" s="360">
        <f t="shared" si="109"/>
        <v>1.1483999999999999</v>
      </c>
      <c r="AR74" s="360">
        <f t="shared" si="110"/>
        <v>1.089</v>
      </c>
      <c r="AS74" s="360">
        <f t="shared" si="74"/>
        <v>0.1011</v>
      </c>
      <c r="AT74" s="360" t="e">
        <f t="shared" si="111"/>
        <v>#VALUE!</v>
      </c>
      <c r="AU74">
        <f t="shared" si="112"/>
        <v>65</v>
      </c>
      <c r="AV74" s="542" t="e">
        <f t="shared" ref="AV74:AV109" si="127">AU74/(AU74+AT74)</f>
        <v>#VALUE!</v>
      </c>
      <c r="AW74" s="551" t="e">
        <f t="shared" si="113"/>
        <v>#VALUE!</v>
      </c>
      <c r="AX74" s="551" t="e">
        <f t="shared" si="114"/>
        <v>#VALUE!</v>
      </c>
      <c r="AY74" s="9"/>
      <c r="AZ74" s="4" t="e">
        <f t="shared" ref="AZ74:AZ109" si="128">AV74*100</f>
        <v>#VALUE!</v>
      </c>
      <c r="BA74" s="360" t="e">
        <f t="shared" si="115"/>
        <v>#VALUE!</v>
      </c>
      <c r="BB74" s="360" t="e">
        <f t="shared" ref="BB74:BB109" si="129">AG74+AK74+AM74</f>
        <v>#VALUE!</v>
      </c>
      <c r="BC74" s="360" t="e">
        <f t="shared" ref="BC74:BC109" si="130">AG74+AM74*0.66</f>
        <v>#VALUE!</v>
      </c>
      <c r="BD74" s="360" t="e">
        <f t="shared" ref="BD74:BD109" si="131">AK74+AM74*0.33</f>
        <v>#VALUE!</v>
      </c>
      <c r="BE74" s="360">
        <f t="shared" ref="BE74:BE109" si="132">AN74</f>
        <v>0.21207013987662271</v>
      </c>
      <c r="BK74" s="18"/>
      <c r="BL74" s="19"/>
    </row>
    <row r="75" spans="1:64" x14ac:dyDescent="0.2">
      <c r="A75" s="34" t="s">
        <v>115</v>
      </c>
      <c r="B75" s="603">
        <f>AS9</f>
        <v>0.1011</v>
      </c>
      <c r="C75" s="78" t="s">
        <v>116</v>
      </c>
      <c r="G75">
        <v>66</v>
      </c>
      <c r="H75" s="548">
        <f t="shared" si="85"/>
        <v>60</v>
      </c>
      <c r="I75" s="4">
        <f t="shared" si="86"/>
        <v>1</v>
      </c>
      <c r="J75" s="360">
        <f t="shared" si="116"/>
        <v>6.6</v>
      </c>
      <c r="K75" s="360">
        <f t="shared" si="87"/>
        <v>6.6</v>
      </c>
      <c r="L75" s="4">
        <f t="shared" si="88"/>
        <v>1.2222222222222223</v>
      </c>
      <c r="M75" s="360">
        <f t="shared" si="89"/>
        <v>0.16878381733680609</v>
      </c>
      <c r="N75" s="4">
        <f t="shared" si="90"/>
        <v>1.4031898915567815</v>
      </c>
      <c r="O75" s="4">
        <f t="shared" si="117"/>
        <v>7.3015949457783904</v>
      </c>
      <c r="P75" s="4">
        <f t="shared" si="118"/>
        <v>5.8984050542216089</v>
      </c>
      <c r="Q75" s="4">
        <f t="shared" si="91"/>
        <v>0</v>
      </c>
      <c r="R75" s="4">
        <f t="shared" si="119"/>
        <v>6.612418505306052</v>
      </c>
      <c r="S75" s="360">
        <f t="shared" si="92"/>
        <v>0.52468894187176707</v>
      </c>
      <c r="T75" s="360">
        <f t="shared" si="93"/>
        <v>0.3</v>
      </c>
      <c r="U75" s="360" t="e">
        <f t="shared" si="94"/>
        <v>#VALUE!</v>
      </c>
      <c r="V75" s="4">
        <f t="shared" si="120"/>
        <v>0.4050660308072348</v>
      </c>
      <c r="W75" s="360">
        <f t="shared" si="121"/>
        <v>3.2815697862785537E-4</v>
      </c>
      <c r="X75" s="360">
        <f t="shared" si="122"/>
        <v>3.2815697862785537E-4</v>
      </c>
      <c r="Y75" s="4">
        <f t="shared" si="123"/>
        <v>2.4767531840776575</v>
      </c>
      <c r="Z75" s="360">
        <f t="shared" si="124"/>
        <v>6.1343063348388155E-3</v>
      </c>
      <c r="AA75" s="541">
        <f t="shared" si="125"/>
        <v>6.1343063348388155E-3</v>
      </c>
      <c r="AB75" s="360">
        <f t="shared" si="126"/>
        <v>2.7166002423913116</v>
      </c>
      <c r="AC75" s="360">
        <f t="shared" si="95"/>
        <v>4.42795012617632E-2</v>
      </c>
      <c r="AD75" s="360">
        <f t="shared" si="96"/>
        <v>0.4308137533781784</v>
      </c>
      <c r="AE75" s="360">
        <f t="shared" si="97"/>
        <v>-0.52595999999999998</v>
      </c>
      <c r="AF75" s="360">
        <f t="shared" si="98"/>
        <v>0</v>
      </c>
      <c r="AG75" s="360" t="e">
        <f t="shared" si="99"/>
        <v>#VALUE!</v>
      </c>
      <c r="AH75" s="360">
        <f t="shared" si="100"/>
        <v>6.0286119142264738</v>
      </c>
      <c r="AI75" s="360">
        <f t="shared" si="101"/>
        <v>9.0860404030883468E-2</v>
      </c>
      <c r="AJ75" s="360">
        <f t="shared" si="102"/>
        <v>7.7615999999999977E-2</v>
      </c>
      <c r="AK75" s="360" t="e">
        <f t="shared" si="103"/>
        <v>#VALUE!</v>
      </c>
      <c r="AL75" s="360">
        <f t="shared" si="104"/>
        <v>7.7615999999999977E-2</v>
      </c>
      <c r="AM75" s="360">
        <f t="shared" si="105"/>
        <v>1.4256</v>
      </c>
      <c r="AN75" s="360">
        <f t="shared" si="106"/>
        <v>0.21862039244656964</v>
      </c>
      <c r="AO75" s="360">
        <f t="shared" si="107"/>
        <v>2.0999999999999999E-3</v>
      </c>
      <c r="AP75" s="360">
        <f t="shared" si="108"/>
        <v>9.8999999999999991E-2</v>
      </c>
      <c r="AQ75" s="360">
        <f t="shared" si="109"/>
        <v>1.1483999999999999</v>
      </c>
      <c r="AR75" s="360">
        <f t="shared" si="110"/>
        <v>1.089</v>
      </c>
      <c r="AS75" s="360">
        <f t="shared" ref="AS75:AS109" si="133">SUM(AO75:AP75)</f>
        <v>0.1011</v>
      </c>
      <c r="AT75" s="360" t="e">
        <f t="shared" si="111"/>
        <v>#VALUE!</v>
      </c>
      <c r="AU75">
        <f t="shared" si="112"/>
        <v>66</v>
      </c>
      <c r="AV75" s="542" t="e">
        <f t="shared" si="127"/>
        <v>#VALUE!</v>
      </c>
      <c r="AW75" s="551" t="e">
        <f t="shared" si="113"/>
        <v>#VALUE!</v>
      </c>
      <c r="AX75" s="551" t="e">
        <f t="shared" si="114"/>
        <v>#VALUE!</v>
      </c>
      <c r="AY75" s="9"/>
      <c r="AZ75" s="4" t="e">
        <f t="shared" si="128"/>
        <v>#VALUE!</v>
      </c>
      <c r="BA75" s="360" t="e">
        <f t="shared" si="115"/>
        <v>#VALUE!</v>
      </c>
      <c r="BB75" s="360" t="e">
        <f t="shared" si="129"/>
        <v>#VALUE!</v>
      </c>
      <c r="BC75" s="360" t="e">
        <f t="shared" si="130"/>
        <v>#VALUE!</v>
      </c>
      <c r="BD75" s="360" t="e">
        <f t="shared" si="131"/>
        <v>#VALUE!</v>
      </c>
      <c r="BE75" s="360">
        <f t="shared" si="132"/>
        <v>0.21862039244656964</v>
      </c>
      <c r="BK75" s="18"/>
      <c r="BL75" s="19"/>
    </row>
    <row r="76" spans="1:64" x14ac:dyDescent="0.2">
      <c r="A76" s="34" t="s">
        <v>119</v>
      </c>
      <c r="B76" s="604">
        <f>B75*B62</f>
        <v>3.0329999999999999</v>
      </c>
      <c r="C76" s="440" t="s">
        <v>465</v>
      </c>
      <c r="G76">
        <v>67</v>
      </c>
      <c r="H76" s="548">
        <f t="shared" si="85"/>
        <v>60</v>
      </c>
      <c r="I76" s="4">
        <f t="shared" si="86"/>
        <v>1</v>
      </c>
      <c r="J76" s="360">
        <f t="shared" si="116"/>
        <v>6.7</v>
      </c>
      <c r="K76" s="360">
        <f t="shared" si="87"/>
        <v>6.7</v>
      </c>
      <c r="L76" s="4">
        <f t="shared" si="88"/>
        <v>1.2407407407407407</v>
      </c>
      <c r="M76" s="360">
        <f t="shared" si="89"/>
        <v>0.16881589000509081</v>
      </c>
      <c r="N76" s="4">
        <f t="shared" si="90"/>
        <v>1.4034058839866543</v>
      </c>
      <c r="O76" s="4">
        <f t="shared" si="117"/>
        <v>7.4017029419933271</v>
      </c>
      <c r="P76" s="4">
        <f t="shared" si="118"/>
        <v>5.9982970580066732</v>
      </c>
      <c r="Q76" s="4">
        <f t="shared" si="91"/>
        <v>0</v>
      </c>
      <c r="R76" s="4">
        <f t="shared" si="119"/>
        <v>6.7122372578945217</v>
      </c>
      <c r="S76" s="360">
        <f t="shared" si="92"/>
        <v>0.54064954807520837</v>
      </c>
      <c r="T76" s="360">
        <f t="shared" si="93"/>
        <v>0.3</v>
      </c>
      <c r="U76" s="360" t="e">
        <f t="shared" si="94"/>
        <v>#VALUE!</v>
      </c>
      <c r="V76" s="4">
        <f t="shared" si="120"/>
        <v>0.4051283824509998</v>
      </c>
      <c r="W76" s="360">
        <f t="shared" si="121"/>
        <v>3.2825801253472716E-4</v>
      </c>
      <c r="X76" s="360">
        <f t="shared" si="122"/>
        <v>3.2825801253472716E-4</v>
      </c>
      <c r="Y76" s="4">
        <f t="shared" si="123"/>
        <v>2.5143317327469954</v>
      </c>
      <c r="Z76" s="360">
        <f t="shared" si="124"/>
        <v>6.3218640622985083E-3</v>
      </c>
      <c r="AA76" s="541">
        <f t="shared" si="125"/>
        <v>6.3218640622985083E-3</v>
      </c>
      <c r="AB76" s="360">
        <f t="shared" si="126"/>
        <v>2.7578710786759419</v>
      </c>
      <c r="AC76" s="360">
        <f t="shared" si="95"/>
        <v>4.5635117319583224E-2</v>
      </c>
      <c r="AD76" s="360">
        <f t="shared" si="96"/>
        <v>0.43734123448996898</v>
      </c>
      <c r="AE76" s="360">
        <f t="shared" si="97"/>
        <v>-0.52595999999999998</v>
      </c>
      <c r="AF76" s="360">
        <f t="shared" si="98"/>
        <v>0</v>
      </c>
      <c r="AG76" s="360" t="e">
        <f t="shared" si="99"/>
        <v>#VALUE!</v>
      </c>
      <c r="AH76" s="360">
        <f t="shared" si="100"/>
        <v>6.119499662527172</v>
      </c>
      <c r="AI76" s="360">
        <f t="shared" si="101"/>
        <v>9.3620690299175441E-2</v>
      </c>
      <c r="AJ76" s="360">
        <f t="shared" si="102"/>
        <v>7.8791999999999987E-2</v>
      </c>
      <c r="AK76" s="360" t="e">
        <f t="shared" si="103"/>
        <v>#VALUE!</v>
      </c>
      <c r="AL76" s="360">
        <f t="shared" si="104"/>
        <v>7.8791999999999987E-2</v>
      </c>
      <c r="AM76" s="360">
        <f t="shared" si="105"/>
        <v>1.4472</v>
      </c>
      <c r="AN76" s="360">
        <f t="shared" si="106"/>
        <v>0.22527064503133684</v>
      </c>
      <c r="AO76" s="360">
        <f t="shared" si="107"/>
        <v>2.0999999999999999E-3</v>
      </c>
      <c r="AP76" s="360">
        <f t="shared" si="108"/>
        <v>9.8999999999999991E-2</v>
      </c>
      <c r="AQ76" s="360">
        <f t="shared" si="109"/>
        <v>1.1483999999999999</v>
      </c>
      <c r="AR76" s="360">
        <f t="shared" si="110"/>
        <v>1.089</v>
      </c>
      <c r="AS76" s="360">
        <f t="shared" si="133"/>
        <v>0.1011</v>
      </c>
      <c r="AT76" s="360" t="e">
        <f t="shared" si="111"/>
        <v>#VALUE!</v>
      </c>
      <c r="AU76">
        <f t="shared" si="112"/>
        <v>67</v>
      </c>
      <c r="AV76" s="542" t="e">
        <f t="shared" si="127"/>
        <v>#VALUE!</v>
      </c>
      <c r="AW76" s="551" t="e">
        <f t="shared" si="113"/>
        <v>#VALUE!</v>
      </c>
      <c r="AX76" s="551" t="e">
        <f t="shared" si="114"/>
        <v>#VALUE!</v>
      </c>
      <c r="AY76" s="9"/>
      <c r="AZ76" s="4" t="e">
        <f t="shared" si="128"/>
        <v>#VALUE!</v>
      </c>
      <c r="BA76" s="360" t="e">
        <f t="shared" si="115"/>
        <v>#VALUE!</v>
      </c>
      <c r="BB76" s="360" t="e">
        <f t="shared" si="129"/>
        <v>#VALUE!</v>
      </c>
      <c r="BC76" s="360" t="e">
        <f t="shared" si="130"/>
        <v>#VALUE!</v>
      </c>
      <c r="BD76" s="360" t="e">
        <f t="shared" si="131"/>
        <v>#VALUE!</v>
      </c>
      <c r="BE76" s="360">
        <f t="shared" si="132"/>
        <v>0.22527064503133684</v>
      </c>
      <c r="BK76" s="18"/>
      <c r="BL76" s="19"/>
    </row>
    <row r="77" spans="1:64" x14ac:dyDescent="0.2">
      <c r="A77" s="34" t="s">
        <v>210</v>
      </c>
      <c r="B77" s="604">
        <f>(Qg_Q1+Qg_Q2)*Fsw+Iq</f>
        <v>1.9834999999999998E-2</v>
      </c>
      <c r="C77" s="21" t="s">
        <v>1</v>
      </c>
      <c r="G77">
        <v>68</v>
      </c>
      <c r="H77" s="548">
        <f t="shared" si="85"/>
        <v>60</v>
      </c>
      <c r="I77" s="4">
        <f t="shared" si="86"/>
        <v>1</v>
      </c>
      <c r="J77" s="360">
        <f t="shared" si="116"/>
        <v>6.8</v>
      </c>
      <c r="K77" s="360">
        <f t="shared" si="87"/>
        <v>6.8</v>
      </c>
      <c r="L77" s="4">
        <f t="shared" si="88"/>
        <v>1.2592592592592593</v>
      </c>
      <c r="M77" s="360">
        <f t="shared" si="89"/>
        <v>0.16884796251303946</v>
      </c>
      <c r="N77" s="4">
        <f t="shared" si="90"/>
        <v>1.4036218558400626</v>
      </c>
      <c r="O77" s="4">
        <f t="shared" si="117"/>
        <v>7.5018109279200313</v>
      </c>
      <c r="P77" s="4">
        <f t="shared" si="118"/>
        <v>6.0981890720799683</v>
      </c>
      <c r="Q77" s="4">
        <f t="shared" si="91"/>
        <v>0</v>
      </c>
      <c r="R77" s="4">
        <f t="shared" si="119"/>
        <v>6.8120613272476236</v>
      </c>
      <c r="S77" s="360">
        <f t="shared" si="92"/>
        <v>0.55685015431419183</v>
      </c>
      <c r="T77" s="360">
        <f t="shared" si="93"/>
        <v>0.3</v>
      </c>
      <c r="U77" s="360" t="e">
        <f t="shared" si="94"/>
        <v>#VALUE!</v>
      </c>
      <c r="V77" s="4">
        <f t="shared" si="120"/>
        <v>0.40519072815485113</v>
      </c>
      <c r="W77" s="360">
        <f t="shared" si="121"/>
        <v>3.2835905236531691E-4</v>
      </c>
      <c r="X77" s="360">
        <f t="shared" si="122"/>
        <v>3.2835905236531691E-4</v>
      </c>
      <c r="Y77" s="4">
        <f t="shared" si="123"/>
        <v>2.551917900341365</v>
      </c>
      <c r="Z77" s="360">
        <f t="shared" si="124"/>
        <v>6.512284970082681E-3</v>
      </c>
      <c r="AA77" s="541">
        <f t="shared" si="125"/>
        <v>6.512284970082681E-3</v>
      </c>
      <c r="AB77" s="360">
        <f t="shared" si="126"/>
        <v>2.7991518653129992</v>
      </c>
      <c r="AC77" s="360">
        <f t="shared" si="95"/>
        <v>4.7011506990511459E-2</v>
      </c>
      <c r="AD77" s="360">
        <f t="shared" si="96"/>
        <v>0.44386871560175956</v>
      </c>
      <c r="AE77" s="360">
        <f t="shared" si="97"/>
        <v>-0.52595999999999998</v>
      </c>
      <c r="AF77" s="360">
        <f t="shared" si="98"/>
        <v>0</v>
      </c>
      <c r="AG77" s="360" t="e">
        <f t="shared" si="99"/>
        <v>#VALUE!</v>
      </c>
      <c r="AH77" s="360">
        <f t="shared" si="100"/>
        <v>6.2103887447644865</v>
      </c>
      <c r="AI77" s="360">
        <f t="shared" si="101"/>
        <v>9.6422320902743539E-2</v>
      </c>
      <c r="AJ77" s="360">
        <f t="shared" si="102"/>
        <v>7.9967999999999984E-2</v>
      </c>
      <c r="AK77" s="360" t="e">
        <f t="shared" si="103"/>
        <v>#VALUE!</v>
      </c>
      <c r="AL77" s="360">
        <f t="shared" si="104"/>
        <v>7.9967999999999984E-2</v>
      </c>
      <c r="AM77" s="360">
        <f t="shared" si="105"/>
        <v>1.4687999999999999</v>
      </c>
      <c r="AN77" s="360">
        <f t="shared" si="106"/>
        <v>0.23202089763091327</v>
      </c>
      <c r="AO77" s="360">
        <f t="shared" si="107"/>
        <v>2.0999999999999999E-3</v>
      </c>
      <c r="AP77" s="360">
        <f t="shared" si="108"/>
        <v>9.8999999999999991E-2</v>
      </c>
      <c r="AQ77" s="360">
        <f t="shared" si="109"/>
        <v>1.1483999999999999</v>
      </c>
      <c r="AR77" s="360">
        <f t="shared" si="110"/>
        <v>1.089</v>
      </c>
      <c r="AS77" s="360">
        <f t="shared" si="133"/>
        <v>0.1011</v>
      </c>
      <c r="AT77" s="360" t="e">
        <f t="shared" si="111"/>
        <v>#VALUE!</v>
      </c>
      <c r="AU77">
        <f t="shared" si="112"/>
        <v>68</v>
      </c>
      <c r="AV77" s="542" t="e">
        <f t="shared" si="127"/>
        <v>#VALUE!</v>
      </c>
      <c r="AW77" s="551" t="e">
        <f t="shared" si="113"/>
        <v>#VALUE!</v>
      </c>
      <c r="AX77" s="551" t="e">
        <f t="shared" si="114"/>
        <v>#VALUE!</v>
      </c>
      <c r="AY77" s="9"/>
      <c r="AZ77" s="4" t="e">
        <f t="shared" si="128"/>
        <v>#VALUE!</v>
      </c>
      <c r="BA77" s="360" t="e">
        <f t="shared" si="115"/>
        <v>#VALUE!</v>
      </c>
      <c r="BB77" s="360" t="e">
        <f t="shared" si="129"/>
        <v>#VALUE!</v>
      </c>
      <c r="BC77" s="360" t="e">
        <f t="shared" si="130"/>
        <v>#VALUE!</v>
      </c>
      <c r="BD77" s="360" t="e">
        <f t="shared" si="131"/>
        <v>#VALUE!</v>
      </c>
      <c r="BE77" s="360">
        <f t="shared" si="132"/>
        <v>0.23202089763091327</v>
      </c>
      <c r="BK77" s="18"/>
      <c r="BL77" s="19"/>
    </row>
    <row r="78" spans="1:64" x14ac:dyDescent="0.2">
      <c r="A78" s="34" t="s">
        <v>211</v>
      </c>
      <c r="B78" s="605">
        <f>Qrr_Q2*Fsw</f>
        <v>3.5999999999999997E-2</v>
      </c>
      <c r="C78" s="21" t="s">
        <v>1</v>
      </c>
      <c r="G78">
        <v>69</v>
      </c>
      <c r="H78" s="548">
        <f t="shared" si="85"/>
        <v>60</v>
      </c>
      <c r="I78" s="4">
        <f t="shared" si="86"/>
        <v>1</v>
      </c>
      <c r="J78" s="360">
        <f t="shared" si="116"/>
        <v>6.9</v>
      </c>
      <c r="K78" s="360">
        <f t="shared" si="87"/>
        <v>6.9</v>
      </c>
      <c r="L78" s="4">
        <f t="shared" si="88"/>
        <v>1.2777777777777777</v>
      </c>
      <c r="M78" s="360">
        <f t="shared" si="89"/>
        <v>0.1688800348606532</v>
      </c>
      <c r="N78" s="4">
        <f t="shared" si="90"/>
        <v>1.4038378071171609</v>
      </c>
      <c r="O78" s="4">
        <f t="shared" si="117"/>
        <v>7.6019189035585804</v>
      </c>
      <c r="P78" s="4">
        <f t="shared" si="118"/>
        <v>6.1980810964414204</v>
      </c>
      <c r="Q78" s="4">
        <f t="shared" si="91"/>
        <v>0</v>
      </c>
      <c r="R78" s="4">
        <f t="shared" si="119"/>
        <v>6.9118904830051839</v>
      </c>
      <c r="S78" s="360">
        <f t="shared" si="92"/>
        <v>0.57329076058869166</v>
      </c>
      <c r="T78" s="360">
        <f t="shared" si="93"/>
        <v>0.3</v>
      </c>
      <c r="U78" s="360" t="e">
        <f t="shared" si="94"/>
        <v>#VALUE!</v>
      </c>
      <c r="V78" s="4">
        <f t="shared" si="120"/>
        <v>0.40525306791883342</v>
      </c>
      <c r="W78" s="360">
        <f t="shared" si="121"/>
        <v>3.2846009811525326E-4</v>
      </c>
      <c r="X78" s="360">
        <f t="shared" si="122"/>
        <v>3.2846009811525326E-4</v>
      </c>
      <c r="Y78" s="4">
        <f t="shared" si="123"/>
        <v>2.5895115995100499</v>
      </c>
      <c r="Z78" s="360">
        <f t="shared" si="124"/>
        <v>6.7055703239970975E-3</v>
      </c>
      <c r="AA78" s="541">
        <f t="shared" si="125"/>
        <v>6.7055703239970975E-3</v>
      </c>
      <c r="AB78" s="360">
        <f t="shared" si="126"/>
        <v>2.840442507097392</v>
      </c>
      <c r="AC78" s="360">
        <f t="shared" si="95"/>
        <v>4.8408681816754305E-2</v>
      </c>
      <c r="AD78" s="360">
        <f t="shared" si="96"/>
        <v>0.45039619671355013</v>
      </c>
      <c r="AE78" s="360">
        <f t="shared" si="97"/>
        <v>-0.52595999999999998</v>
      </c>
      <c r="AF78" s="360">
        <f t="shared" si="98"/>
        <v>0</v>
      </c>
      <c r="AG78" s="360" t="e">
        <f t="shared" si="99"/>
        <v>#VALUE!</v>
      </c>
      <c r="AH78" s="360">
        <f t="shared" si="100"/>
        <v>6.3012789505728053</v>
      </c>
      <c r="AI78" s="360">
        <f t="shared" si="101"/>
        <v>9.9265291032329783E-2</v>
      </c>
      <c r="AJ78" s="360">
        <f t="shared" si="102"/>
        <v>8.1143999999999994E-2</v>
      </c>
      <c r="AK78" s="360" t="e">
        <f t="shared" si="103"/>
        <v>#VALUE!</v>
      </c>
      <c r="AL78" s="360">
        <f t="shared" si="104"/>
        <v>8.1143999999999994E-2</v>
      </c>
      <c r="AM78" s="360">
        <f t="shared" si="105"/>
        <v>1.4904000000000002</v>
      </c>
      <c r="AN78" s="360">
        <f t="shared" si="106"/>
        <v>0.23887115024528818</v>
      </c>
      <c r="AO78" s="360">
        <f t="shared" si="107"/>
        <v>2.0999999999999999E-3</v>
      </c>
      <c r="AP78" s="360">
        <f t="shared" si="108"/>
        <v>9.8999999999999991E-2</v>
      </c>
      <c r="AQ78" s="360">
        <f t="shared" si="109"/>
        <v>1.1483999999999999</v>
      </c>
      <c r="AR78" s="360">
        <f t="shared" si="110"/>
        <v>1.089</v>
      </c>
      <c r="AS78" s="360">
        <f t="shared" si="133"/>
        <v>0.1011</v>
      </c>
      <c r="AT78" s="360" t="e">
        <f t="shared" si="111"/>
        <v>#VALUE!</v>
      </c>
      <c r="AU78">
        <f t="shared" si="112"/>
        <v>69</v>
      </c>
      <c r="AV78" s="542" t="e">
        <f t="shared" si="127"/>
        <v>#VALUE!</v>
      </c>
      <c r="AW78" s="551" t="e">
        <f t="shared" si="113"/>
        <v>#VALUE!</v>
      </c>
      <c r="AX78" s="551" t="e">
        <f t="shared" si="114"/>
        <v>#VALUE!</v>
      </c>
      <c r="AY78" s="9"/>
      <c r="AZ78" s="4" t="e">
        <f t="shared" si="128"/>
        <v>#VALUE!</v>
      </c>
      <c r="BA78" s="360" t="e">
        <f t="shared" si="115"/>
        <v>#VALUE!</v>
      </c>
      <c r="BB78" s="360" t="e">
        <f t="shared" si="129"/>
        <v>#VALUE!</v>
      </c>
      <c r="BC78" s="360" t="e">
        <f t="shared" si="130"/>
        <v>#VALUE!</v>
      </c>
      <c r="BD78" s="360" t="e">
        <f t="shared" si="131"/>
        <v>#VALUE!</v>
      </c>
      <c r="BE78" s="360">
        <f t="shared" si="132"/>
        <v>0.23887115024528818</v>
      </c>
      <c r="BK78" s="18"/>
      <c r="BL78" s="19"/>
    </row>
    <row r="79" spans="1:64" x14ac:dyDescent="0.2">
      <c r="A79" s="34" t="s">
        <v>212</v>
      </c>
      <c r="B79" s="605">
        <f>Deadtime*Fsw*(Iripple_Vinnom/2)*(Vsd_Q2)/Vin</f>
        <v>6.9154870940882587E-5</v>
      </c>
      <c r="C79" s="21"/>
      <c r="G79">
        <v>70</v>
      </c>
      <c r="H79" s="548">
        <f t="shared" si="85"/>
        <v>60</v>
      </c>
      <c r="I79" s="4">
        <f t="shared" si="86"/>
        <v>1</v>
      </c>
      <c r="J79" s="360">
        <f t="shared" si="116"/>
        <v>7</v>
      </c>
      <c r="K79" s="360">
        <f t="shared" si="87"/>
        <v>7</v>
      </c>
      <c r="L79" s="4">
        <f t="shared" si="88"/>
        <v>1.2962962962962963</v>
      </c>
      <c r="M79" s="360">
        <f t="shared" si="89"/>
        <v>0.16891210704793327</v>
      </c>
      <c r="N79" s="4">
        <f t="shared" si="90"/>
        <v>1.4040537378181037</v>
      </c>
      <c r="O79" s="4">
        <f t="shared" si="117"/>
        <v>7.7020268689090514</v>
      </c>
      <c r="P79" s="4">
        <f t="shared" si="118"/>
        <v>6.2979731310909486</v>
      </c>
      <c r="Q79" s="4">
        <f t="shared" si="91"/>
        <v>0</v>
      </c>
      <c r="R79" s="4">
        <f t="shared" si="119"/>
        <v>7.0117245079145887</v>
      </c>
      <c r="S79" s="360">
        <f t="shared" si="92"/>
        <v>0.5899713668986809</v>
      </c>
      <c r="T79" s="360">
        <f t="shared" si="93"/>
        <v>0.3</v>
      </c>
      <c r="U79" s="360" t="e">
        <f t="shared" si="94"/>
        <v>#VALUE!</v>
      </c>
      <c r="V79" s="4">
        <f t="shared" si="120"/>
        <v>0.40531540174299124</v>
      </c>
      <c r="W79" s="360">
        <f t="shared" si="121"/>
        <v>3.2856114978016478E-4</v>
      </c>
      <c r="X79" s="360">
        <f t="shared" si="122"/>
        <v>3.2856114978016478E-4</v>
      </c>
      <c r="Y79" s="4">
        <f t="shared" si="123"/>
        <v>2.6271127477875904</v>
      </c>
      <c r="Z79" s="360">
        <f t="shared" si="124"/>
        <v>6.9017213895880636E-3</v>
      </c>
      <c r="AA79" s="541">
        <f t="shared" si="125"/>
        <v>6.9017213895880636E-3</v>
      </c>
      <c r="AB79" s="360">
        <f t="shared" si="126"/>
        <v>2.8817429141754576</v>
      </c>
      <c r="AC79" s="360">
        <f t="shared" si="95"/>
        <v>4.9826653340402753E-2</v>
      </c>
      <c r="AD79" s="360">
        <f t="shared" si="96"/>
        <v>0.45692367782534077</v>
      </c>
      <c r="AE79" s="360">
        <f t="shared" si="97"/>
        <v>-0.52595999999999998</v>
      </c>
      <c r="AF79" s="360">
        <f t="shared" si="98"/>
        <v>0</v>
      </c>
      <c r="AG79" s="360" t="e">
        <f t="shared" si="99"/>
        <v>#VALUE!</v>
      </c>
      <c r="AH79" s="360">
        <f t="shared" si="100"/>
        <v>6.3921700815520879</v>
      </c>
      <c r="AI79" s="360">
        <f t="shared" si="101"/>
        <v>0.10214959587872408</v>
      </c>
      <c r="AJ79" s="360">
        <f t="shared" si="102"/>
        <v>8.231999999999999E-2</v>
      </c>
      <c r="AK79" s="360" t="e">
        <f t="shared" si="103"/>
        <v>#VALUE!</v>
      </c>
      <c r="AL79" s="360">
        <f t="shared" si="104"/>
        <v>8.231999999999999E-2</v>
      </c>
      <c r="AM79" s="360">
        <f t="shared" si="105"/>
        <v>1.5119999999999998</v>
      </c>
      <c r="AN79" s="360">
        <f t="shared" si="106"/>
        <v>0.2458214028744504</v>
      </c>
      <c r="AO79" s="360">
        <f t="shared" si="107"/>
        <v>2.0999999999999999E-3</v>
      </c>
      <c r="AP79" s="360">
        <f t="shared" si="108"/>
        <v>9.8999999999999991E-2</v>
      </c>
      <c r="AQ79" s="360">
        <f t="shared" si="109"/>
        <v>1.1483999999999999</v>
      </c>
      <c r="AR79" s="360">
        <f t="shared" si="110"/>
        <v>1.089</v>
      </c>
      <c r="AS79" s="360">
        <f t="shared" si="133"/>
        <v>0.1011</v>
      </c>
      <c r="AT79" s="360" t="e">
        <f t="shared" si="111"/>
        <v>#VALUE!</v>
      </c>
      <c r="AU79">
        <f t="shared" si="112"/>
        <v>70</v>
      </c>
      <c r="AV79" s="542" t="e">
        <f t="shared" si="127"/>
        <v>#VALUE!</v>
      </c>
      <c r="AW79" s="551" t="e">
        <f t="shared" si="113"/>
        <v>#VALUE!</v>
      </c>
      <c r="AX79" s="551" t="e">
        <f t="shared" si="114"/>
        <v>#VALUE!</v>
      </c>
      <c r="AY79" s="9"/>
      <c r="AZ79" s="4" t="e">
        <f t="shared" si="128"/>
        <v>#VALUE!</v>
      </c>
      <c r="BA79" s="360" t="e">
        <f t="shared" si="115"/>
        <v>#VALUE!</v>
      </c>
      <c r="BB79" s="360" t="e">
        <f t="shared" si="129"/>
        <v>#VALUE!</v>
      </c>
      <c r="BC79" s="360" t="e">
        <f t="shared" si="130"/>
        <v>#VALUE!</v>
      </c>
      <c r="BD79" s="360" t="e">
        <f t="shared" si="131"/>
        <v>#VALUE!</v>
      </c>
      <c r="BE79" s="360">
        <f t="shared" si="132"/>
        <v>0.2458214028744504</v>
      </c>
      <c r="BK79" s="18"/>
      <c r="BL79" s="19"/>
    </row>
    <row r="80" spans="1:64" x14ac:dyDescent="0.2">
      <c r="A80" s="34" t="s">
        <v>45</v>
      </c>
      <c r="B80" s="605">
        <f>SUM(B77:B79)</f>
        <v>5.5904154870940879E-2</v>
      </c>
      <c r="C80" s="21" t="s">
        <v>1</v>
      </c>
      <c r="G80">
        <v>71</v>
      </c>
      <c r="H80" s="548">
        <f t="shared" si="85"/>
        <v>60</v>
      </c>
      <c r="I80" s="4">
        <f t="shared" si="86"/>
        <v>1</v>
      </c>
      <c r="J80" s="360">
        <f t="shared" si="116"/>
        <v>7.1</v>
      </c>
      <c r="K80" s="360">
        <f t="shared" si="87"/>
        <v>7.1</v>
      </c>
      <c r="L80" s="4">
        <f t="shared" si="88"/>
        <v>1.3148148148148149</v>
      </c>
      <c r="M80" s="360">
        <f t="shared" si="89"/>
        <v>0.16894417907488088</v>
      </c>
      <c r="N80" s="4">
        <f t="shared" si="90"/>
        <v>1.4042696479430457</v>
      </c>
      <c r="O80" s="4">
        <f t="shared" si="117"/>
        <v>7.8021348239715227</v>
      </c>
      <c r="P80" s="4">
        <f t="shared" si="118"/>
        <v>6.3978651760284766</v>
      </c>
      <c r="Q80" s="4">
        <f t="shared" si="91"/>
        <v>0</v>
      </c>
      <c r="R80" s="4">
        <f t="shared" si="119"/>
        <v>7.1115631969123241</v>
      </c>
      <c r="S80" s="360">
        <f t="shared" si="92"/>
        <v>0.60689197324413402</v>
      </c>
      <c r="T80" s="360">
        <f t="shared" si="93"/>
        <v>0.3</v>
      </c>
      <c r="U80" s="360" t="e">
        <f t="shared" si="94"/>
        <v>#VALUE!</v>
      </c>
      <c r="V80" s="4">
        <f t="shared" si="120"/>
        <v>0.40537772962736923</v>
      </c>
      <c r="W80" s="360">
        <f t="shared" si="121"/>
        <v>3.2866220735568098E-4</v>
      </c>
      <c r="X80" s="360">
        <f t="shared" si="122"/>
        <v>3.2866220735568098E-4</v>
      </c>
      <c r="Y80" s="4">
        <f t="shared" si="123"/>
        <v>2.6647212672515046</v>
      </c>
      <c r="Z80" s="360">
        <f t="shared" si="124"/>
        <v>7.1007394321424651E-3</v>
      </c>
      <c r="AA80" s="541">
        <f t="shared" si="125"/>
        <v>7.1007394321424651E-3</v>
      </c>
      <c r="AB80" s="360">
        <f t="shared" si="126"/>
        <v>2.9230530016700116</v>
      </c>
      <c r="AC80" s="360">
        <f t="shared" si="95"/>
        <v>5.1265433103432387E-2</v>
      </c>
      <c r="AD80" s="360">
        <f t="shared" si="96"/>
        <v>0.46345115893713135</v>
      </c>
      <c r="AE80" s="360">
        <f t="shared" si="97"/>
        <v>-0.52595999999999998</v>
      </c>
      <c r="AF80" s="360">
        <f t="shared" si="98"/>
        <v>0</v>
      </c>
      <c r="AG80" s="360" t="e">
        <f t="shared" si="99"/>
        <v>#VALUE!</v>
      </c>
      <c r="AH80" s="360">
        <f t="shared" si="100"/>
        <v>6.4830619504294242</v>
      </c>
      <c r="AI80" s="360">
        <f t="shared" si="101"/>
        <v>0.10507523063276443</v>
      </c>
      <c r="AJ80" s="360">
        <f t="shared" si="102"/>
        <v>8.3495999999999987E-2</v>
      </c>
      <c r="AK80" s="360" t="e">
        <f t="shared" si="103"/>
        <v>#VALUE!</v>
      </c>
      <c r="AL80" s="360">
        <f t="shared" si="104"/>
        <v>8.3495999999999987E-2</v>
      </c>
      <c r="AM80" s="360">
        <f t="shared" si="105"/>
        <v>1.5335999999999999</v>
      </c>
      <c r="AN80" s="360">
        <f t="shared" si="106"/>
        <v>0.25287165551838919</v>
      </c>
      <c r="AO80" s="360">
        <f t="shared" si="107"/>
        <v>2.0999999999999999E-3</v>
      </c>
      <c r="AP80" s="360">
        <f t="shared" si="108"/>
        <v>9.8999999999999991E-2</v>
      </c>
      <c r="AQ80" s="360">
        <f t="shared" si="109"/>
        <v>1.1483999999999999</v>
      </c>
      <c r="AR80" s="360">
        <f t="shared" si="110"/>
        <v>1.089</v>
      </c>
      <c r="AS80" s="360">
        <f t="shared" si="133"/>
        <v>0.1011</v>
      </c>
      <c r="AT80" s="360" t="e">
        <f t="shared" si="111"/>
        <v>#VALUE!</v>
      </c>
      <c r="AU80">
        <f t="shared" si="112"/>
        <v>71</v>
      </c>
      <c r="AV80" s="542" t="e">
        <f t="shared" si="127"/>
        <v>#VALUE!</v>
      </c>
      <c r="AW80" s="551" t="e">
        <f t="shared" si="113"/>
        <v>#VALUE!</v>
      </c>
      <c r="AX80" s="551" t="e">
        <f t="shared" si="114"/>
        <v>#VALUE!</v>
      </c>
      <c r="AY80" s="9"/>
      <c r="AZ80" s="4" t="e">
        <f t="shared" si="128"/>
        <v>#VALUE!</v>
      </c>
      <c r="BA80" s="360" t="e">
        <f t="shared" si="115"/>
        <v>#VALUE!</v>
      </c>
      <c r="BB80" s="360" t="e">
        <f t="shared" si="129"/>
        <v>#VALUE!</v>
      </c>
      <c r="BC80" s="360" t="e">
        <f t="shared" si="130"/>
        <v>#VALUE!</v>
      </c>
      <c r="BD80" s="360" t="e">
        <f t="shared" si="131"/>
        <v>#VALUE!</v>
      </c>
      <c r="BE80" s="360">
        <f t="shared" si="132"/>
        <v>0.25287165551838919</v>
      </c>
      <c r="BK80" s="18"/>
      <c r="BL80" s="19"/>
    </row>
    <row r="81" spans="1:64" x14ac:dyDescent="0.2">
      <c r="A81" s="2"/>
      <c r="G81">
        <v>72</v>
      </c>
      <c r="H81" s="548">
        <f t="shared" si="85"/>
        <v>60</v>
      </c>
      <c r="I81" s="4">
        <f t="shared" si="86"/>
        <v>1</v>
      </c>
      <c r="J81" s="360">
        <f t="shared" si="116"/>
        <v>7.2</v>
      </c>
      <c r="K81" s="360">
        <f t="shared" si="87"/>
        <v>7.2</v>
      </c>
      <c r="L81" s="4">
        <f t="shared" si="88"/>
        <v>1.3333333333333333</v>
      </c>
      <c r="M81" s="360">
        <f t="shared" si="89"/>
        <v>0.16897625094149718</v>
      </c>
      <c r="N81" s="4">
        <f t="shared" si="90"/>
        <v>1.4044855374921399</v>
      </c>
      <c r="O81" s="4">
        <f t="shared" si="117"/>
        <v>7.9022427687460706</v>
      </c>
      <c r="P81" s="4">
        <f t="shared" si="118"/>
        <v>6.4977572312539298</v>
      </c>
      <c r="Q81" s="4">
        <f t="shared" si="91"/>
        <v>0</v>
      </c>
      <c r="R81" s="4">
        <f t="shared" si="119"/>
        <v>7.2114063562816035</v>
      </c>
      <c r="S81" s="360">
        <f t="shared" si="92"/>
        <v>0.62405257962502458</v>
      </c>
      <c r="T81" s="360">
        <f t="shared" si="93"/>
        <v>0.3</v>
      </c>
      <c r="U81" s="360" t="e">
        <f t="shared" si="94"/>
        <v>#VALUE!</v>
      </c>
      <c r="V81" s="4">
        <f t="shared" si="120"/>
        <v>0.40544005157201163</v>
      </c>
      <c r="W81" s="360">
        <f t="shared" si="121"/>
        <v>3.2876327083743092E-4</v>
      </c>
      <c r="X81" s="360">
        <f t="shared" si="122"/>
        <v>3.2876327083743092E-4</v>
      </c>
      <c r="Y81" s="4">
        <f t="shared" si="123"/>
        <v>2.7023370842083598</v>
      </c>
      <c r="Z81" s="360">
        <f t="shared" si="124"/>
        <v>7.3026257166877405E-3</v>
      </c>
      <c r="AA81" s="541">
        <f t="shared" si="125"/>
        <v>7.3026257166877405E-3</v>
      </c>
      <c r="AB81" s="360">
        <f t="shared" si="126"/>
        <v>2.9643726893364639</v>
      </c>
      <c r="AC81" s="360">
        <f t="shared" si="95"/>
        <v>5.2725032647703396E-2</v>
      </c>
      <c r="AD81" s="360">
        <f t="shared" si="96"/>
        <v>0.46997864004892193</v>
      </c>
      <c r="AE81" s="360">
        <f t="shared" si="97"/>
        <v>-0.52595999999999998</v>
      </c>
      <c r="AF81" s="360">
        <f t="shared" si="98"/>
        <v>0</v>
      </c>
      <c r="AG81" s="360" t="e">
        <f t="shared" si="99"/>
        <v>#VALUE!</v>
      </c>
      <c r="AH81" s="360">
        <f t="shared" si="100"/>
        <v>6.573954380290056</v>
      </c>
      <c r="AI81" s="360">
        <f t="shared" si="101"/>
        <v>0.10804219048533703</v>
      </c>
      <c r="AJ81" s="360">
        <f t="shared" si="102"/>
        <v>8.4671999999999983E-2</v>
      </c>
      <c r="AK81" s="360" t="e">
        <f t="shared" si="103"/>
        <v>#VALUE!</v>
      </c>
      <c r="AL81" s="360">
        <f t="shared" si="104"/>
        <v>8.4671999999999983E-2</v>
      </c>
      <c r="AM81" s="360">
        <f t="shared" si="105"/>
        <v>1.5551999999999999</v>
      </c>
      <c r="AN81" s="360">
        <f t="shared" si="106"/>
        <v>0.26002190817709359</v>
      </c>
      <c r="AO81" s="360">
        <f t="shared" si="107"/>
        <v>2.0999999999999999E-3</v>
      </c>
      <c r="AP81" s="360">
        <f t="shared" si="108"/>
        <v>9.8999999999999991E-2</v>
      </c>
      <c r="AQ81" s="360">
        <f t="shared" si="109"/>
        <v>1.1483999999999999</v>
      </c>
      <c r="AR81" s="360">
        <f t="shared" si="110"/>
        <v>1.089</v>
      </c>
      <c r="AS81" s="360">
        <f t="shared" si="133"/>
        <v>0.1011</v>
      </c>
      <c r="AT81" s="360" t="e">
        <f t="shared" si="111"/>
        <v>#VALUE!</v>
      </c>
      <c r="AU81">
        <f t="shared" si="112"/>
        <v>72</v>
      </c>
      <c r="AV81" s="542" t="e">
        <f t="shared" si="127"/>
        <v>#VALUE!</v>
      </c>
      <c r="AW81" s="551" t="e">
        <f t="shared" si="113"/>
        <v>#VALUE!</v>
      </c>
      <c r="AX81" s="551" t="e">
        <f t="shared" si="114"/>
        <v>#VALUE!</v>
      </c>
      <c r="AY81" s="9"/>
      <c r="AZ81" s="4" t="e">
        <f t="shared" si="128"/>
        <v>#VALUE!</v>
      </c>
      <c r="BA81" s="360" t="e">
        <f t="shared" si="115"/>
        <v>#VALUE!</v>
      </c>
      <c r="BB81" s="360" t="e">
        <f t="shared" si="129"/>
        <v>#VALUE!</v>
      </c>
      <c r="BC81" s="360" t="e">
        <f t="shared" si="130"/>
        <v>#VALUE!</v>
      </c>
      <c r="BD81" s="360" t="e">
        <f t="shared" si="131"/>
        <v>#VALUE!</v>
      </c>
      <c r="BE81" s="360">
        <f t="shared" si="132"/>
        <v>0.26002190817709359</v>
      </c>
      <c r="BK81" s="18"/>
      <c r="BL81" s="19"/>
    </row>
    <row r="82" spans="1:64" x14ac:dyDescent="0.2">
      <c r="A82" s="2"/>
      <c r="G82">
        <v>73</v>
      </c>
      <c r="H82" s="548">
        <f t="shared" si="85"/>
        <v>60</v>
      </c>
      <c r="I82" s="4">
        <f t="shared" si="86"/>
        <v>1</v>
      </c>
      <c r="J82" s="360">
        <f t="shared" si="116"/>
        <v>7.3</v>
      </c>
      <c r="K82" s="360">
        <f t="shared" si="87"/>
        <v>7.3</v>
      </c>
      <c r="L82" s="4">
        <f t="shared" si="88"/>
        <v>1.3518518518518519</v>
      </c>
      <c r="M82" s="360">
        <f t="shared" si="89"/>
        <v>0.16900832264778345</v>
      </c>
      <c r="N82" s="4">
        <f t="shared" si="90"/>
        <v>1.4047014064655421</v>
      </c>
      <c r="O82" s="4">
        <f t="shared" si="117"/>
        <v>8.0023507032327714</v>
      </c>
      <c r="P82" s="4">
        <f t="shared" si="118"/>
        <v>6.5976492967672291</v>
      </c>
      <c r="Q82" s="4">
        <f t="shared" si="91"/>
        <v>0</v>
      </c>
      <c r="R82" s="4">
        <f t="shared" si="119"/>
        <v>7.3112538028788556</v>
      </c>
      <c r="S82" s="360">
        <f t="shared" si="92"/>
        <v>0.6414531860413264</v>
      </c>
      <c r="T82" s="360">
        <f t="shared" si="93"/>
        <v>0.3</v>
      </c>
      <c r="U82" s="360" t="e">
        <f t="shared" si="94"/>
        <v>#VALUE!</v>
      </c>
      <c r="V82" s="4">
        <f t="shared" si="120"/>
        <v>0.40550236757696334</v>
      </c>
      <c r="W82" s="360">
        <f t="shared" si="121"/>
        <v>3.288643402210454E-4</v>
      </c>
      <c r="X82" s="360">
        <f t="shared" si="122"/>
        <v>3.288643402210454E-4</v>
      </c>
      <c r="Y82" s="4">
        <f t="shared" si="123"/>
        <v>2.739960128905512</v>
      </c>
      <c r="Z82" s="360">
        <f t="shared" si="124"/>
        <v>7.5073815079919094E-3</v>
      </c>
      <c r="AA82" s="541">
        <f t="shared" si="125"/>
        <v>7.5073815079919094E-3</v>
      </c>
      <c r="AB82" s="360">
        <f t="shared" si="126"/>
        <v>3.0057019012470438</v>
      </c>
      <c r="AC82" s="360">
        <f t="shared" si="95"/>
        <v>5.4205463514960563E-2</v>
      </c>
      <c r="AD82" s="360">
        <f t="shared" si="96"/>
        <v>0.4765061211607125</v>
      </c>
      <c r="AE82" s="360">
        <f t="shared" si="97"/>
        <v>-0.52595999999999998</v>
      </c>
      <c r="AF82" s="360">
        <f t="shared" si="98"/>
        <v>0</v>
      </c>
      <c r="AG82" s="360" t="e">
        <f t="shared" si="99"/>
        <v>#VALUE!</v>
      </c>
      <c r="AH82" s="360">
        <f t="shared" si="100"/>
        <v>6.6648472038712505</v>
      </c>
      <c r="AI82" s="360">
        <f t="shared" si="101"/>
        <v>0.11105047062737607</v>
      </c>
      <c r="AJ82" s="360">
        <f t="shared" si="102"/>
        <v>8.584799999999998E-2</v>
      </c>
      <c r="AK82" s="360" t="e">
        <f t="shared" si="103"/>
        <v>#VALUE!</v>
      </c>
      <c r="AL82" s="360">
        <f t="shared" si="104"/>
        <v>8.584799999999998E-2</v>
      </c>
      <c r="AM82" s="360">
        <f t="shared" si="105"/>
        <v>1.5768</v>
      </c>
      <c r="AN82" s="360">
        <f t="shared" si="106"/>
        <v>0.26727216085055266</v>
      </c>
      <c r="AO82" s="360">
        <f t="shared" si="107"/>
        <v>2.0999999999999999E-3</v>
      </c>
      <c r="AP82" s="360">
        <f t="shared" si="108"/>
        <v>9.8999999999999991E-2</v>
      </c>
      <c r="AQ82" s="360">
        <f t="shared" si="109"/>
        <v>1.1483999999999999</v>
      </c>
      <c r="AR82" s="360">
        <f t="shared" si="110"/>
        <v>1.089</v>
      </c>
      <c r="AS82" s="360">
        <f t="shared" si="133"/>
        <v>0.1011</v>
      </c>
      <c r="AT82" s="360" t="e">
        <f t="shared" si="111"/>
        <v>#VALUE!</v>
      </c>
      <c r="AU82">
        <f t="shared" si="112"/>
        <v>73</v>
      </c>
      <c r="AV82" s="542" t="e">
        <f t="shared" si="127"/>
        <v>#VALUE!</v>
      </c>
      <c r="AW82" s="551" t="e">
        <f t="shared" si="113"/>
        <v>#VALUE!</v>
      </c>
      <c r="AX82" s="551" t="e">
        <f t="shared" si="114"/>
        <v>#VALUE!</v>
      </c>
      <c r="AY82" s="9"/>
      <c r="AZ82" s="4" t="e">
        <f t="shared" si="128"/>
        <v>#VALUE!</v>
      </c>
      <c r="BA82" s="360" t="e">
        <f t="shared" si="115"/>
        <v>#VALUE!</v>
      </c>
      <c r="BB82" s="360" t="e">
        <f t="shared" si="129"/>
        <v>#VALUE!</v>
      </c>
      <c r="BC82" s="360" t="e">
        <f t="shared" si="130"/>
        <v>#VALUE!</v>
      </c>
      <c r="BD82" s="360" t="e">
        <f t="shared" si="131"/>
        <v>#VALUE!</v>
      </c>
      <c r="BE82" s="360">
        <f t="shared" si="132"/>
        <v>0.26727216085055266</v>
      </c>
      <c r="BK82" s="18"/>
      <c r="BL82" s="19"/>
    </row>
    <row r="83" spans="1:64" x14ac:dyDescent="0.2">
      <c r="A83" s="2"/>
      <c r="G83">
        <v>74</v>
      </c>
      <c r="H83" s="548">
        <f t="shared" si="85"/>
        <v>60</v>
      </c>
      <c r="I83" s="4">
        <f t="shared" si="86"/>
        <v>1</v>
      </c>
      <c r="J83" s="360">
        <f t="shared" si="116"/>
        <v>7.4</v>
      </c>
      <c r="K83" s="360">
        <f t="shared" si="87"/>
        <v>7.4</v>
      </c>
      <c r="L83" s="4">
        <f t="shared" si="88"/>
        <v>1.3703703703703705</v>
      </c>
      <c r="M83" s="360">
        <f t="shared" si="89"/>
        <v>0.16904039419374081</v>
      </c>
      <c r="N83" s="4">
        <f t="shared" si="90"/>
        <v>1.4049172548634052</v>
      </c>
      <c r="O83" s="4">
        <f t="shared" si="117"/>
        <v>8.1024586274317034</v>
      </c>
      <c r="P83" s="4">
        <f t="shared" si="118"/>
        <v>6.6975413725682973</v>
      </c>
      <c r="Q83" s="4">
        <f t="shared" si="91"/>
        <v>0</v>
      </c>
      <c r="R83" s="4">
        <f t="shared" si="119"/>
        <v>7.4111053634225899</v>
      </c>
      <c r="S83" s="360">
        <f t="shared" si="92"/>
        <v>0.65909379249301292</v>
      </c>
      <c r="T83" s="360">
        <f t="shared" si="93"/>
        <v>0.3</v>
      </c>
      <c r="U83" s="360" t="e">
        <f t="shared" si="94"/>
        <v>#VALUE!</v>
      </c>
      <c r="V83" s="4">
        <f t="shared" si="120"/>
        <v>0.40556467764226856</v>
      </c>
      <c r="W83" s="360">
        <f t="shared" si="121"/>
        <v>3.289654155021544E-4</v>
      </c>
      <c r="X83" s="360">
        <f t="shared" si="122"/>
        <v>3.289654155021544E-4</v>
      </c>
      <c r="Y83" s="4">
        <f t="shared" si="123"/>
        <v>2.777590335266086</v>
      </c>
      <c r="Z83" s="360">
        <f t="shared" si="124"/>
        <v>7.7150080705635686E-3</v>
      </c>
      <c r="AA83" s="541">
        <f t="shared" si="125"/>
        <v>7.7150080705635686E-3</v>
      </c>
      <c r="AB83" s="360">
        <f t="shared" si="126"/>
        <v>3.0470405655004895</v>
      </c>
      <c r="AC83" s="360">
        <f t="shared" si="95"/>
        <v>5.5706737246833254E-2</v>
      </c>
      <c r="AD83" s="360">
        <f t="shared" si="96"/>
        <v>0.48303360227250308</v>
      </c>
      <c r="AE83" s="360">
        <f t="shared" si="97"/>
        <v>-0.52595999999999998</v>
      </c>
      <c r="AF83" s="360">
        <f t="shared" si="98"/>
        <v>0</v>
      </c>
      <c r="AG83" s="360" t="e">
        <f t="shared" si="99"/>
        <v>#VALUE!</v>
      </c>
      <c r="AH83" s="360">
        <f t="shared" si="100"/>
        <v>6.7557402629131271</v>
      </c>
      <c r="AI83" s="360">
        <f t="shared" si="101"/>
        <v>0.11410006624986382</v>
      </c>
      <c r="AJ83" s="360">
        <f t="shared" si="102"/>
        <v>8.702399999999999E-2</v>
      </c>
      <c r="AK83" s="360" t="e">
        <f t="shared" si="103"/>
        <v>#VALUE!</v>
      </c>
      <c r="AL83" s="360">
        <f t="shared" si="104"/>
        <v>8.702399999999999E-2</v>
      </c>
      <c r="AM83" s="360">
        <f t="shared" si="105"/>
        <v>1.5984</v>
      </c>
      <c r="AN83" s="360">
        <f t="shared" si="106"/>
        <v>0.27462241353875538</v>
      </c>
      <c r="AO83" s="360">
        <f t="shared" si="107"/>
        <v>2.0999999999999999E-3</v>
      </c>
      <c r="AP83" s="360">
        <f t="shared" si="108"/>
        <v>9.8999999999999991E-2</v>
      </c>
      <c r="AQ83" s="360">
        <f t="shared" si="109"/>
        <v>1.1483999999999999</v>
      </c>
      <c r="AR83" s="360">
        <f t="shared" si="110"/>
        <v>1.089</v>
      </c>
      <c r="AS83" s="360">
        <f t="shared" si="133"/>
        <v>0.1011</v>
      </c>
      <c r="AT83" s="360" t="e">
        <f t="shared" si="111"/>
        <v>#VALUE!</v>
      </c>
      <c r="AU83">
        <f t="shared" si="112"/>
        <v>74</v>
      </c>
      <c r="AV83" s="542" t="e">
        <f t="shared" si="127"/>
        <v>#VALUE!</v>
      </c>
      <c r="AW83" s="551" t="e">
        <f t="shared" si="113"/>
        <v>#VALUE!</v>
      </c>
      <c r="AX83" s="551" t="e">
        <f t="shared" si="114"/>
        <v>#VALUE!</v>
      </c>
      <c r="AY83" s="9"/>
      <c r="AZ83" s="4" t="e">
        <f t="shared" si="128"/>
        <v>#VALUE!</v>
      </c>
      <c r="BA83" s="360" t="e">
        <f t="shared" si="115"/>
        <v>#VALUE!</v>
      </c>
      <c r="BB83" s="360" t="e">
        <f t="shared" si="129"/>
        <v>#VALUE!</v>
      </c>
      <c r="BC83" s="360" t="e">
        <f t="shared" si="130"/>
        <v>#VALUE!</v>
      </c>
      <c r="BD83" s="360" t="e">
        <f t="shared" si="131"/>
        <v>#VALUE!</v>
      </c>
      <c r="BE83" s="360">
        <f t="shared" si="132"/>
        <v>0.27462241353875538</v>
      </c>
      <c r="BK83" s="18"/>
      <c r="BL83" s="19"/>
    </row>
    <row r="84" spans="1:64" x14ac:dyDescent="0.2">
      <c r="G84">
        <v>75</v>
      </c>
      <c r="H84" s="548">
        <f t="shared" si="85"/>
        <v>60</v>
      </c>
      <c r="I84" s="4">
        <f t="shared" si="86"/>
        <v>1</v>
      </c>
      <c r="J84" s="360">
        <f t="shared" si="116"/>
        <v>7.5</v>
      </c>
      <c r="K84" s="360">
        <f t="shared" si="87"/>
        <v>7.5</v>
      </c>
      <c r="L84" s="4">
        <f t="shared" si="88"/>
        <v>1.3888888888888888</v>
      </c>
      <c r="M84" s="360">
        <f t="shared" si="89"/>
        <v>0.16907246557937056</v>
      </c>
      <c r="N84" s="4">
        <f t="shared" si="90"/>
        <v>1.4051330826858854</v>
      </c>
      <c r="O84" s="4">
        <f t="shared" si="117"/>
        <v>8.2025665413429429</v>
      </c>
      <c r="P84" s="4">
        <f t="shared" si="118"/>
        <v>6.7974334586570571</v>
      </c>
      <c r="Q84" s="4">
        <f t="shared" si="91"/>
        <v>0</v>
      </c>
      <c r="R84" s="4">
        <f t="shared" si="119"/>
        <v>7.5109608738388589</v>
      </c>
      <c r="S84" s="360">
        <f t="shared" si="92"/>
        <v>0.6769743989800584</v>
      </c>
      <c r="T84" s="360">
        <f t="shared" si="93"/>
        <v>0.3</v>
      </c>
      <c r="U84" s="360" t="e">
        <f t="shared" si="94"/>
        <v>#VALUE!</v>
      </c>
      <c r="V84" s="4">
        <f t="shared" si="120"/>
        <v>0.40562698176797235</v>
      </c>
      <c r="W84" s="360">
        <f t="shared" si="121"/>
        <v>3.2906649667638994E-4</v>
      </c>
      <c r="X84" s="360">
        <f t="shared" si="122"/>
        <v>3.2906649667638994E-4</v>
      </c>
      <c r="Y84" s="4">
        <f t="shared" si="123"/>
        <v>2.8152276406450527</v>
      </c>
      <c r="Z84" s="360">
        <f t="shared" si="124"/>
        <v>7.9255066686519104E-3</v>
      </c>
      <c r="AA84" s="541">
        <f t="shared" si="125"/>
        <v>7.9255066686519104E-3</v>
      </c>
      <c r="AB84" s="360">
        <f t="shared" si="126"/>
        <v>3.0883886139548431</v>
      </c>
      <c r="AC84" s="360">
        <f t="shared" si="95"/>
        <v>5.7228865384835508E-2</v>
      </c>
      <c r="AD84" s="360">
        <f t="shared" si="96"/>
        <v>0.48956108338429366</v>
      </c>
      <c r="AE84" s="360">
        <f t="shared" si="97"/>
        <v>-0.52595999999999998</v>
      </c>
      <c r="AF84" s="360">
        <f t="shared" si="98"/>
        <v>0</v>
      </c>
      <c r="AG84" s="360" t="e">
        <f t="shared" si="99"/>
        <v>#VALUE!</v>
      </c>
      <c r="AH84" s="360">
        <f t="shared" si="100"/>
        <v>6.846633407561141</v>
      </c>
      <c r="AI84" s="360">
        <f t="shared" si="101"/>
        <v>0.11719097254383071</v>
      </c>
      <c r="AJ84" s="360">
        <f t="shared" si="102"/>
        <v>8.8199999999999987E-2</v>
      </c>
      <c r="AK84" s="360" t="e">
        <f t="shared" si="103"/>
        <v>#VALUE!</v>
      </c>
      <c r="AL84" s="360">
        <f t="shared" si="104"/>
        <v>8.8199999999999987E-2</v>
      </c>
      <c r="AM84" s="360">
        <f t="shared" si="105"/>
        <v>1.6199999999999999</v>
      </c>
      <c r="AN84" s="360">
        <f t="shared" si="106"/>
        <v>0.28207266624169097</v>
      </c>
      <c r="AO84" s="360">
        <f t="shared" si="107"/>
        <v>2.0999999999999999E-3</v>
      </c>
      <c r="AP84" s="360">
        <f t="shared" si="108"/>
        <v>9.8999999999999991E-2</v>
      </c>
      <c r="AQ84" s="360">
        <f t="shared" si="109"/>
        <v>1.1483999999999999</v>
      </c>
      <c r="AR84" s="360">
        <f t="shared" si="110"/>
        <v>1.089</v>
      </c>
      <c r="AS84" s="360">
        <f t="shared" si="133"/>
        <v>0.1011</v>
      </c>
      <c r="AT84" s="360" t="e">
        <f t="shared" si="111"/>
        <v>#VALUE!</v>
      </c>
      <c r="AU84">
        <f t="shared" si="112"/>
        <v>75</v>
      </c>
      <c r="AV84" s="542" t="e">
        <f t="shared" si="127"/>
        <v>#VALUE!</v>
      </c>
      <c r="AW84" s="551" t="e">
        <f t="shared" si="113"/>
        <v>#VALUE!</v>
      </c>
      <c r="AX84" s="551" t="e">
        <f t="shared" si="114"/>
        <v>#VALUE!</v>
      </c>
      <c r="AY84" s="9"/>
      <c r="AZ84" s="4" t="e">
        <f t="shared" si="128"/>
        <v>#VALUE!</v>
      </c>
      <c r="BA84" s="360" t="e">
        <f t="shared" si="115"/>
        <v>#VALUE!</v>
      </c>
      <c r="BB84" s="360" t="e">
        <f t="shared" si="129"/>
        <v>#VALUE!</v>
      </c>
      <c r="BC84" s="360" t="e">
        <f t="shared" si="130"/>
        <v>#VALUE!</v>
      </c>
      <c r="BD84" s="360" t="e">
        <f t="shared" si="131"/>
        <v>#VALUE!</v>
      </c>
      <c r="BE84" s="360">
        <f t="shared" si="132"/>
        <v>0.28207266624169097</v>
      </c>
      <c r="BK84" s="18"/>
      <c r="BL84" s="19"/>
    </row>
    <row r="85" spans="1:64" x14ac:dyDescent="0.2">
      <c r="G85">
        <v>76</v>
      </c>
      <c r="H85" s="548">
        <f t="shared" si="85"/>
        <v>60</v>
      </c>
      <c r="I85" s="4">
        <f t="shared" si="86"/>
        <v>1</v>
      </c>
      <c r="J85" s="360">
        <f t="shared" si="116"/>
        <v>7.6</v>
      </c>
      <c r="K85" s="360">
        <f t="shared" si="87"/>
        <v>7.6</v>
      </c>
      <c r="L85" s="4">
        <f t="shared" si="88"/>
        <v>1.4074074074074074</v>
      </c>
      <c r="M85" s="360">
        <f t="shared" si="89"/>
        <v>0.16910453680467377</v>
      </c>
      <c r="N85" s="4">
        <f t="shared" si="90"/>
        <v>1.4053488899331348</v>
      </c>
      <c r="O85" s="4">
        <f t="shared" si="117"/>
        <v>8.3026744449665664</v>
      </c>
      <c r="P85" s="4">
        <f t="shared" si="118"/>
        <v>6.897325555033432</v>
      </c>
      <c r="Q85" s="4">
        <f t="shared" si="91"/>
        <v>0</v>
      </c>
      <c r="R85" s="4">
        <f t="shared" si="119"/>
        <v>7.6108201786581242</v>
      </c>
      <c r="S85" s="360">
        <f t="shared" si="92"/>
        <v>0.69509500550243619</v>
      </c>
      <c r="T85" s="360">
        <f t="shared" si="93"/>
        <v>0.3</v>
      </c>
      <c r="U85" s="360" t="e">
        <f t="shared" si="94"/>
        <v>#VALUE!</v>
      </c>
      <c r="V85" s="4">
        <f t="shared" si="120"/>
        <v>0.40568927995411858</v>
      </c>
      <c r="W85" s="360">
        <f t="shared" si="121"/>
        <v>3.2916758373938241E-4</v>
      </c>
      <c r="X85" s="360">
        <f t="shared" si="122"/>
        <v>3.2916758373938241E-4</v>
      </c>
      <c r="Y85" s="4">
        <f t="shared" si="123"/>
        <v>2.8528719856044544</v>
      </c>
      <c r="Z85" s="360">
        <f t="shared" si="124"/>
        <v>8.1388785662467027E-3</v>
      </c>
      <c r="AA85" s="541">
        <f t="shared" si="125"/>
        <v>8.1388785662467027E-3</v>
      </c>
      <c r="AB85" s="360">
        <f t="shared" si="126"/>
        <v>3.1297459819812272</v>
      </c>
      <c r="AC85" s="360">
        <f t="shared" si="95"/>
        <v>5.8771859470365825E-2</v>
      </c>
      <c r="AD85" s="360">
        <f t="shared" si="96"/>
        <v>0.49608856449608424</v>
      </c>
      <c r="AE85" s="360">
        <f t="shared" si="97"/>
        <v>-0.52595999999999998</v>
      </c>
      <c r="AF85" s="360">
        <f t="shared" si="98"/>
        <v>0</v>
      </c>
      <c r="AG85" s="360" t="e">
        <f t="shared" si="99"/>
        <v>#VALUE!</v>
      </c>
      <c r="AH85" s="360">
        <f t="shared" si="100"/>
        <v>6.9375264958154963</v>
      </c>
      <c r="AI85" s="360">
        <f t="shared" si="101"/>
        <v>0.12032318470035509</v>
      </c>
      <c r="AJ85" s="360">
        <f t="shared" si="102"/>
        <v>8.9375999999999983E-2</v>
      </c>
      <c r="AK85" s="360" t="e">
        <f t="shared" si="103"/>
        <v>#VALUE!</v>
      </c>
      <c r="AL85" s="360">
        <f t="shared" si="104"/>
        <v>8.9375999999999983E-2</v>
      </c>
      <c r="AM85" s="360">
        <f t="shared" si="105"/>
        <v>1.6415999999999999</v>
      </c>
      <c r="AN85" s="360">
        <f t="shared" si="106"/>
        <v>0.28962291895934839</v>
      </c>
      <c r="AO85" s="360">
        <f t="shared" si="107"/>
        <v>2.0999999999999999E-3</v>
      </c>
      <c r="AP85" s="360">
        <f t="shared" si="108"/>
        <v>9.8999999999999991E-2</v>
      </c>
      <c r="AQ85" s="360">
        <f t="shared" si="109"/>
        <v>1.1483999999999999</v>
      </c>
      <c r="AR85" s="360">
        <f t="shared" si="110"/>
        <v>1.089</v>
      </c>
      <c r="AS85" s="360">
        <f t="shared" si="133"/>
        <v>0.1011</v>
      </c>
      <c r="AT85" s="360" t="e">
        <f t="shared" si="111"/>
        <v>#VALUE!</v>
      </c>
      <c r="AU85">
        <f t="shared" si="112"/>
        <v>76</v>
      </c>
      <c r="AV85" s="542" t="e">
        <f t="shared" si="127"/>
        <v>#VALUE!</v>
      </c>
      <c r="AW85" s="551" t="e">
        <f t="shared" si="113"/>
        <v>#VALUE!</v>
      </c>
      <c r="AX85" s="551" t="e">
        <f t="shared" si="114"/>
        <v>#VALUE!</v>
      </c>
      <c r="AY85" s="9"/>
      <c r="AZ85" s="4" t="e">
        <f t="shared" si="128"/>
        <v>#VALUE!</v>
      </c>
      <c r="BA85" s="360" t="e">
        <f t="shared" si="115"/>
        <v>#VALUE!</v>
      </c>
      <c r="BB85" s="360" t="e">
        <f t="shared" si="129"/>
        <v>#VALUE!</v>
      </c>
      <c r="BC85" s="360" t="e">
        <f t="shared" si="130"/>
        <v>#VALUE!</v>
      </c>
      <c r="BD85" s="360" t="e">
        <f t="shared" si="131"/>
        <v>#VALUE!</v>
      </c>
      <c r="BE85" s="360">
        <f t="shared" si="132"/>
        <v>0.28962291895934839</v>
      </c>
      <c r="BK85" s="18"/>
      <c r="BL85" s="19"/>
    </row>
    <row r="86" spans="1:64" x14ac:dyDescent="0.2">
      <c r="G86">
        <v>77</v>
      </c>
      <c r="H86" s="548">
        <f t="shared" si="85"/>
        <v>60</v>
      </c>
      <c r="I86" s="4">
        <f t="shared" si="86"/>
        <v>1</v>
      </c>
      <c r="J86" s="360">
        <f t="shared" si="116"/>
        <v>7.7</v>
      </c>
      <c r="K86" s="360">
        <f t="shared" si="87"/>
        <v>7.7</v>
      </c>
      <c r="L86" s="4">
        <f t="shared" si="88"/>
        <v>1.4259259259259258</v>
      </c>
      <c r="M86" s="360">
        <f t="shared" si="89"/>
        <v>0.16913660786965176</v>
      </c>
      <c r="N86" s="4">
        <f t="shared" si="90"/>
        <v>1.4055646766053091</v>
      </c>
      <c r="O86" s="4">
        <f t="shared" si="117"/>
        <v>8.4027823383026554</v>
      </c>
      <c r="P86" s="4">
        <f t="shared" si="118"/>
        <v>6.9972176616973458</v>
      </c>
      <c r="Q86" s="4">
        <f t="shared" si="91"/>
        <v>0</v>
      </c>
      <c r="R86" s="4">
        <f t="shared" si="119"/>
        <v>7.7106831304588956</v>
      </c>
      <c r="S86" s="360">
        <f t="shared" si="92"/>
        <v>0.71345561206012076</v>
      </c>
      <c r="T86" s="360">
        <f t="shared" si="93"/>
        <v>0.3</v>
      </c>
      <c r="U86" s="360" t="e">
        <f t="shared" si="94"/>
        <v>#VALUE!</v>
      </c>
      <c r="V86" s="4">
        <f t="shared" si="120"/>
        <v>0.40575157220075231</v>
      </c>
      <c r="W86" s="360">
        <f t="shared" si="121"/>
        <v>3.2926867668676464E-4</v>
      </c>
      <c r="X86" s="360">
        <f t="shared" si="122"/>
        <v>3.2926867668676464E-4</v>
      </c>
      <c r="Y86" s="4">
        <f t="shared" si="123"/>
        <v>2.890523313706074</v>
      </c>
      <c r="Z86" s="360">
        <f t="shared" si="124"/>
        <v>8.3551250270783427E-3</v>
      </c>
      <c r="AA86" s="541">
        <f t="shared" si="125"/>
        <v>8.3551250270783427E-3</v>
      </c>
      <c r="AB86" s="360">
        <f t="shared" si="126"/>
        <v>3.171112608236724</v>
      </c>
      <c r="AC86" s="360">
        <f t="shared" si="95"/>
        <v>6.0335731044707519E-2</v>
      </c>
      <c r="AD86" s="360">
        <f t="shared" si="96"/>
        <v>0.50261604560787487</v>
      </c>
      <c r="AE86" s="360">
        <f t="shared" si="97"/>
        <v>-0.52595999999999998</v>
      </c>
      <c r="AF86" s="360">
        <f t="shared" si="98"/>
        <v>0</v>
      </c>
      <c r="AG86" s="360" t="e">
        <f t="shared" si="99"/>
        <v>#VALUE!</v>
      </c>
      <c r="AH86" s="360">
        <f t="shared" si="100"/>
        <v>7.0284193930232615</v>
      </c>
      <c r="AI86" s="360">
        <f t="shared" si="101"/>
        <v>0.12349669791056368</v>
      </c>
      <c r="AJ86" s="360">
        <f t="shared" si="102"/>
        <v>9.055199999999998E-2</v>
      </c>
      <c r="AK86" s="360" t="e">
        <f t="shared" si="103"/>
        <v>#VALUE!</v>
      </c>
      <c r="AL86" s="360">
        <f t="shared" si="104"/>
        <v>9.055199999999998E-2</v>
      </c>
      <c r="AM86" s="360">
        <f t="shared" si="105"/>
        <v>1.6631999999999998</v>
      </c>
      <c r="AN86" s="360">
        <f t="shared" si="106"/>
        <v>0.29727317169171696</v>
      </c>
      <c r="AO86" s="360">
        <f t="shared" si="107"/>
        <v>2.0999999999999999E-3</v>
      </c>
      <c r="AP86" s="360">
        <f t="shared" si="108"/>
        <v>9.8999999999999991E-2</v>
      </c>
      <c r="AQ86" s="360">
        <f t="shared" si="109"/>
        <v>1.1483999999999999</v>
      </c>
      <c r="AR86" s="360">
        <f t="shared" si="110"/>
        <v>1.089</v>
      </c>
      <c r="AS86" s="360">
        <f t="shared" si="133"/>
        <v>0.1011</v>
      </c>
      <c r="AT86" s="360" t="e">
        <f t="shared" si="111"/>
        <v>#VALUE!</v>
      </c>
      <c r="AU86">
        <f t="shared" si="112"/>
        <v>77</v>
      </c>
      <c r="AV86" s="542" t="e">
        <f t="shared" si="127"/>
        <v>#VALUE!</v>
      </c>
      <c r="AW86" s="551" t="e">
        <f t="shared" si="113"/>
        <v>#VALUE!</v>
      </c>
      <c r="AX86" s="551" t="e">
        <f t="shared" si="114"/>
        <v>#VALUE!</v>
      </c>
      <c r="AY86" s="9"/>
      <c r="AZ86" s="4" t="e">
        <f t="shared" si="128"/>
        <v>#VALUE!</v>
      </c>
      <c r="BA86" s="360" t="e">
        <f t="shared" si="115"/>
        <v>#VALUE!</v>
      </c>
      <c r="BB86" s="360" t="e">
        <f t="shared" si="129"/>
        <v>#VALUE!</v>
      </c>
      <c r="BC86" s="360" t="e">
        <f t="shared" si="130"/>
        <v>#VALUE!</v>
      </c>
      <c r="BD86" s="360" t="e">
        <f t="shared" si="131"/>
        <v>#VALUE!</v>
      </c>
      <c r="BE86" s="360">
        <f t="shared" si="132"/>
        <v>0.29727317169171696</v>
      </c>
      <c r="BK86" s="18"/>
      <c r="BL86" s="19"/>
    </row>
    <row r="87" spans="1:64" x14ac:dyDescent="0.2">
      <c r="G87">
        <v>78</v>
      </c>
      <c r="H87" s="548">
        <f t="shared" si="85"/>
        <v>60</v>
      </c>
      <c r="I87" s="4">
        <f t="shared" si="86"/>
        <v>1</v>
      </c>
      <c r="J87" s="360">
        <f t="shared" si="116"/>
        <v>7.8</v>
      </c>
      <c r="K87" s="360">
        <f t="shared" si="87"/>
        <v>7.8</v>
      </c>
      <c r="L87" s="4">
        <f t="shared" si="88"/>
        <v>1.4444444444444444</v>
      </c>
      <c r="M87" s="360">
        <f t="shared" si="89"/>
        <v>0.16916867877430569</v>
      </c>
      <c r="N87" s="4">
        <f t="shared" si="90"/>
        <v>1.4057804427025617</v>
      </c>
      <c r="O87" s="4">
        <f t="shared" si="117"/>
        <v>8.5028902213512811</v>
      </c>
      <c r="P87" s="4">
        <f t="shared" si="118"/>
        <v>7.0971097786487185</v>
      </c>
      <c r="Q87" s="4">
        <f t="shared" si="91"/>
        <v>0</v>
      </c>
      <c r="R87" s="4">
        <f t="shared" si="119"/>
        <v>7.8105495893539452</v>
      </c>
      <c r="S87" s="360">
        <f t="shared" si="92"/>
        <v>0.73205621865308501</v>
      </c>
      <c r="T87" s="360">
        <f t="shared" si="93"/>
        <v>0.3</v>
      </c>
      <c r="U87" s="360" t="e">
        <f t="shared" si="94"/>
        <v>#VALUE!</v>
      </c>
      <c r="V87" s="4">
        <f t="shared" si="120"/>
        <v>0.40581385850791768</v>
      </c>
      <c r="W87" s="360">
        <f t="shared" si="121"/>
        <v>3.2936977551416849E-4</v>
      </c>
      <c r="X87" s="360">
        <f t="shared" si="122"/>
        <v>3.2936977551416849E-4</v>
      </c>
      <c r="Y87" s="4">
        <f t="shared" si="123"/>
        <v>2.9281815713199539</v>
      </c>
      <c r="Z87" s="360">
        <f t="shared" si="124"/>
        <v>8.5742473146177955E-3</v>
      </c>
      <c r="AA87" s="541">
        <f t="shared" si="125"/>
        <v>8.5742473146177955E-3</v>
      </c>
      <c r="AB87" s="360">
        <f t="shared" si="126"/>
        <v>3.2124884344546234</v>
      </c>
      <c r="AC87" s="360">
        <f t="shared" si="95"/>
        <v>6.1920491649028311E-2</v>
      </c>
      <c r="AD87" s="360">
        <f t="shared" si="96"/>
        <v>0.50914352671966545</v>
      </c>
      <c r="AE87" s="360">
        <f t="shared" si="97"/>
        <v>-0.52595999999999998</v>
      </c>
      <c r="AF87" s="360">
        <f t="shared" si="98"/>
        <v>0</v>
      </c>
      <c r="AG87" s="360" t="e">
        <f t="shared" si="99"/>
        <v>#VALUE!</v>
      </c>
      <c r="AH87" s="360">
        <f t="shared" si="100"/>
        <v>7.119311971409342</v>
      </c>
      <c r="AI87" s="360">
        <f t="shared" si="101"/>
        <v>0.12671150736563092</v>
      </c>
      <c r="AJ87" s="360">
        <f t="shared" si="102"/>
        <v>9.1727999999999976E-2</v>
      </c>
      <c r="AK87" s="360" t="e">
        <f t="shared" si="103"/>
        <v>#VALUE!</v>
      </c>
      <c r="AL87" s="360">
        <f t="shared" si="104"/>
        <v>9.1727999999999976E-2</v>
      </c>
      <c r="AM87" s="360">
        <f t="shared" si="105"/>
        <v>1.6847999999999999</v>
      </c>
      <c r="AN87" s="360">
        <f t="shared" si="106"/>
        <v>0.30502342443878538</v>
      </c>
      <c r="AO87" s="360">
        <f t="shared" si="107"/>
        <v>2.0999999999999999E-3</v>
      </c>
      <c r="AP87" s="360">
        <f t="shared" si="108"/>
        <v>9.8999999999999991E-2</v>
      </c>
      <c r="AQ87" s="360">
        <f t="shared" si="109"/>
        <v>1.1483999999999999</v>
      </c>
      <c r="AR87" s="360">
        <f t="shared" si="110"/>
        <v>1.089</v>
      </c>
      <c r="AS87" s="360">
        <f t="shared" si="133"/>
        <v>0.1011</v>
      </c>
      <c r="AT87" s="360" t="e">
        <f t="shared" si="111"/>
        <v>#VALUE!</v>
      </c>
      <c r="AU87">
        <f t="shared" si="112"/>
        <v>78</v>
      </c>
      <c r="AV87" s="542" t="e">
        <f t="shared" si="127"/>
        <v>#VALUE!</v>
      </c>
      <c r="AW87" s="551" t="e">
        <f t="shared" si="113"/>
        <v>#VALUE!</v>
      </c>
      <c r="AX87" s="551" t="e">
        <f t="shared" si="114"/>
        <v>#VALUE!</v>
      </c>
      <c r="AY87" s="9"/>
      <c r="AZ87" s="4" t="e">
        <f t="shared" si="128"/>
        <v>#VALUE!</v>
      </c>
      <c r="BA87" s="360" t="e">
        <f t="shared" si="115"/>
        <v>#VALUE!</v>
      </c>
      <c r="BB87" s="360" t="e">
        <f t="shared" si="129"/>
        <v>#VALUE!</v>
      </c>
      <c r="BC87" s="360" t="e">
        <f t="shared" si="130"/>
        <v>#VALUE!</v>
      </c>
      <c r="BD87" s="360" t="e">
        <f t="shared" si="131"/>
        <v>#VALUE!</v>
      </c>
      <c r="BE87" s="360">
        <f t="shared" si="132"/>
        <v>0.30502342443878538</v>
      </c>
      <c r="BK87" s="18"/>
      <c r="BL87" s="19"/>
    </row>
    <row r="88" spans="1:64" x14ac:dyDescent="0.2">
      <c r="G88">
        <v>79</v>
      </c>
      <c r="H88" s="548">
        <f t="shared" si="85"/>
        <v>60</v>
      </c>
      <c r="I88" s="4">
        <f t="shared" si="86"/>
        <v>1</v>
      </c>
      <c r="J88" s="360">
        <f t="shared" si="116"/>
        <v>7.9</v>
      </c>
      <c r="K88" s="360">
        <f t="shared" si="87"/>
        <v>7.9</v>
      </c>
      <c r="L88" s="4">
        <f t="shared" si="88"/>
        <v>1.462962962962963</v>
      </c>
      <c r="M88" s="360">
        <f t="shared" si="89"/>
        <v>0.16920074951863673</v>
      </c>
      <c r="N88" s="4">
        <f t="shared" si="90"/>
        <v>1.4059961882250476</v>
      </c>
      <c r="O88" s="4">
        <f t="shared" si="117"/>
        <v>8.6029980941125235</v>
      </c>
      <c r="P88" s="4">
        <f t="shared" si="118"/>
        <v>7.1970019058874763</v>
      </c>
      <c r="Q88" s="4">
        <f t="shared" si="91"/>
        <v>0</v>
      </c>
      <c r="R88" s="4">
        <f t="shared" si="119"/>
        <v>7.9104194225153837</v>
      </c>
      <c r="S88" s="360">
        <f t="shared" si="92"/>
        <v>0.75089682528130341</v>
      </c>
      <c r="T88" s="360">
        <f t="shared" si="93"/>
        <v>0.3</v>
      </c>
      <c r="U88" s="360" t="e">
        <f t="shared" si="94"/>
        <v>#VALUE!</v>
      </c>
      <c r="V88" s="4">
        <f t="shared" si="120"/>
        <v>0.40587613887565949</v>
      </c>
      <c r="W88" s="360">
        <f t="shared" si="121"/>
        <v>3.2947088021722729E-4</v>
      </c>
      <c r="X88" s="360">
        <f t="shared" si="122"/>
        <v>3.2947088021722729E-4</v>
      </c>
      <c r="Y88" s="4">
        <f t="shared" si="123"/>
        <v>2.9658467074474144</v>
      </c>
      <c r="Z88" s="360">
        <f t="shared" si="124"/>
        <v>8.7962466920766692E-3</v>
      </c>
      <c r="AA88" s="541">
        <f t="shared" si="125"/>
        <v>8.7962466920766692E-3</v>
      </c>
      <c r="AB88" s="360">
        <f t="shared" si="126"/>
        <v>3.2538734052505451</v>
      </c>
      <c r="AC88" s="360">
        <f t="shared" si="95"/>
        <v>6.3526152824380677E-2</v>
      </c>
      <c r="AD88" s="360">
        <f t="shared" si="96"/>
        <v>0.51567100783145603</v>
      </c>
      <c r="AE88" s="360">
        <f t="shared" si="97"/>
        <v>-0.52595999999999998</v>
      </c>
      <c r="AF88" s="360">
        <f t="shared" si="98"/>
        <v>0</v>
      </c>
      <c r="AG88" s="360" t="e">
        <f t="shared" si="99"/>
        <v>#VALUE!</v>
      </c>
      <c r="AH88" s="360">
        <f t="shared" si="100"/>
        <v>7.210204109642933</v>
      </c>
      <c r="AI88" s="360">
        <f t="shared" si="101"/>
        <v>0.12996760825677961</v>
      </c>
      <c r="AJ88" s="360">
        <f t="shared" si="102"/>
        <v>9.2903999999999987E-2</v>
      </c>
      <c r="AK88" s="360" t="e">
        <f t="shared" si="103"/>
        <v>#VALUE!</v>
      </c>
      <c r="AL88" s="360">
        <f t="shared" si="104"/>
        <v>9.2903999999999987E-2</v>
      </c>
      <c r="AM88" s="360">
        <f t="shared" si="105"/>
        <v>1.7063999999999999</v>
      </c>
      <c r="AN88" s="360">
        <f t="shared" si="106"/>
        <v>0.3128736772005431</v>
      </c>
      <c r="AO88" s="360">
        <f t="shared" si="107"/>
        <v>2.0999999999999999E-3</v>
      </c>
      <c r="AP88" s="360">
        <f t="shared" si="108"/>
        <v>9.8999999999999991E-2</v>
      </c>
      <c r="AQ88" s="360">
        <f t="shared" si="109"/>
        <v>1.1483999999999999</v>
      </c>
      <c r="AR88" s="360">
        <f t="shared" si="110"/>
        <v>1.089</v>
      </c>
      <c r="AS88" s="360">
        <f t="shared" si="133"/>
        <v>0.1011</v>
      </c>
      <c r="AT88" s="360" t="e">
        <f t="shared" si="111"/>
        <v>#VALUE!</v>
      </c>
      <c r="AU88">
        <f t="shared" si="112"/>
        <v>79</v>
      </c>
      <c r="AV88" s="542" t="e">
        <f t="shared" si="127"/>
        <v>#VALUE!</v>
      </c>
      <c r="AW88" s="551" t="e">
        <f t="shared" si="113"/>
        <v>#VALUE!</v>
      </c>
      <c r="AX88" s="551" t="e">
        <f t="shared" si="114"/>
        <v>#VALUE!</v>
      </c>
      <c r="AY88" s="9"/>
      <c r="AZ88" s="4" t="e">
        <f t="shared" si="128"/>
        <v>#VALUE!</v>
      </c>
      <c r="BA88" s="360" t="e">
        <f t="shared" si="115"/>
        <v>#VALUE!</v>
      </c>
      <c r="BB88" s="360" t="e">
        <f t="shared" si="129"/>
        <v>#VALUE!</v>
      </c>
      <c r="BC88" s="360" t="e">
        <f t="shared" si="130"/>
        <v>#VALUE!</v>
      </c>
      <c r="BD88" s="360" t="e">
        <f t="shared" si="131"/>
        <v>#VALUE!</v>
      </c>
      <c r="BE88" s="360">
        <f t="shared" si="132"/>
        <v>0.3128736772005431</v>
      </c>
      <c r="BK88" s="18"/>
      <c r="BL88" s="19"/>
    </row>
    <row r="89" spans="1:64" x14ac:dyDescent="0.2">
      <c r="G89">
        <v>80</v>
      </c>
      <c r="H89" s="548">
        <f t="shared" si="85"/>
        <v>60</v>
      </c>
      <c r="I89" s="4">
        <f t="shared" si="86"/>
        <v>1</v>
      </c>
      <c r="J89" s="360">
        <f t="shared" si="116"/>
        <v>8</v>
      </c>
      <c r="K89" s="360">
        <f t="shared" si="87"/>
        <v>8</v>
      </c>
      <c r="L89" s="4">
        <f t="shared" si="88"/>
        <v>1.4814814814814814</v>
      </c>
      <c r="M89" s="360">
        <f t="shared" si="89"/>
        <v>0.16923282010264615</v>
      </c>
      <c r="N89" s="4">
        <f t="shared" si="90"/>
        <v>1.4062119131729209</v>
      </c>
      <c r="O89" s="4">
        <f t="shared" si="117"/>
        <v>8.7031059565864606</v>
      </c>
      <c r="P89" s="4">
        <f t="shared" si="118"/>
        <v>7.2968940434135394</v>
      </c>
      <c r="Q89" s="4">
        <f t="shared" si="91"/>
        <v>0</v>
      </c>
      <c r="R89" s="4">
        <f t="shared" si="119"/>
        <v>8.0102925037351653</v>
      </c>
      <c r="S89" s="360">
        <f t="shared" si="92"/>
        <v>0.76997743194474944</v>
      </c>
      <c r="T89" s="360">
        <f t="shared" si="93"/>
        <v>0.3</v>
      </c>
      <c r="U89" s="360" t="e">
        <f t="shared" si="94"/>
        <v>#VALUE!</v>
      </c>
      <c r="V89" s="4">
        <f t="shared" si="120"/>
        <v>0.40593841330402231</v>
      </c>
      <c r="W89" s="360">
        <f t="shared" si="121"/>
        <v>3.2957199079157446E-4</v>
      </c>
      <c r="X89" s="360">
        <f t="shared" si="122"/>
        <v>3.2957199079157446E-4</v>
      </c>
      <c r="Y89" s="4">
        <f t="shared" si="123"/>
        <v>3.0035186735572617</v>
      </c>
      <c r="Z89" s="360">
        <f t="shared" si="124"/>
        <v>9.0211244224071736E-3</v>
      </c>
      <c r="AA89" s="541">
        <f t="shared" si="125"/>
        <v>9.0211244224071736E-3</v>
      </c>
      <c r="AB89" s="360">
        <f t="shared" si="126"/>
        <v>3.2952674679430203</v>
      </c>
      <c r="AC89" s="360">
        <f t="shared" si="95"/>
        <v>6.5152726111701628E-2</v>
      </c>
      <c r="AD89" s="360">
        <f t="shared" si="96"/>
        <v>0.52219848894324661</v>
      </c>
      <c r="AE89" s="360">
        <f t="shared" si="97"/>
        <v>-0.52595999999999998</v>
      </c>
      <c r="AF89" s="360">
        <f t="shared" si="98"/>
        <v>0</v>
      </c>
      <c r="AG89" s="360" t="e">
        <f t="shared" si="99"/>
        <v>#VALUE!</v>
      </c>
      <c r="AH89" s="360">
        <f t="shared" si="100"/>
        <v>7.30109569243632</v>
      </c>
      <c r="AI89" s="360">
        <f t="shared" si="101"/>
        <v>0.13326499577528048</v>
      </c>
      <c r="AJ89" s="360">
        <f t="shared" si="102"/>
        <v>9.4079999999999983E-2</v>
      </c>
      <c r="AK89" s="360" t="e">
        <f t="shared" si="103"/>
        <v>#VALUE!</v>
      </c>
      <c r="AL89" s="360">
        <f t="shared" si="104"/>
        <v>9.4079999999999983E-2</v>
      </c>
      <c r="AM89" s="360">
        <f t="shared" si="105"/>
        <v>1.7279999999999998</v>
      </c>
      <c r="AN89" s="360">
        <f t="shared" si="106"/>
        <v>0.32082392997697895</v>
      </c>
      <c r="AO89" s="360">
        <f t="shared" si="107"/>
        <v>2.0999999999999999E-3</v>
      </c>
      <c r="AP89" s="360">
        <f t="shared" si="108"/>
        <v>9.8999999999999991E-2</v>
      </c>
      <c r="AQ89" s="360">
        <f t="shared" si="109"/>
        <v>1.1483999999999999</v>
      </c>
      <c r="AR89" s="360">
        <f t="shared" si="110"/>
        <v>1.089</v>
      </c>
      <c r="AS89" s="360">
        <f t="shared" si="133"/>
        <v>0.1011</v>
      </c>
      <c r="AT89" s="360" t="e">
        <f t="shared" si="111"/>
        <v>#VALUE!</v>
      </c>
      <c r="AU89">
        <f t="shared" si="112"/>
        <v>80</v>
      </c>
      <c r="AV89" s="542" t="e">
        <f t="shared" si="127"/>
        <v>#VALUE!</v>
      </c>
      <c r="AW89" s="551" t="e">
        <f t="shared" si="113"/>
        <v>#VALUE!</v>
      </c>
      <c r="AX89" s="551" t="e">
        <f t="shared" si="114"/>
        <v>#VALUE!</v>
      </c>
      <c r="AY89" s="9"/>
      <c r="AZ89" s="4" t="e">
        <f t="shared" si="128"/>
        <v>#VALUE!</v>
      </c>
      <c r="BA89" s="360" t="e">
        <f t="shared" si="115"/>
        <v>#VALUE!</v>
      </c>
      <c r="BB89" s="360" t="e">
        <f t="shared" si="129"/>
        <v>#VALUE!</v>
      </c>
      <c r="BC89" s="360" t="e">
        <f t="shared" si="130"/>
        <v>#VALUE!</v>
      </c>
      <c r="BD89" s="360" t="e">
        <f t="shared" si="131"/>
        <v>#VALUE!</v>
      </c>
      <c r="BE89" s="360">
        <f t="shared" si="132"/>
        <v>0.32082392997697895</v>
      </c>
      <c r="BK89" s="18"/>
      <c r="BL89" s="19"/>
    </row>
    <row r="90" spans="1:64" x14ac:dyDescent="0.2">
      <c r="G90">
        <v>81</v>
      </c>
      <c r="H90" s="548">
        <f t="shared" si="85"/>
        <v>60</v>
      </c>
      <c r="I90" s="4">
        <f t="shared" si="86"/>
        <v>1</v>
      </c>
      <c r="J90" s="360">
        <f t="shared" si="116"/>
        <v>8.1</v>
      </c>
      <c r="K90" s="360">
        <f t="shared" si="87"/>
        <v>8.1</v>
      </c>
      <c r="L90" s="4">
        <f t="shared" si="88"/>
        <v>1.5</v>
      </c>
      <c r="M90" s="360">
        <f t="shared" si="89"/>
        <v>0.16926489052633509</v>
      </c>
      <c r="N90" s="4">
        <f t="shared" si="90"/>
        <v>1.4064276175463355</v>
      </c>
      <c r="O90" s="4">
        <f t="shared" si="117"/>
        <v>8.8032138087731671</v>
      </c>
      <c r="P90" s="4">
        <f t="shared" si="118"/>
        <v>7.3967861912268322</v>
      </c>
      <c r="Q90" s="4">
        <f t="shared" si="91"/>
        <v>0</v>
      </c>
      <c r="R90" s="4">
        <f t="shared" si="119"/>
        <v>8.1101687130180231</v>
      </c>
      <c r="S90" s="360">
        <f t="shared" si="92"/>
        <v>0.78929803864339709</v>
      </c>
      <c r="T90" s="360">
        <f t="shared" si="93"/>
        <v>0.3</v>
      </c>
      <c r="U90" s="360" t="e">
        <f t="shared" si="94"/>
        <v>#VALUE!</v>
      </c>
      <c r="V90" s="4">
        <f t="shared" si="120"/>
        <v>0.40600068179305043</v>
      </c>
      <c r="W90" s="360">
        <f t="shared" si="121"/>
        <v>3.2967310723284359E-4</v>
      </c>
      <c r="X90" s="360">
        <f t="shared" si="122"/>
        <v>3.2967310723284359E-4</v>
      </c>
      <c r="Y90" s="4">
        <f t="shared" si="123"/>
        <v>3.0411974234340913</v>
      </c>
      <c r="Z90" s="360">
        <f t="shared" si="124"/>
        <v>9.248881768302155E-3</v>
      </c>
      <c r="AA90" s="541">
        <f t="shared" si="125"/>
        <v>9.248881768302155E-3</v>
      </c>
      <c r="AB90" s="360">
        <f t="shared" si="126"/>
        <v>3.3366705723873111</v>
      </c>
      <c r="AC90" s="360">
        <f t="shared" si="95"/>
        <v>6.680022305181281E-2</v>
      </c>
      <c r="AD90" s="360">
        <f t="shared" si="96"/>
        <v>0.52872597005503719</v>
      </c>
      <c r="AE90" s="360">
        <f t="shared" si="97"/>
        <v>-0.52595999999999998</v>
      </c>
      <c r="AF90" s="360">
        <f t="shared" si="98"/>
        <v>0</v>
      </c>
      <c r="AG90" s="360" t="e">
        <f t="shared" si="99"/>
        <v>#VALUE!</v>
      </c>
      <c r="AH90" s="360">
        <f t="shared" si="100"/>
        <v>7.3919866101732721</v>
      </c>
      <c r="AI90" s="360">
        <f t="shared" si="101"/>
        <v>0.13660366511245237</v>
      </c>
      <c r="AJ90" s="360">
        <f t="shared" si="102"/>
        <v>9.525599999999998E-2</v>
      </c>
      <c r="AK90" s="360" t="e">
        <f t="shared" si="103"/>
        <v>#VALUE!</v>
      </c>
      <c r="AL90" s="360">
        <f t="shared" si="104"/>
        <v>9.525599999999998E-2</v>
      </c>
      <c r="AM90" s="360">
        <f t="shared" si="105"/>
        <v>1.7495999999999998</v>
      </c>
      <c r="AN90" s="360">
        <f t="shared" si="106"/>
        <v>0.32887418276808211</v>
      </c>
      <c r="AO90" s="360">
        <f t="shared" si="107"/>
        <v>2.0999999999999999E-3</v>
      </c>
      <c r="AP90" s="360">
        <f t="shared" si="108"/>
        <v>9.8999999999999991E-2</v>
      </c>
      <c r="AQ90" s="360">
        <f t="shared" si="109"/>
        <v>1.1483999999999999</v>
      </c>
      <c r="AR90" s="360">
        <f t="shared" si="110"/>
        <v>1.089</v>
      </c>
      <c r="AS90" s="360">
        <f t="shared" si="133"/>
        <v>0.1011</v>
      </c>
      <c r="AT90" s="360" t="e">
        <f t="shared" si="111"/>
        <v>#VALUE!</v>
      </c>
      <c r="AU90">
        <f t="shared" si="112"/>
        <v>81</v>
      </c>
      <c r="AV90" s="542" t="e">
        <f t="shared" si="127"/>
        <v>#VALUE!</v>
      </c>
      <c r="AW90" s="551" t="e">
        <f t="shared" si="113"/>
        <v>#VALUE!</v>
      </c>
      <c r="AX90" s="551" t="e">
        <f t="shared" si="114"/>
        <v>#VALUE!</v>
      </c>
      <c r="AY90" s="9"/>
      <c r="AZ90" s="4" t="e">
        <f t="shared" si="128"/>
        <v>#VALUE!</v>
      </c>
      <c r="BA90" s="360" t="e">
        <f t="shared" si="115"/>
        <v>#VALUE!</v>
      </c>
      <c r="BB90" s="360" t="e">
        <f t="shared" si="129"/>
        <v>#VALUE!</v>
      </c>
      <c r="BC90" s="360" t="e">
        <f t="shared" si="130"/>
        <v>#VALUE!</v>
      </c>
      <c r="BD90" s="360" t="e">
        <f t="shared" si="131"/>
        <v>#VALUE!</v>
      </c>
      <c r="BE90" s="360">
        <f t="shared" si="132"/>
        <v>0.32887418276808211</v>
      </c>
      <c r="BK90" s="18"/>
      <c r="BL90" s="19"/>
    </row>
    <row r="91" spans="1:64" x14ac:dyDescent="0.2">
      <c r="G91">
        <v>82</v>
      </c>
      <c r="H91" s="548">
        <f t="shared" si="85"/>
        <v>60</v>
      </c>
      <c r="I91" s="4">
        <f t="shared" si="86"/>
        <v>1</v>
      </c>
      <c r="J91" s="360">
        <f t="shared" si="116"/>
        <v>8.1999999999999993</v>
      </c>
      <c r="K91" s="360">
        <f t="shared" si="87"/>
        <v>8.1999999999999993</v>
      </c>
      <c r="L91" s="4">
        <f t="shared" si="88"/>
        <v>1.5185185185185186</v>
      </c>
      <c r="M91" s="360">
        <f t="shared" si="89"/>
        <v>0.16929696078970477</v>
      </c>
      <c r="N91" s="4">
        <f t="shared" si="90"/>
        <v>1.4066433013454462</v>
      </c>
      <c r="O91" s="4">
        <f t="shared" si="117"/>
        <v>8.9033216506727229</v>
      </c>
      <c r="P91" s="4">
        <f t="shared" si="118"/>
        <v>7.4966783493272757</v>
      </c>
      <c r="Q91" s="4">
        <f t="shared" si="91"/>
        <v>0</v>
      </c>
      <c r="R91" s="4">
        <f t="shared" si="119"/>
        <v>8.210047936204047</v>
      </c>
      <c r="S91" s="360">
        <f t="shared" si="92"/>
        <v>0.80885864537721996</v>
      </c>
      <c r="T91" s="360">
        <f t="shared" si="93"/>
        <v>0.3</v>
      </c>
      <c r="U91" s="360" t="e">
        <f t="shared" si="94"/>
        <v>#VALUE!</v>
      </c>
      <c r="V91" s="4">
        <f t="shared" si="120"/>
        <v>0.40606294434278867</v>
      </c>
      <c r="W91" s="360">
        <f t="shared" si="121"/>
        <v>3.2977422953666937E-4</v>
      </c>
      <c r="X91" s="360">
        <f t="shared" si="122"/>
        <v>3.2977422953666937E-4</v>
      </c>
      <c r="Y91" s="4">
        <f t="shared" si="123"/>
        <v>3.0788829130376305</v>
      </c>
      <c r="Z91" s="360">
        <f t="shared" si="124"/>
        <v>9.4795199921950853E-3</v>
      </c>
      <c r="AA91" s="541">
        <f t="shared" si="125"/>
        <v>9.4795199921950853E-3</v>
      </c>
      <c r="AB91" s="360">
        <f t="shared" si="126"/>
        <v>3.3780826708213363</v>
      </c>
      <c r="AC91" s="360">
        <f t="shared" si="95"/>
        <v>6.8468655185420474E-2</v>
      </c>
      <c r="AD91" s="360">
        <f t="shared" si="96"/>
        <v>0.53525345116682765</v>
      </c>
      <c r="AE91" s="360">
        <f t="shared" si="97"/>
        <v>-0.52595999999999998</v>
      </c>
      <c r="AF91" s="360">
        <f t="shared" si="98"/>
        <v>0</v>
      </c>
      <c r="AG91" s="360" t="e">
        <f t="shared" si="99"/>
        <v>#VALUE!</v>
      </c>
      <c r="AH91" s="360">
        <f t="shared" si="100"/>
        <v>7.4828767585645108</v>
      </c>
      <c r="AI91" s="360">
        <f t="shared" si="101"/>
        <v>0.13998361145966232</v>
      </c>
      <c r="AJ91" s="360">
        <f t="shared" si="102"/>
        <v>9.6431999999999976E-2</v>
      </c>
      <c r="AK91" s="360" t="e">
        <f t="shared" si="103"/>
        <v>#VALUE!</v>
      </c>
      <c r="AL91" s="360">
        <f t="shared" si="104"/>
        <v>9.6431999999999976E-2</v>
      </c>
      <c r="AM91" s="360">
        <f t="shared" si="105"/>
        <v>1.7711999999999997</v>
      </c>
      <c r="AN91" s="360">
        <f t="shared" si="106"/>
        <v>0.33702443557384165</v>
      </c>
      <c r="AO91" s="360">
        <f t="shared" si="107"/>
        <v>2.0999999999999999E-3</v>
      </c>
      <c r="AP91" s="360">
        <f t="shared" si="108"/>
        <v>9.8999999999999991E-2</v>
      </c>
      <c r="AQ91" s="360">
        <f t="shared" si="109"/>
        <v>1.1483999999999999</v>
      </c>
      <c r="AR91" s="360">
        <f t="shared" si="110"/>
        <v>1.089</v>
      </c>
      <c r="AS91" s="360">
        <f t="shared" si="133"/>
        <v>0.1011</v>
      </c>
      <c r="AT91" s="360" t="e">
        <f t="shared" si="111"/>
        <v>#VALUE!</v>
      </c>
      <c r="AU91">
        <f t="shared" si="112"/>
        <v>82</v>
      </c>
      <c r="AV91" s="542" t="e">
        <f t="shared" si="127"/>
        <v>#VALUE!</v>
      </c>
      <c r="AW91" s="551" t="e">
        <f t="shared" si="113"/>
        <v>#VALUE!</v>
      </c>
      <c r="AX91" s="551" t="e">
        <f t="shared" si="114"/>
        <v>#VALUE!</v>
      </c>
      <c r="AY91" s="9"/>
      <c r="AZ91" s="4" t="e">
        <f t="shared" si="128"/>
        <v>#VALUE!</v>
      </c>
      <c r="BA91" s="360" t="e">
        <f t="shared" si="115"/>
        <v>#VALUE!</v>
      </c>
      <c r="BB91" s="360" t="e">
        <f t="shared" si="129"/>
        <v>#VALUE!</v>
      </c>
      <c r="BC91" s="360" t="e">
        <f t="shared" si="130"/>
        <v>#VALUE!</v>
      </c>
      <c r="BD91" s="360" t="e">
        <f t="shared" si="131"/>
        <v>#VALUE!</v>
      </c>
      <c r="BE91" s="360">
        <f t="shared" si="132"/>
        <v>0.33702443557384165</v>
      </c>
      <c r="BK91" s="18"/>
      <c r="BL91" s="19"/>
    </row>
    <row r="92" spans="1:64" x14ac:dyDescent="0.2">
      <c r="G92">
        <v>83</v>
      </c>
      <c r="H92" s="548">
        <f t="shared" si="85"/>
        <v>60</v>
      </c>
      <c r="I92" s="4">
        <f t="shared" si="86"/>
        <v>1</v>
      </c>
      <c r="J92" s="360">
        <f t="shared" si="116"/>
        <v>8.3000000000000007</v>
      </c>
      <c r="K92" s="360">
        <f t="shared" si="87"/>
        <v>8.3000000000000007</v>
      </c>
      <c r="L92" s="4">
        <f t="shared" si="88"/>
        <v>1.537037037037037</v>
      </c>
      <c r="M92" s="360">
        <f t="shared" si="89"/>
        <v>0.16932903089275642</v>
      </c>
      <c r="N92" s="4">
        <f t="shared" si="90"/>
        <v>1.406858964570407</v>
      </c>
      <c r="O92" s="4">
        <f t="shared" si="117"/>
        <v>9.0034294822852043</v>
      </c>
      <c r="P92" s="4">
        <f t="shared" si="118"/>
        <v>7.5965705177147971</v>
      </c>
      <c r="Q92" s="4">
        <f t="shared" si="91"/>
        <v>0</v>
      </c>
      <c r="R92" s="4">
        <f t="shared" si="119"/>
        <v>8.3099300646184346</v>
      </c>
      <c r="S92" s="360">
        <f t="shared" si="92"/>
        <v>0.82865925214619207</v>
      </c>
      <c r="T92" s="360">
        <f t="shared" si="93"/>
        <v>0.3</v>
      </c>
      <c r="U92" s="360" t="e">
        <f t="shared" si="94"/>
        <v>#VALUE!</v>
      </c>
      <c r="V92" s="4">
        <f t="shared" si="120"/>
        <v>0.40612520095328136</v>
      </c>
      <c r="W92" s="360">
        <f t="shared" si="121"/>
        <v>3.298753576986863E-4</v>
      </c>
      <c r="X92" s="360">
        <f t="shared" si="122"/>
        <v>3.298753576986863E-4</v>
      </c>
      <c r="Y92" s="4">
        <f t="shared" si="123"/>
        <v>3.1165751003722133</v>
      </c>
      <c r="Z92" s="360">
        <f t="shared" si="124"/>
        <v>9.713040356260071E-3</v>
      </c>
      <c r="AA92" s="541">
        <f t="shared" si="125"/>
        <v>9.713040356260071E-3</v>
      </c>
      <c r="AB92" s="360">
        <f t="shared" si="126"/>
        <v>3.4195037177226828</v>
      </c>
      <c r="AC92" s="360">
        <f t="shared" si="95"/>
        <v>7.0158034053115492E-2</v>
      </c>
      <c r="AD92" s="360">
        <f t="shared" si="96"/>
        <v>0.54178093227861845</v>
      </c>
      <c r="AE92" s="360">
        <f t="shared" si="97"/>
        <v>-0.52595999999999998</v>
      </c>
      <c r="AF92" s="360">
        <f t="shared" si="98"/>
        <v>0</v>
      </c>
      <c r="AG92" s="360" t="e">
        <f t="shared" si="99"/>
        <v>#VALUE!</v>
      </c>
      <c r="AH92" s="360">
        <f t="shared" si="100"/>
        <v>7.5737660383279666</v>
      </c>
      <c r="AI92" s="360">
        <f t="shared" si="101"/>
        <v>0.14340483000832527</v>
      </c>
      <c r="AJ92" s="360">
        <f t="shared" si="102"/>
        <v>9.7607999999999986E-2</v>
      </c>
      <c r="AK92" s="360" t="e">
        <f t="shared" si="103"/>
        <v>#VALUE!</v>
      </c>
      <c r="AL92" s="360">
        <f t="shared" si="104"/>
        <v>9.7607999999999986E-2</v>
      </c>
      <c r="AM92" s="360">
        <f t="shared" si="105"/>
        <v>1.7927999999999999</v>
      </c>
      <c r="AN92" s="360">
        <f t="shared" si="106"/>
        <v>0.34527468839424674</v>
      </c>
      <c r="AO92" s="360">
        <f t="shared" si="107"/>
        <v>2.0999999999999999E-3</v>
      </c>
      <c r="AP92" s="360">
        <f t="shared" si="108"/>
        <v>9.8999999999999991E-2</v>
      </c>
      <c r="AQ92" s="360">
        <f t="shared" si="109"/>
        <v>1.1483999999999999</v>
      </c>
      <c r="AR92" s="360">
        <f t="shared" si="110"/>
        <v>1.089</v>
      </c>
      <c r="AS92" s="360">
        <f t="shared" si="133"/>
        <v>0.1011</v>
      </c>
      <c r="AT92" s="360" t="e">
        <f t="shared" si="111"/>
        <v>#VALUE!</v>
      </c>
      <c r="AU92">
        <f t="shared" si="112"/>
        <v>83</v>
      </c>
      <c r="AV92" s="542" t="e">
        <f t="shared" si="127"/>
        <v>#VALUE!</v>
      </c>
      <c r="AW92" s="551" t="e">
        <f t="shared" si="113"/>
        <v>#VALUE!</v>
      </c>
      <c r="AX92" s="551" t="e">
        <f t="shared" si="114"/>
        <v>#VALUE!</v>
      </c>
      <c r="AY92" s="9"/>
      <c r="AZ92" s="4" t="e">
        <f t="shared" si="128"/>
        <v>#VALUE!</v>
      </c>
      <c r="BA92" s="360" t="e">
        <f t="shared" si="115"/>
        <v>#VALUE!</v>
      </c>
      <c r="BB92" s="360" t="e">
        <f t="shared" si="129"/>
        <v>#VALUE!</v>
      </c>
      <c r="BC92" s="360" t="e">
        <f t="shared" si="130"/>
        <v>#VALUE!</v>
      </c>
      <c r="BD92" s="360" t="e">
        <f t="shared" si="131"/>
        <v>#VALUE!</v>
      </c>
      <c r="BE92" s="360">
        <f t="shared" si="132"/>
        <v>0.34527468839424674</v>
      </c>
      <c r="BK92" s="18"/>
      <c r="BL92" s="19"/>
    </row>
    <row r="93" spans="1:64" x14ac:dyDescent="0.2">
      <c r="G93">
        <v>84</v>
      </c>
      <c r="H93" s="548">
        <f t="shared" si="85"/>
        <v>60</v>
      </c>
      <c r="I93" s="4">
        <f t="shared" si="86"/>
        <v>1</v>
      </c>
      <c r="J93" s="360">
        <f t="shared" si="116"/>
        <v>8.4</v>
      </c>
      <c r="K93" s="360">
        <f t="shared" si="87"/>
        <v>8.4</v>
      </c>
      <c r="L93" s="4">
        <f t="shared" si="88"/>
        <v>1.5555555555555556</v>
      </c>
      <c r="M93" s="360">
        <f t="shared" si="89"/>
        <v>0.16936110083549122</v>
      </c>
      <c r="N93" s="4">
        <f t="shared" si="90"/>
        <v>1.4070746072213722</v>
      </c>
      <c r="O93" s="4">
        <f t="shared" si="117"/>
        <v>9.1035373036106861</v>
      </c>
      <c r="P93" s="4">
        <f t="shared" si="118"/>
        <v>7.6964626963893146</v>
      </c>
      <c r="Q93" s="4">
        <f t="shared" si="91"/>
        <v>0</v>
      </c>
      <c r="R93" s="4">
        <f t="shared" si="119"/>
        <v>8.4098149947461547</v>
      </c>
      <c r="S93" s="360">
        <f t="shared" si="92"/>
        <v>0.8486998589502871</v>
      </c>
      <c r="T93" s="360">
        <f t="shared" si="93"/>
        <v>0.3</v>
      </c>
      <c r="U93" s="360" t="e">
        <f t="shared" si="94"/>
        <v>#VALUE!</v>
      </c>
      <c r="V93" s="4">
        <f t="shared" si="120"/>
        <v>0.40618745162457315</v>
      </c>
      <c r="W93" s="360">
        <f t="shared" si="121"/>
        <v>3.2997649171452993E-4</v>
      </c>
      <c r="X93" s="360">
        <f t="shared" si="122"/>
        <v>3.2997649171452993E-4</v>
      </c>
      <c r="Y93" s="4">
        <f t="shared" si="123"/>
        <v>3.1542739453655377</v>
      </c>
      <c r="Z93" s="360">
        <f t="shared" si="124"/>
        <v>9.9494441224118758E-3</v>
      </c>
      <c r="AA93" s="541">
        <f t="shared" si="125"/>
        <v>9.9494441224118758E-3</v>
      </c>
      <c r="AB93" s="360">
        <f t="shared" si="126"/>
        <v>3.4609336696757946</v>
      </c>
      <c r="AC93" s="360">
        <f t="shared" si="95"/>
        <v>7.1868371195373371E-2</v>
      </c>
      <c r="AD93" s="360">
        <f t="shared" si="96"/>
        <v>0.54830841339040892</v>
      </c>
      <c r="AE93" s="360">
        <f t="shared" si="97"/>
        <v>-0.52595999999999998</v>
      </c>
      <c r="AF93" s="360">
        <f t="shared" si="98"/>
        <v>0</v>
      </c>
      <c r="AG93" s="360" t="e">
        <f t="shared" si="99"/>
        <v>#VALUE!</v>
      </c>
      <c r="AH93" s="360">
        <f t="shared" si="100"/>
        <v>7.6646543548917911</v>
      </c>
      <c r="AI93" s="360">
        <f t="shared" si="101"/>
        <v>0.14686731594990426</v>
      </c>
      <c r="AJ93" s="360">
        <f t="shared" si="102"/>
        <v>9.8783999999999983E-2</v>
      </c>
      <c r="AK93" s="360" t="e">
        <f t="shared" si="103"/>
        <v>#VALUE!</v>
      </c>
      <c r="AL93" s="360">
        <f t="shared" si="104"/>
        <v>9.8783999999999983E-2</v>
      </c>
      <c r="AM93" s="360">
        <f t="shared" si="105"/>
        <v>1.8143999999999998</v>
      </c>
      <c r="AN93" s="360">
        <f t="shared" si="106"/>
        <v>0.35362494122928634</v>
      </c>
      <c r="AO93" s="360">
        <f t="shared" si="107"/>
        <v>2.0999999999999999E-3</v>
      </c>
      <c r="AP93" s="360">
        <f t="shared" si="108"/>
        <v>9.8999999999999991E-2</v>
      </c>
      <c r="AQ93" s="360">
        <f t="shared" si="109"/>
        <v>1.1483999999999999</v>
      </c>
      <c r="AR93" s="360">
        <f t="shared" si="110"/>
        <v>1.089</v>
      </c>
      <c r="AS93" s="360">
        <f t="shared" si="133"/>
        <v>0.1011</v>
      </c>
      <c r="AT93" s="360" t="e">
        <f t="shared" si="111"/>
        <v>#VALUE!</v>
      </c>
      <c r="AU93">
        <f t="shared" si="112"/>
        <v>84</v>
      </c>
      <c r="AV93" s="542" t="e">
        <f t="shared" si="127"/>
        <v>#VALUE!</v>
      </c>
      <c r="AW93" s="551" t="e">
        <f t="shared" si="113"/>
        <v>#VALUE!</v>
      </c>
      <c r="AX93" s="551" t="e">
        <f t="shared" si="114"/>
        <v>#VALUE!</v>
      </c>
      <c r="AY93" s="9"/>
      <c r="AZ93" s="4" t="e">
        <f t="shared" si="128"/>
        <v>#VALUE!</v>
      </c>
      <c r="BA93" s="360" t="e">
        <f t="shared" si="115"/>
        <v>#VALUE!</v>
      </c>
      <c r="BB93" s="360" t="e">
        <f t="shared" si="129"/>
        <v>#VALUE!</v>
      </c>
      <c r="BC93" s="360" t="e">
        <f t="shared" si="130"/>
        <v>#VALUE!</v>
      </c>
      <c r="BD93" s="360" t="e">
        <f t="shared" si="131"/>
        <v>#VALUE!</v>
      </c>
      <c r="BE93" s="360">
        <f t="shared" si="132"/>
        <v>0.35362494122928634</v>
      </c>
      <c r="BK93" s="18"/>
      <c r="BL93" s="19"/>
    </row>
    <row r="94" spans="1:64" x14ac:dyDescent="0.2">
      <c r="G94">
        <v>85</v>
      </c>
      <c r="H94" s="548">
        <f t="shared" si="85"/>
        <v>60</v>
      </c>
      <c r="I94" s="4">
        <f t="shared" si="86"/>
        <v>1</v>
      </c>
      <c r="J94" s="360">
        <f t="shared" si="116"/>
        <v>8.5</v>
      </c>
      <c r="K94" s="360">
        <f t="shared" si="87"/>
        <v>8.5</v>
      </c>
      <c r="L94" s="4">
        <f t="shared" si="88"/>
        <v>1.5740740740740742</v>
      </c>
      <c r="M94" s="360">
        <f t="shared" si="89"/>
        <v>0.16939317061791034</v>
      </c>
      <c r="N94" s="4">
        <f t="shared" si="90"/>
        <v>1.4072902292984959</v>
      </c>
      <c r="O94" s="4">
        <f t="shared" si="117"/>
        <v>9.2036451146492482</v>
      </c>
      <c r="P94" s="4">
        <f t="shared" si="118"/>
        <v>7.7963548853507518</v>
      </c>
      <c r="Q94" s="4">
        <f t="shared" si="91"/>
        <v>0</v>
      </c>
      <c r="R94" s="4">
        <f t="shared" si="119"/>
        <v>8.5097026279294816</v>
      </c>
      <c r="S94" s="360">
        <f t="shared" si="92"/>
        <v>0.86898046578947918</v>
      </c>
      <c r="T94" s="360">
        <f t="shared" si="93"/>
        <v>0.3</v>
      </c>
      <c r="U94" s="360" t="e">
        <f t="shared" si="94"/>
        <v>#VALUE!</v>
      </c>
      <c r="V94" s="4">
        <f t="shared" si="120"/>
        <v>0.40624969635670843</v>
      </c>
      <c r="W94" s="360">
        <f t="shared" si="121"/>
        <v>3.3007763157983559E-4</v>
      </c>
      <c r="X94" s="360">
        <f t="shared" si="122"/>
        <v>3.3007763157983559E-4</v>
      </c>
      <c r="Y94" s="4">
        <f t="shared" si="123"/>
        <v>3.1919794097559411</v>
      </c>
      <c r="Z94" s="360">
        <f t="shared" si="124"/>
        <v>1.0188732552305886E-2</v>
      </c>
      <c r="AA94" s="541">
        <f t="shared" si="125"/>
        <v>1.0188732552305886E-2</v>
      </c>
      <c r="AB94" s="360">
        <f t="shared" si="126"/>
        <v>3.5023724852484928</v>
      </c>
      <c r="AC94" s="360">
        <f t="shared" si="95"/>
        <v>7.3599678152554221E-2</v>
      </c>
      <c r="AD94" s="360">
        <f t="shared" si="96"/>
        <v>0.5548358945021995</v>
      </c>
      <c r="AE94" s="360">
        <f t="shared" si="97"/>
        <v>-0.52595999999999998</v>
      </c>
      <c r="AF94" s="360">
        <f t="shared" si="98"/>
        <v>0</v>
      </c>
      <c r="AG94" s="360" t="e">
        <f t="shared" si="99"/>
        <v>#VALUE!</v>
      </c>
      <c r="AH94" s="360">
        <f t="shared" si="100"/>
        <v>7.7555416181182482</v>
      </c>
      <c r="AI94" s="360">
        <f t="shared" si="101"/>
        <v>0.15037106447591053</v>
      </c>
      <c r="AJ94" s="360">
        <f t="shared" si="102"/>
        <v>9.9959999999999979E-2</v>
      </c>
      <c r="AK94" s="360" t="e">
        <f t="shared" si="103"/>
        <v>#VALUE!</v>
      </c>
      <c r="AL94" s="360">
        <f t="shared" si="104"/>
        <v>9.9959999999999979E-2</v>
      </c>
      <c r="AM94" s="360">
        <f t="shared" si="105"/>
        <v>1.8359999999999999</v>
      </c>
      <c r="AN94" s="360">
        <f t="shared" si="106"/>
        <v>0.36207519407894967</v>
      </c>
      <c r="AO94" s="360">
        <f t="shared" si="107"/>
        <v>2.0999999999999999E-3</v>
      </c>
      <c r="AP94" s="360">
        <f t="shared" si="108"/>
        <v>9.8999999999999991E-2</v>
      </c>
      <c r="AQ94" s="360">
        <f t="shared" si="109"/>
        <v>1.1483999999999999</v>
      </c>
      <c r="AR94" s="360">
        <f t="shared" si="110"/>
        <v>1.089</v>
      </c>
      <c r="AS94" s="360">
        <f t="shared" si="133"/>
        <v>0.1011</v>
      </c>
      <c r="AT94" s="360" t="e">
        <f t="shared" si="111"/>
        <v>#VALUE!</v>
      </c>
      <c r="AU94">
        <f t="shared" si="112"/>
        <v>85</v>
      </c>
      <c r="AV94" s="542" t="e">
        <f t="shared" si="127"/>
        <v>#VALUE!</v>
      </c>
      <c r="AW94" s="551" t="e">
        <f t="shared" si="113"/>
        <v>#VALUE!</v>
      </c>
      <c r="AX94" s="551" t="e">
        <f t="shared" si="114"/>
        <v>#VALUE!</v>
      </c>
      <c r="AY94" s="9"/>
      <c r="AZ94" s="4" t="e">
        <f t="shared" si="128"/>
        <v>#VALUE!</v>
      </c>
      <c r="BA94" s="360" t="e">
        <f t="shared" si="115"/>
        <v>#VALUE!</v>
      </c>
      <c r="BB94" s="360" t="e">
        <f t="shared" si="129"/>
        <v>#VALUE!</v>
      </c>
      <c r="BC94" s="360" t="e">
        <f t="shared" si="130"/>
        <v>#VALUE!</v>
      </c>
      <c r="BD94" s="360" t="e">
        <f t="shared" si="131"/>
        <v>#VALUE!</v>
      </c>
      <c r="BE94" s="360">
        <f t="shared" si="132"/>
        <v>0.36207519407894967</v>
      </c>
      <c r="BK94" s="18"/>
      <c r="BL94" s="19"/>
    </row>
    <row r="95" spans="1:64" x14ac:dyDescent="0.2">
      <c r="G95">
        <v>86</v>
      </c>
      <c r="H95" s="548">
        <f t="shared" si="85"/>
        <v>60</v>
      </c>
      <c r="I95" s="4">
        <f t="shared" si="86"/>
        <v>1</v>
      </c>
      <c r="J95" s="360">
        <f t="shared" si="116"/>
        <v>8.6</v>
      </c>
      <c r="K95" s="360">
        <f t="shared" si="87"/>
        <v>8.6</v>
      </c>
      <c r="L95" s="4">
        <f t="shared" si="88"/>
        <v>1.5925925925925926</v>
      </c>
      <c r="M95" s="360">
        <f t="shared" si="89"/>
        <v>0.16942524024001507</v>
      </c>
      <c r="N95" s="4">
        <f t="shared" si="90"/>
        <v>1.407505830801933</v>
      </c>
      <c r="O95" s="4">
        <f t="shared" si="117"/>
        <v>9.3037529154009668</v>
      </c>
      <c r="P95" s="4">
        <f t="shared" si="118"/>
        <v>7.8962470845990334</v>
      </c>
      <c r="Q95" s="4">
        <f t="shared" si="91"/>
        <v>0</v>
      </c>
      <c r="R95" s="4">
        <f t="shared" si="119"/>
        <v>8.6095928700865478</v>
      </c>
      <c r="S95" s="360">
        <f t="shared" si="92"/>
        <v>0.88950107266374145</v>
      </c>
      <c r="T95" s="360">
        <f t="shared" si="93"/>
        <v>0.3</v>
      </c>
      <c r="U95" s="360" t="e">
        <f t="shared" si="94"/>
        <v>#VALUE!</v>
      </c>
      <c r="V95" s="4">
        <f t="shared" si="120"/>
        <v>0.40631193514973196</v>
      </c>
      <c r="W95" s="360">
        <f t="shared" si="121"/>
        <v>3.3017877729023997E-4</v>
      </c>
      <c r="X95" s="360">
        <f t="shared" si="122"/>
        <v>3.3017877729023997E-4</v>
      </c>
      <c r="Y95" s="4">
        <f t="shared" si="123"/>
        <v>3.229691456987521</v>
      </c>
      <c r="Z95" s="360">
        <f t="shared" si="124"/>
        <v>1.0430906907338177E-2</v>
      </c>
      <c r="AA95" s="541">
        <f t="shared" si="125"/>
        <v>1.0430906907338177E-2</v>
      </c>
      <c r="AB95" s="360">
        <f t="shared" si="126"/>
        <v>3.5438201248770782</v>
      </c>
      <c r="AC95" s="360">
        <f t="shared" si="95"/>
        <v>7.5351966464902748E-2</v>
      </c>
      <c r="AD95" s="360">
        <f t="shared" si="96"/>
        <v>0.56136337561399008</v>
      </c>
      <c r="AE95" s="360">
        <f t="shared" si="97"/>
        <v>-0.52595999999999998</v>
      </c>
      <c r="AF95" s="360">
        <f t="shared" si="98"/>
        <v>0</v>
      </c>
      <c r="AG95" s="360" t="e">
        <f t="shared" si="99"/>
        <v>#VALUE!</v>
      </c>
      <c r="AH95" s="360">
        <f t="shared" si="100"/>
        <v>7.8464277420467798</v>
      </c>
      <c r="AI95" s="360">
        <f t="shared" si="101"/>
        <v>0.15391607077790331</v>
      </c>
      <c r="AJ95" s="360">
        <f t="shared" si="102"/>
        <v>0.10113599999999998</v>
      </c>
      <c r="AK95" s="360" t="e">
        <f t="shared" si="103"/>
        <v>#VALUE!</v>
      </c>
      <c r="AL95" s="360">
        <f t="shared" si="104"/>
        <v>0.10113599999999998</v>
      </c>
      <c r="AM95" s="360">
        <f t="shared" si="105"/>
        <v>1.8575999999999997</v>
      </c>
      <c r="AN95" s="360">
        <f t="shared" si="106"/>
        <v>0.37062544694322563</v>
      </c>
      <c r="AO95" s="360">
        <f t="shared" si="107"/>
        <v>2.0999999999999999E-3</v>
      </c>
      <c r="AP95" s="360">
        <f t="shared" si="108"/>
        <v>9.8999999999999991E-2</v>
      </c>
      <c r="AQ95" s="360">
        <f t="shared" si="109"/>
        <v>1.1483999999999999</v>
      </c>
      <c r="AR95" s="360">
        <f t="shared" si="110"/>
        <v>1.089</v>
      </c>
      <c r="AS95" s="360">
        <f t="shared" si="133"/>
        <v>0.1011</v>
      </c>
      <c r="AT95" s="360" t="e">
        <f t="shared" si="111"/>
        <v>#VALUE!</v>
      </c>
      <c r="AU95">
        <f t="shared" si="112"/>
        <v>86</v>
      </c>
      <c r="AV95" s="542" t="e">
        <f t="shared" si="127"/>
        <v>#VALUE!</v>
      </c>
      <c r="AW95" s="551" t="e">
        <f t="shared" si="113"/>
        <v>#VALUE!</v>
      </c>
      <c r="AX95" s="551" t="e">
        <f t="shared" si="114"/>
        <v>#VALUE!</v>
      </c>
      <c r="AY95" s="9"/>
      <c r="AZ95" s="4" t="e">
        <f t="shared" si="128"/>
        <v>#VALUE!</v>
      </c>
      <c r="BA95" s="360" t="e">
        <f t="shared" si="115"/>
        <v>#VALUE!</v>
      </c>
      <c r="BB95" s="360" t="e">
        <f t="shared" si="129"/>
        <v>#VALUE!</v>
      </c>
      <c r="BC95" s="360" t="e">
        <f t="shared" si="130"/>
        <v>#VALUE!</v>
      </c>
      <c r="BD95" s="360" t="e">
        <f t="shared" si="131"/>
        <v>#VALUE!</v>
      </c>
      <c r="BE95" s="360">
        <f t="shared" si="132"/>
        <v>0.37062544694322563</v>
      </c>
      <c r="BK95" s="18"/>
      <c r="BL95" s="19"/>
    </row>
    <row r="96" spans="1:64" x14ac:dyDescent="0.2">
      <c r="G96">
        <v>87</v>
      </c>
      <c r="H96" s="548">
        <f t="shared" si="85"/>
        <v>60</v>
      </c>
      <c r="I96" s="4">
        <f t="shared" si="86"/>
        <v>1</v>
      </c>
      <c r="J96" s="360">
        <f t="shared" si="116"/>
        <v>8.6999999999999993</v>
      </c>
      <c r="K96" s="360">
        <f t="shared" si="87"/>
        <v>8.6999999999999993</v>
      </c>
      <c r="L96" s="4">
        <f t="shared" si="88"/>
        <v>1.6111111111111112</v>
      </c>
      <c r="M96" s="360">
        <f t="shared" si="89"/>
        <v>0.16945730970180653</v>
      </c>
      <c r="N96" s="4">
        <f t="shared" si="90"/>
        <v>1.4077214117318371</v>
      </c>
      <c r="O96" s="4">
        <f t="shared" si="117"/>
        <v>9.4038607058659185</v>
      </c>
      <c r="P96" s="4">
        <f t="shared" si="118"/>
        <v>7.996139294134081</v>
      </c>
      <c r="Q96" s="4">
        <f t="shared" si="91"/>
        <v>0</v>
      </c>
      <c r="R96" s="4">
        <f t="shared" si="119"/>
        <v>8.709485631449235</v>
      </c>
      <c r="S96" s="360">
        <f t="shared" si="92"/>
        <v>0.91026167957304827</v>
      </c>
      <c r="T96" s="360">
        <f t="shared" si="93"/>
        <v>0.3</v>
      </c>
      <c r="U96" s="360" t="e">
        <f t="shared" si="94"/>
        <v>#VALUE!</v>
      </c>
      <c r="V96" s="4">
        <f t="shared" si="120"/>
        <v>0.40637416800368809</v>
      </c>
      <c r="W96" s="360">
        <f t="shared" si="121"/>
        <v>3.3027992884137941E-4</v>
      </c>
      <c r="X96" s="360">
        <f t="shared" si="122"/>
        <v>3.3027992884137941E-4</v>
      </c>
      <c r="Y96" s="4">
        <f t="shared" si="123"/>
        <v>3.2674100521124463</v>
      </c>
      <c r="Z96" s="360">
        <f t="shared" si="124"/>
        <v>1.067596844864546E-2</v>
      </c>
      <c r="AA96" s="541">
        <f t="shared" si="125"/>
        <v>1.067596844864546E-2</v>
      </c>
      <c r="AB96" s="360">
        <f t="shared" si="126"/>
        <v>3.5852765507593296</v>
      </c>
      <c r="AC96" s="360">
        <f t="shared" si="95"/>
        <v>7.7125247672548289E-2</v>
      </c>
      <c r="AD96" s="360">
        <f t="shared" si="96"/>
        <v>0.56789085672578066</v>
      </c>
      <c r="AE96" s="360">
        <f t="shared" si="97"/>
        <v>-0.52595999999999998</v>
      </c>
      <c r="AF96" s="360">
        <f t="shared" si="98"/>
        <v>0</v>
      </c>
      <c r="AG96" s="360" t="e">
        <f t="shared" si="99"/>
        <v>#VALUE!</v>
      </c>
      <c r="AH96" s="360">
        <f t="shared" si="100"/>
        <v>7.9373126446547371</v>
      </c>
      <c r="AI96" s="360">
        <f t="shared" si="101"/>
        <v>0.15750233004748995</v>
      </c>
      <c r="AJ96" s="360">
        <f t="shared" si="102"/>
        <v>0.10231199999999997</v>
      </c>
      <c r="AK96" s="360" t="e">
        <f t="shared" si="103"/>
        <v>#VALUE!</v>
      </c>
      <c r="AL96" s="360">
        <f t="shared" si="104"/>
        <v>0.10231199999999997</v>
      </c>
      <c r="AM96" s="360">
        <f t="shared" si="105"/>
        <v>1.8791999999999995</v>
      </c>
      <c r="AN96" s="360">
        <f t="shared" si="106"/>
        <v>0.37927569982210346</v>
      </c>
      <c r="AO96" s="360">
        <f t="shared" si="107"/>
        <v>2.0999999999999999E-3</v>
      </c>
      <c r="AP96" s="360">
        <f t="shared" si="108"/>
        <v>9.8999999999999991E-2</v>
      </c>
      <c r="AQ96" s="360">
        <f t="shared" si="109"/>
        <v>1.1483999999999999</v>
      </c>
      <c r="AR96" s="360">
        <f t="shared" si="110"/>
        <v>1.089</v>
      </c>
      <c r="AS96" s="360">
        <f t="shared" si="133"/>
        <v>0.1011</v>
      </c>
      <c r="AT96" s="360" t="e">
        <f t="shared" si="111"/>
        <v>#VALUE!</v>
      </c>
      <c r="AU96">
        <f t="shared" si="112"/>
        <v>87</v>
      </c>
      <c r="AV96" s="542" t="e">
        <f t="shared" si="127"/>
        <v>#VALUE!</v>
      </c>
      <c r="AW96" s="551" t="e">
        <f t="shared" si="113"/>
        <v>#VALUE!</v>
      </c>
      <c r="AX96" s="551" t="e">
        <f t="shared" si="114"/>
        <v>#VALUE!</v>
      </c>
      <c r="AY96" s="9"/>
      <c r="AZ96" s="4" t="e">
        <f t="shared" si="128"/>
        <v>#VALUE!</v>
      </c>
      <c r="BA96" s="360" t="e">
        <f t="shared" si="115"/>
        <v>#VALUE!</v>
      </c>
      <c r="BB96" s="360" t="e">
        <f t="shared" si="129"/>
        <v>#VALUE!</v>
      </c>
      <c r="BC96" s="360" t="e">
        <f t="shared" si="130"/>
        <v>#VALUE!</v>
      </c>
      <c r="BD96" s="360" t="e">
        <f t="shared" si="131"/>
        <v>#VALUE!</v>
      </c>
      <c r="BE96" s="360">
        <f t="shared" si="132"/>
        <v>0.37927569982210346</v>
      </c>
      <c r="BK96" s="18"/>
      <c r="BL96" s="19"/>
    </row>
    <row r="97" spans="7:64" x14ac:dyDescent="0.2">
      <c r="G97">
        <v>88</v>
      </c>
      <c r="H97" s="548">
        <f t="shared" si="85"/>
        <v>60</v>
      </c>
      <c r="I97" s="4">
        <f t="shared" si="86"/>
        <v>1</v>
      </c>
      <c r="J97" s="360">
        <f t="shared" si="116"/>
        <v>8.8000000000000007</v>
      </c>
      <c r="K97" s="360">
        <f t="shared" si="87"/>
        <v>8.8000000000000007</v>
      </c>
      <c r="L97" s="4">
        <f t="shared" si="88"/>
        <v>1.6296296296296295</v>
      </c>
      <c r="M97" s="360">
        <f t="shared" si="89"/>
        <v>0.16948937900328595</v>
      </c>
      <c r="N97" s="4">
        <f t="shared" si="90"/>
        <v>1.4079369720883625</v>
      </c>
      <c r="O97" s="4">
        <f t="shared" si="117"/>
        <v>9.5039684860441813</v>
      </c>
      <c r="P97" s="4">
        <f t="shared" si="118"/>
        <v>8.0960315139558201</v>
      </c>
      <c r="Q97" s="4">
        <f t="shared" si="91"/>
        <v>0</v>
      </c>
      <c r="R97" s="4">
        <f t="shared" si="119"/>
        <v>8.8093808263188649</v>
      </c>
      <c r="S97" s="360">
        <f t="shared" si="92"/>
        <v>0.93126228651737342</v>
      </c>
      <c r="T97" s="360">
        <f t="shared" si="93"/>
        <v>0.3</v>
      </c>
      <c r="U97" s="360" t="e">
        <f t="shared" si="94"/>
        <v>#VALUE!</v>
      </c>
      <c r="V97" s="4">
        <f t="shared" si="120"/>
        <v>0.40643639491862138</v>
      </c>
      <c r="W97" s="360">
        <f t="shared" si="121"/>
        <v>3.3038108622889114E-4</v>
      </c>
      <c r="X97" s="360">
        <f t="shared" si="122"/>
        <v>3.3038108622889114E-4</v>
      </c>
      <c r="Y97" s="4">
        <f t="shared" si="123"/>
        <v>3.3051351616999169</v>
      </c>
      <c r="Z97" s="360">
        <f t="shared" si="124"/>
        <v>1.0923918437105136E-2</v>
      </c>
      <c r="AA97" s="541">
        <f t="shared" si="125"/>
        <v>1.0923918437105136E-2</v>
      </c>
      <c r="AB97" s="360">
        <f t="shared" si="126"/>
        <v>3.6267417267547666</v>
      </c>
      <c r="AC97" s="360">
        <f t="shared" si="95"/>
        <v>7.8919533315504872E-2</v>
      </c>
      <c r="AD97" s="360">
        <f t="shared" si="96"/>
        <v>0.57441833783757124</v>
      </c>
      <c r="AE97" s="360">
        <f t="shared" si="97"/>
        <v>-0.52595999999999998</v>
      </c>
      <c r="AF97" s="360">
        <f t="shared" si="98"/>
        <v>0</v>
      </c>
      <c r="AG97" s="360" t="e">
        <f t="shared" si="99"/>
        <v>#VALUE!</v>
      </c>
      <c r="AH97" s="360">
        <f t="shared" si="100"/>
        <v>8.0281962476343516</v>
      </c>
      <c r="AI97" s="360">
        <f t="shared" si="101"/>
        <v>0.1611298374763257</v>
      </c>
      <c r="AJ97" s="360">
        <f t="shared" si="102"/>
        <v>0.103488</v>
      </c>
      <c r="AK97" s="360" t="e">
        <f t="shared" si="103"/>
        <v>#VALUE!</v>
      </c>
      <c r="AL97" s="360">
        <f t="shared" si="104"/>
        <v>0.103488</v>
      </c>
      <c r="AM97" s="360">
        <f t="shared" si="105"/>
        <v>1.9008</v>
      </c>
      <c r="AN97" s="360">
        <f t="shared" si="106"/>
        <v>0.38802595271557222</v>
      </c>
      <c r="AO97" s="360">
        <f t="shared" si="107"/>
        <v>2.0999999999999999E-3</v>
      </c>
      <c r="AP97" s="360">
        <f t="shared" si="108"/>
        <v>9.8999999999999991E-2</v>
      </c>
      <c r="AQ97" s="360">
        <f t="shared" si="109"/>
        <v>1.1483999999999999</v>
      </c>
      <c r="AR97" s="360">
        <f t="shared" si="110"/>
        <v>1.089</v>
      </c>
      <c r="AS97" s="360">
        <f t="shared" si="133"/>
        <v>0.1011</v>
      </c>
      <c r="AT97" s="360" t="e">
        <f t="shared" si="111"/>
        <v>#VALUE!</v>
      </c>
      <c r="AU97">
        <f t="shared" si="112"/>
        <v>88</v>
      </c>
      <c r="AV97" s="542" t="e">
        <f t="shared" si="127"/>
        <v>#VALUE!</v>
      </c>
      <c r="AW97" s="551" t="e">
        <f t="shared" si="113"/>
        <v>#VALUE!</v>
      </c>
      <c r="AX97" s="551" t="e">
        <f t="shared" si="114"/>
        <v>#VALUE!</v>
      </c>
      <c r="AY97" s="9"/>
      <c r="AZ97" s="4" t="e">
        <f t="shared" si="128"/>
        <v>#VALUE!</v>
      </c>
      <c r="BA97" s="360" t="e">
        <f t="shared" si="115"/>
        <v>#VALUE!</v>
      </c>
      <c r="BB97" s="360" t="e">
        <f t="shared" si="129"/>
        <v>#VALUE!</v>
      </c>
      <c r="BC97" s="360" t="e">
        <f t="shared" si="130"/>
        <v>#VALUE!</v>
      </c>
      <c r="BD97" s="360" t="e">
        <f t="shared" si="131"/>
        <v>#VALUE!</v>
      </c>
      <c r="BE97" s="360">
        <f t="shared" si="132"/>
        <v>0.38802595271557222</v>
      </c>
      <c r="BK97" s="18"/>
      <c r="BL97" s="19"/>
    </row>
    <row r="98" spans="7:64" x14ac:dyDescent="0.2">
      <c r="G98">
        <v>89</v>
      </c>
      <c r="H98" s="548">
        <f t="shared" si="85"/>
        <v>60</v>
      </c>
      <c r="I98" s="4">
        <f t="shared" si="86"/>
        <v>1</v>
      </c>
      <c r="J98" s="360">
        <f t="shared" si="116"/>
        <v>8.9</v>
      </c>
      <c r="K98" s="360">
        <f t="shared" si="87"/>
        <v>8.9</v>
      </c>
      <c r="L98" s="4">
        <f t="shared" si="88"/>
        <v>1.6481481481481481</v>
      </c>
      <c r="M98" s="360">
        <f t="shared" si="89"/>
        <v>0.16952144814445452</v>
      </c>
      <c r="N98" s="4">
        <f t="shared" si="90"/>
        <v>1.4081525118716636</v>
      </c>
      <c r="O98" s="4">
        <f t="shared" si="117"/>
        <v>9.6040762559358317</v>
      </c>
      <c r="P98" s="4">
        <f t="shared" si="118"/>
        <v>8.195923744064169</v>
      </c>
      <c r="Q98" s="4">
        <f t="shared" si="91"/>
        <v>0</v>
      </c>
      <c r="R98" s="4">
        <f t="shared" si="119"/>
        <v>8.9092783728382976</v>
      </c>
      <c r="S98" s="360">
        <f t="shared" si="92"/>
        <v>0.95250289349669071</v>
      </c>
      <c r="T98" s="360">
        <f t="shared" si="93"/>
        <v>0.3</v>
      </c>
      <c r="U98" s="360" t="e">
        <f t="shared" si="94"/>
        <v>#VALUE!</v>
      </c>
      <c r="V98" s="4">
        <f t="shared" si="120"/>
        <v>0.40649861589457637</v>
      </c>
      <c r="W98" s="360">
        <f t="shared" si="121"/>
        <v>3.3048224944841266E-4</v>
      </c>
      <c r="X98" s="360">
        <f t="shared" si="122"/>
        <v>3.3048224944841266E-4</v>
      </c>
      <c r="Y98" s="4">
        <f t="shared" si="123"/>
        <v>3.3428667537512284</v>
      </c>
      <c r="Z98" s="360">
        <f t="shared" si="124"/>
        <v>1.1174758133335277E-2</v>
      </c>
      <c r="AA98" s="541">
        <f t="shared" si="125"/>
        <v>1.1174758133335277E-2</v>
      </c>
      <c r="AB98" s="360">
        <f t="shared" si="126"/>
        <v>3.6682156182916117</v>
      </c>
      <c r="AC98" s="360">
        <f t="shared" si="95"/>
        <v>8.0734834933671076E-2</v>
      </c>
      <c r="AD98" s="360">
        <f t="shared" si="96"/>
        <v>0.58094581894936181</v>
      </c>
      <c r="AE98" s="360">
        <f t="shared" si="97"/>
        <v>-0.52595999999999998</v>
      </c>
      <c r="AF98" s="360">
        <f t="shared" si="98"/>
        <v>0</v>
      </c>
      <c r="AG98" s="360" t="e">
        <f t="shared" si="99"/>
        <v>#VALUE!</v>
      </c>
      <c r="AH98" s="360">
        <f t="shared" si="100"/>
        <v>8.1190784761847024</v>
      </c>
      <c r="AI98" s="360">
        <f t="shared" si="101"/>
        <v>0.16479858825611426</v>
      </c>
      <c r="AJ98" s="360">
        <f t="shared" si="102"/>
        <v>0.10466399999999998</v>
      </c>
      <c r="AK98" s="360" t="e">
        <f t="shared" si="103"/>
        <v>#VALUE!</v>
      </c>
      <c r="AL98" s="360">
        <f t="shared" si="104"/>
        <v>0.10466399999999998</v>
      </c>
      <c r="AM98" s="360">
        <f t="shared" si="105"/>
        <v>1.9223999999999999</v>
      </c>
      <c r="AN98" s="360">
        <f t="shared" si="106"/>
        <v>0.39687620562362114</v>
      </c>
      <c r="AO98" s="360">
        <f t="shared" si="107"/>
        <v>2.0999999999999999E-3</v>
      </c>
      <c r="AP98" s="360">
        <f t="shared" si="108"/>
        <v>9.8999999999999991E-2</v>
      </c>
      <c r="AQ98" s="360">
        <f t="shared" si="109"/>
        <v>1.1483999999999999</v>
      </c>
      <c r="AR98" s="360">
        <f t="shared" si="110"/>
        <v>1.089</v>
      </c>
      <c r="AS98" s="360">
        <f t="shared" si="133"/>
        <v>0.1011</v>
      </c>
      <c r="AT98" s="360" t="e">
        <f t="shared" si="111"/>
        <v>#VALUE!</v>
      </c>
      <c r="AU98">
        <f t="shared" si="112"/>
        <v>89</v>
      </c>
      <c r="AV98" s="542" t="e">
        <f t="shared" si="127"/>
        <v>#VALUE!</v>
      </c>
      <c r="AW98" s="551" t="e">
        <f t="shared" si="113"/>
        <v>#VALUE!</v>
      </c>
      <c r="AX98" s="551" t="e">
        <f t="shared" si="114"/>
        <v>#VALUE!</v>
      </c>
      <c r="AY98" s="9"/>
      <c r="AZ98" s="4" t="e">
        <f t="shared" si="128"/>
        <v>#VALUE!</v>
      </c>
      <c r="BA98" s="360" t="e">
        <f t="shared" si="115"/>
        <v>#VALUE!</v>
      </c>
      <c r="BB98" s="360" t="e">
        <f t="shared" si="129"/>
        <v>#VALUE!</v>
      </c>
      <c r="BC98" s="360" t="e">
        <f t="shared" si="130"/>
        <v>#VALUE!</v>
      </c>
      <c r="BD98" s="360" t="e">
        <f t="shared" si="131"/>
        <v>#VALUE!</v>
      </c>
      <c r="BE98" s="360">
        <f t="shared" si="132"/>
        <v>0.39687620562362114</v>
      </c>
      <c r="BK98" s="18"/>
      <c r="BL98" s="19"/>
    </row>
    <row r="99" spans="7:64" x14ac:dyDescent="0.2">
      <c r="G99">
        <v>90</v>
      </c>
      <c r="H99" s="548">
        <f t="shared" si="85"/>
        <v>60</v>
      </c>
      <c r="I99" s="4">
        <f t="shared" si="86"/>
        <v>1</v>
      </c>
      <c r="J99" s="360">
        <f t="shared" si="116"/>
        <v>9</v>
      </c>
      <c r="K99" s="360">
        <f t="shared" si="87"/>
        <v>9</v>
      </c>
      <c r="L99" s="4">
        <f t="shared" si="88"/>
        <v>1.6666666666666667</v>
      </c>
      <c r="M99" s="360">
        <f t="shared" si="89"/>
        <v>0.16955351712531347</v>
      </c>
      <c r="N99" s="4">
        <f t="shared" si="90"/>
        <v>1.4083680310818953</v>
      </c>
      <c r="O99" s="4">
        <f t="shared" si="117"/>
        <v>9.7041840155409478</v>
      </c>
      <c r="P99" s="4">
        <f t="shared" si="118"/>
        <v>8.2958159844590522</v>
      </c>
      <c r="Q99" s="4">
        <f t="shared" si="91"/>
        <v>0</v>
      </c>
      <c r="R99" s="4">
        <f t="shared" si="119"/>
        <v>9.0091781927791725</v>
      </c>
      <c r="S99" s="360">
        <f t="shared" si="92"/>
        <v>0.9739835005109736</v>
      </c>
      <c r="T99" s="360">
        <f t="shared" si="93"/>
        <v>0.3</v>
      </c>
      <c r="U99" s="360" t="e">
        <f t="shared" si="94"/>
        <v>#VALUE!</v>
      </c>
      <c r="V99" s="4">
        <f t="shared" si="120"/>
        <v>0.40656083093159778</v>
      </c>
      <c r="W99" s="360">
        <f t="shared" si="121"/>
        <v>3.305834184955825E-4</v>
      </c>
      <c r="X99" s="360">
        <f t="shared" si="122"/>
        <v>3.305834184955825E-4</v>
      </c>
      <c r="Y99" s="4">
        <f t="shared" si="123"/>
        <v>3.3806047976204816</v>
      </c>
      <c r="Z99" s="360">
        <f t="shared" si="124"/>
        <v>1.1428488797694617E-2</v>
      </c>
      <c r="AA99" s="541">
        <f t="shared" si="125"/>
        <v>1.1428488797694617E-2</v>
      </c>
      <c r="AB99" s="360">
        <f t="shared" si="126"/>
        <v>3.7096981922799341</v>
      </c>
      <c r="AC99" s="360">
        <f t="shared" si="95"/>
        <v>8.2571164066830072E-2</v>
      </c>
      <c r="AD99" s="360">
        <f t="shared" si="96"/>
        <v>0.58747330006115239</v>
      </c>
      <c r="AE99" s="360">
        <f t="shared" si="97"/>
        <v>-0.52595999999999998</v>
      </c>
      <c r="AF99" s="360">
        <f t="shared" si="98"/>
        <v>0</v>
      </c>
      <c r="AG99" s="360" t="e">
        <f t="shared" si="99"/>
        <v>#VALUE!</v>
      </c>
      <c r="AH99" s="360">
        <f t="shared" si="100"/>
        <v>8.2099592588174755</v>
      </c>
      <c r="AI99" s="360">
        <f t="shared" si="101"/>
        <v>0.16850857757860699</v>
      </c>
      <c r="AJ99" s="360">
        <f t="shared" si="102"/>
        <v>0.10583999999999998</v>
      </c>
      <c r="AK99" s="360" t="e">
        <f t="shared" si="103"/>
        <v>#VALUE!</v>
      </c>
      <c r="AL99" s="360">
        <f t="shared" si="104"/>
        <v>0.10583999999999998</v>
      </c>
      <c r="AM99" s="360">
        <f t="shared" si="105"/>
        <v>1.944</v>
      </c>
      <c r="AN99" s="360">
        <f t="shared" si="106"/>
        <v>0.405826458546239</v>
      </c>
      <c r="AO99" s="360">
        <f t="shared" si="107"/>
        <v>2.0999999999999999E-3</v>
      </c>
      <c r="AP99" s="360">
        <f t="shared" si="108"/>
        <v>9.8999999999999991E-2</v>
      </c>
      <c r="AQ99" s="360">
        <f t="shared" si="109"/>
        <v>1.1483999999999999</v>
      </c>
      <c r="AR99" s="360">
        <f t="shared" si="110"/>
        <v>1.089</v>
      </c>
      <c r="AS99" s="360">
        <f t="shared" si="133"/>
        <v>0.1011</v>
      </c>
      <c r="AT99" s="360" t="e">
        <f t="shared" si="111"/>
        <v>#VALUE!</v>
      </c>
      <c r="AU99">
        <f t="shared" si="112"/>
        <v>90</v>
      </c>
      <c r="AV99" s="542" t="e">
        <f t="shared" si="127"/>
        <v>#VALUE!</v>
      </c>
      <c r="AW99" s="551" t="e">
        <f t="shared" si="113"/>
        <v>#VALUE!</v>
      </c>
      <c r="AX99" s="551" t="e">
        <f t="shared" si="114"/>
        <v>#VALUE!</v>
      </c>
      <c r="AY99" s="9"/>
      <c r="AZ99" s="4" t="e">
        <f t="shared" si="128"/>
        <v>#VALUE!</v>
      </c>
      <c r="BA99" s="360" t="e">
        <f t="shared" si="115"/>
        <v>#VALUE!</v>
      </c>
      <c r="BB99" s="360" t="e">
        <f t="shared" si="129"/>
        <v>#VALUE!</v>
      </c>
      <c r="BC99" s="360" t="e">
        <f t="shared" si="130"/>
        <v>#VALUE!</v>
      </c>
      <c r="BD99" s="360" t="e">
        <f t="shared" si="131"/>
        <v>#VALUE!</v>
      </c>
      <c r="BE99" s="360">
        <f t="shared" si="132"/>
        <v>0.405826458546239</v>
      </c>
      <c r="BK99" s="18"/>
      <c r="BL99" s="19"/>
    </row>
    <row r="100" spans="7:64" x14ac:dyDescent="0.2">
      <c r="G100">
        <v>91</v>
      </c>
      <c r="H100" s="548">
        <f t="shared" si="85"/>
        <v>60</v>
      </c>
      <c r="I100" s="4">
        <f t="shared" si="86"/>
        <v>1</v>
      </c>
      <c r="J100" s="360">
        <f t="shared" si="116"/>
        <v>9.1</v>
      </c>
      <c r="K100" s="360">
        <f t="shared" si="87"/>
        <v>9.1</v>
      </c>
      <c r="L100" s="4">
        <f t="shared" si="88"/>
        <v>1.6851851851851851</v>
      </c>
      <c r="M100" s="360">
        <f t="shared" si="89"/>
        <v>0.16958558594586398</v>
      </c>
      <c r="N100" s="4">
        <f t="shared" si="90"/>
        <v>1.4085835297192109</v>
      </c>
      <c r="O100" s="4">
        <f t="shared" si="117"/>
        <v>9.804291764859606</v>
      </c>
      <c r="P100" s="4">
        <f t="shared" si="118"/>
        <v>8.3957082351403933</v>
      </c>
      <c r="Q100" s="4">
        <f t="shared" si="91"/>
        <v>0</v>
      </c>
      <c r="R100" s="4">
        <f t="shared" si="119"/>
        <v>9.1090802113431302</v>
      </c>
      <c r="S100" s="360">
        <f t="shared" si="92"/>
        <v>0.99570410756019612</v>
      </c>
      <c r="T100" s="360">
        <f t="shared" si="93"/>
        <v>0.3</v>
      </c>
      <c r="U100" s="360" t="e">
        <f t="shared" si="94"/>
        <v>#VALUE!</v>
      </c>
      <c r="V100" s="4">
        <f t="shared" si="120"/>
        <v>0.40662304002972982</v>
      </c>
      <c r="W100" s="360">
        <f t="shared" si="121"/>
        <v>3.3068459336603852E-4</v>
      </c>
      <c r="X100" s="360">
        <f t="shared" si="122"/>
        <v>3.3068459336603852E-4</v>
      </c>
      <c r="Y100" s="4">
        <f t="shared" si="123"/>
        <v>3.4183492639405078</v>
      </c>
      <c r="Z100" s="360">
        <f t="shared" si="124"/>
        <v>1.168511169028261E-2</v>
      </c>
      <c r="AA100" s="541">
        <f t="shared" si="125"/>
        <v>1.168511169028261E-2</v>
      </c>
      <c r="AB100" s="360">
        <f t="shared" si="126"/>
        <v>3.7511894170304996</v>
      </c>
      <c r="AC100" s="360">
        <f t="shared" si="95"/>
        <v>8.4428532254649719E-2</v>
      </c>
      <c r="AD100" s="360">
        <f t="shared" si="96"/>
        <v>0.59400078117294297</v>
      </c>
      <c r="AE100" s="360">
        <f t="shared" si="97"/>
        <v>-0.52595999999999998</v>
      </c>
      <c r="AF100" s="360">
        <f t="shared" si="98"/>
        <v>0</v>
      </c>
      <c r="AG100" s="360" t="e">
        <f t="shared" si="99"/>
        <v>#VALUE!</v>
      </c>
      <c r="AH100" s="360">
        <f t="shared" si="100"/>
        <v>8.3008385271755163</v>
      </c>
      <c r="AI100" s="360">
        <f t="shared" si="101"/>
        <v>0.1722598006356035</v>
      </c>
      <c r="AJ100" s="360">
        <f t="shared" si="102"/>
        <v>0.10701599999999997</v>
      </c>
      <c r="AK100" s="360" t="e">
        <f t="shared" si="103"/>
        <v>#VALUE!</v>
      </c>
      <c r="AL100" s="360">
        <f t="shared" si="104"/>
        <v>0.10701599999999997</v>
      </c>
      <c r="AM100" s="360">
        <f t="shared" si="105"/>
        <v>1.9655999999999998</v>
      </c>
      <c r="AN100" s="360">
        <f t="shared" si="106"/>
        <v>0.41487671148341504</v>
      </c>
      <c r="AO100" s="360">
        <f t="shared" si="107"/>
        <v>2.0999999999999999E-3</v>
      </c>
      <c r="AP100" s="360">
        <f t="shared" si="108"/>
        <v>9.8999999999999991E-2</v>
      </c>
      <c r="AQ100" s="360">
        <f t="shared" si="109"/>
        <v>1.1483999999999999</v>
      </c>
      <c r="AR100" s="360">
        <f t="shared" si="110"/>
        <v>1.089</v>
      </c>
      <c r="AS100" s="360">
        <f t="shared" si="133"/>
        <v>0.1011</v>
      </c>
      <c r="AT100" s="360" t="e">
        <f t="shared" si="111"/>
        <v>#VALUE!</v>
      </c>
      <c r="AU100">
        <f t="shared" si="112"/>
        <v>91</v>
      </c>
      <c r="AV100" s="542" t="e">
        <f t="shared" si="127"/>
        <v>#VALUE!</v>
      </c>
      <c r="AW100" s="551" t="e">
        <f t="shared" si="113"/>
        <v>#VALUE!</v>
      </c>
      <c r="AX100" s="551" t="e">
        <f t="shared" si="114"/>
        <v>#VALUE!</v>
      </c>
      <c r="AY100" s="9"/>
      <c r="AZ100" s="4" t="e">
        <f t="shared" si="128"/>
        <v>#VALUE!</v>
      </c>
      <c r="BA100" s="360" t="e">
        <f t="shared" si="115"/>
        <v>#VALUE!</v>
      </c>
      <c r="BB100" s="360" t="e">
        <f t="shared" si="129"/>
        <v>#VALUE!</v>
      </c>
      <c r="BC100" s="360" t="e">
        <f t="shared" si="130"/>
        <v>#VALUE!</v>
      </c>
      <c r="BD100" s="360" t="e">
        <f t="shared" si="131"/>
        <v>#VALUE!</v>
      </c>
      <c r="BE100" s="360">
        <f t="shared" si="132"/>
        <v>0.41487671148341504</v>
      </c>
      <c r="BK100" s="18"/>
      <c r="BL100" s="19"/>
    </row>
    <row r="101" spans="7:64" x14ac:dyDescent="0.2">
      <c r="G101">
        <v>92</v>
      </c>
      <c r="H101" s="548">
        <f t="shared" si="85"/>
        <v>60</v>
      </c>
      <c r="I101" s="4">
        <f t="shared" si="86"/>
        <v>1</v>
      </c>
      <c r="J101" s="360">
        <f t="shared" si="116"/>
        <v>9.1999999999999993</v>
      </c>
      <c r="K101" s="360">
        <f t="shared" si="87"/>
        <v>9.1999999999999993</v>
      </c>
      <c r="L101" s="4">
        <f t="shared" si="88"/>
        <v>1.7037037037037037</v>
      </c>
      <c r="M101" s="360">
        <f t="shared" si="89"/>
        <v>0.16961765460610725</v>
      </c>
      <c r="N101" s="4">
        <f t="shared" si="90"/>
        <v>1.4087990077837649</v>
      </c>
      <c r="O101" s="4">
        <f t="shared" si="117"/>
        <v>9.9043995038918808</v>
      </c>
      <c r="P101" s="4">
        <f t="shared" si="118"/>
        <v>8.4956004961081177</v>
      </c>
      <c r="Q101" s="4">
        <f t="shared" si="91"/>
        <v>0</v>
      </c>
      <c r="R101" s="4">
        <f t="shared" si="119"/>
        <v>9.2089843569759466</v>
      </c>
      <c r="S101" s="360">
        <f t="shared" si="92"/>
        <v>1.0176647146443323</v>
      </c>
      <c r="T101" s="360">
        <f t="shared" si="93"/>
        <v>0.3</v>
      </c>
      <c r="U101" s="360" t="e">
        <f t="shared" si="94"/>
        <v>#VALUE!</v>
      </c>
      <c r="V101" s="4">
        <f t="shared" si="120"/>
        <v>0.40668524318901716</v>
      </c>
      <c r="W101" s="360">
        <f t="shared" si="121"/>
        <v>3.3078577405542007E-4</v>
      </c>
      <c r="X101" s="360">
        <f t="shared" si="122"/>
        <v>3.3078577405542007E-4</v>
      </c>
      <c r="Y101" s="4">
        <f t="shared" si="123"/>
        <v>3.4561001245535961</v>
      </c>
      <c r="Z101" s="360">
        <f t="shared" si="124"/>
        <v>1.1944628070939382E-2</v>
      </c>
      <c r="AA101" s="541">
        <f t="shared" si="125"/>
        <v>1.1944628070939382E-2</v>
      </c>
      <c r="AB101" s="360">
        <f t="shared" si="126"/>
        <v>3.7926892621788943</v>
      </c>
      <c r="AC101" s="360">
        <f t="shared" si="95"/>
        <v>8.6306951036682525E-2</v>
      </c>
      <c r="AD101" s="360">
        <f t="shared" si="96"/>
        <v>0.60052826228473355</v>
      </c>
      <c r="AE101" s="360">
        <f t="shared" si="97"/>
        <v>-0.52595999999999998</v>
      </c>
      <c r="AF101" s="360">
        <f t="shared" si="98"/>
        <v>0</v>
      </c>
      <c r="AG101" s="360" t="e">
        <f t="shared" si="99"/>
        <v>#VALUE!</v>
      </c>
      <c r="AH101" s="360">
        <f t="shared" si="100"/>
        <v>8.3917162158631537</v>
      </c>
      <c r="AI101" s="360">
        <f t="shared" si="101"/>
        <v>0.17605225261895155</v>
      </c>
      <c r="AJ101" s="360">
        <f t="shared" si="102"/>
        <v>0.10819199999999997</v>
      </c>
      <c r="AK101" s="360" t="e">
        <f t="shared" si="103"/>
        <v>#VALUE!</v>
      </c>
      <c r="AL101" s="360">
        <f t="shared" si="104"/>
        <v>0.10819199999999997</v>
      </c>
      <c r="AM101" s="360">
        <f t="shared" si="105"/>
        <v>1.9871999999999994</v>
      </c>
      <c r="AN101" s="360">
        <f t="shared" si="106"/>
        <v>0.42402696443513849</v>
      </c>
      <c r="AO101" s="360">
        <f t="shared" si="107"/>
        <v>2.0999999999999999E-3</v>
      </c>
      <c r="AP101" s="360">
        <f t="shared" si="108"/>
        <v>9.8999999999999991E-2</v>
      </c>
      <c r="AQ101" s="360">
        <f t="shared" si="109"/>
        <v>1.1483999999999999</v>
      </c>
      <c r="AR101" s="360">
        <f t="shared" si="110"/>
        <v>1.089</v>
      </c>
      <c r="AS101" s="360">
        <f t="shared" si="133"/>
        <v>0.1011</v>
      </c>
      <c r="AT101" s="360" t="e">
        <f t="shared" si="111"/>
        <v>#VALUE!</v>
      </c>
      <c r="AU101">
        <f t="shared" si="112"/>
        <v>92</v>
      </c>
      <c r="AV101" s="542" t="e">
        <f t="shared" si="127"/>
        <v>#VALUE!</v>
      </c>
      <c r="AW101" s="551" t="e">
        <f t="shared" si="113"/>
        <v>#VALUE!</v>
      </c>
      <c r="AX101" s="551" t="e">
        <f t="shared" si="114"/>
        <v>#VALUE!</v>
      </c>
      <c r="AY101" s="9"/>
      <c r="AZ101" s="4" t="e">
        <f t="shared" si="128"/>
        <v>#VALUE!</v>
      </c>
      <c r="BA101" s="360" t="e">
        <f t="shared" si="115"/>
        <v>#VALUE!</v>
      </c>
      <c r="BB101" s="360" t="e">
        <f t="shared" si="129"/>
        <v>#VALUE!</v>
      </c>
      <c r="BC101" s="360" t="e">
        <f t="shared" si="130"/>
        <v>#VALUE!</v>
      </c>
      <c r="BD101" s="360" t="e">
        <f t="shared" si="131"/>
        <v>#VALUE!</v>
      </c>
      <c r="BE101" s="360">
        <f t="shared" si="132"/>
        <v>0.42402696443513849</v>
      </c>
      <c r="BK101" s="18"/>
      <c r="BL101" s="19"/>
    </row>
    <row r="102" spans="7:64" x14ac:dyDescent="0.2">
      <c r="G102">
        <v>93</v>
      </c>
      <c r="H102" s="548">
        <f t="shared" si="85"/>
        <v>60</v>
      </c>
      <c r="I102" s="4">
        <f t="shared" si="86"/>
        <v>1</v>
      </c>
      <c r="J102" s="360">
        <f t="shared" si="116"/>
        <v>9.3000000000000007</v>
      </c>
      <c r="K102" s="360">
        <f t="shared" si="87"/>
        <v>9.3000000000000007</v>
      </c>
      <c r="L102" s="4">
        <f t="shared" si="88"/>
        <v>1.7222222222222223</v>
      </c>
      <c r="M102" s="360">
        <f t="shared" si="89"/>
        <v>0.16964972310604451</v>
      </c>
      <c r="N102" s="4">
        <f t="shared" si="90"/>
        <v>1.4090144652757119</v>
      </c>
      <c r="O102" s="4">
        <f t="shared" si="117"/>
        <v>10.004507232637856</v>
      </c>
      <c r="P102" s="4">
        <f t="shared" si="118"/>
        <v>8.5954927673621455</v>
      </c>
      <c r="Q102" s="4">
        <f t="shared" si="91"/>
        <v>0</v>
      </c>
      <c r="R102" s="4">
        <f t="shared" si="119"/>
        <v>9.3088905611936212</v>
      </c>
      <c r="S102" s="360">
        <f t="shared" si="92"/>
        <v>1.0398653217633562</v>
      </c>
      <c r="T102" s="360">
        <f t="shared" si="93"/>
        <v>0.3</v>
      </c>
      <c r="U102" s="360" t="e">
        <f t="shared" si="94"/>
        <v>#VALUE!</v>
      </c>
      <c r="V102" s="4">
        <f t="shared" si="120"/>
        <v>0.40674744040950445</v>
      </c>
      <c r="W102" s="360">
        <f t="shared" si="121"/>
        <v>3.3088696055936671E-4</v>
      </c>
      <c r="X102" s="360">
        <f t="shared" si="122"/>
        <v>3.3088696055936671E-4</v>
      </c>
      <c r="Y102" s="4">
        <f t="shared" si="123"/>
        <v>3.4938573524466872</v>
      </c>
      <c r="Z102" s="360">
        <f t="shared" si="124"/>
        <v>1.2207039199245774E-2</v>
      </c>
      <c r="AA102" s="541">
        <f t="shared" si="125"/>
        <v>1.2207039199245774E-2</v>
      </c>
      <c r="AB102" s="360">
        <f t="shared" si="126"/>
        <v>3.8341976986145276</v>
      </c>
      <c r="AC102" s="360">
        <f t="shared" si="95"/>
        <v>8.8206431952365646E-2</v>
      </c>
      <c r="AD102" s="360">
        <f t="shared" si="96"/>
        <v>0.60705574339652413</v>
      </c>
      <c r="AE102" s="360">
        <f t="shared" si="97"/>
        <v>-0.52595999999999998</v>
      </c>
      <c r="AF102" s="360">
        <f t="shared" si="98"/>
        <v>0</v>
      </c>
      <c r="AG102" s="360" t="e">
        <f t="shared" si="99"/>
        <v>#VALUE!</v>
      </c>
      <c r="AH102" s="360">
        <f t="shared" si="100"/>
        <v>8.4825922622874401</v>
      </c>
      <c r="AI102" s="360">
        <f t="shared" si="101"/>
        <v>0.1798859287205469</v>
      </c>
      <c r="AJ102" s="360">
        <f t="shared" si="102"/>
        <v>0.10936799999999999</v>
      </c>
      <c r="AK102" s="360" t="e">
        <f t="shared" si="103"/>
        <v>#VALUE!</v>
      </c>
      <c r="AL102" s="360">
        <f t="shared" si="104"/>
        <v>0.10936799999999999</v>
      </c>
      <c r="AM102" s="360">
        <f t="shared" si="105"/>
        <v>2.0087999999999999</v>
      </c>
      <c r="AN102" s="360">
        <f t="shared" si="106"/>
        <v>0.43327721740139846</v>
      </c>
      <c r="AO102" s="360">
        <f t="shared" si="107"/>
        <v>2.0999999999999999E-3</v>
      </c>
      <c r="AP102" s="360">
        <f t="shared" si="108"/>
        <v>9.8999999999999991E-2</v>
      </c>
      <c r="AQ102" s="360">
        <f t="shared" si="109"/>
        <v>1.1483999999999999</v>
      </c>
      <c r="AR102" s="360">
        <f t="shared" si="110"/>
        <v>1.089</v>
      </c>
      <c r="AS102" s="360">
        <f t="shared" si="133"/>
        <v>0.1011</v>
      </c>
      <c r="AT102" s="360" t="e">
        <f t="shared" si="111"/>
        <v>#VALUE!</v>
      </c>
      <c r="AU102">
        <f t="shared" si="112"/>
        <v>93</v>
      </c>
      <c r="AV102" s="542" t="e">
        <f t="shared" si="127"/>
        <v>#VALUE!</v>
      </c>
      <c r="AW102" s="551" t="e">
        <f t="shared" si="113"/>
        <v>#VALUE!</v>
      </c>
      <c r="AX102" s="551" t="e">
        <f t="shared" si="114"/>
        <v>#VALUE!</v>
      </c>
      <c r="AY102" s="9"/>
      <c r="AZ102" s="4" t="e">
        <f t="shared" si="128"/>
        <v>#VALUE!</v>
      </c>
      <c r="BA102" s="360" t="e">
        <f t="shared" si="115"/>
        <v>#VALUE!</v>
      </c>
      <c r="BB102" s="360" t="e">
        <f t="shared" si="129"/>
        <v>#VALUE!</v>
      </c>
      <c r="BC102" s="360" t="e">
        <f t="shared" si="130"/>
        <v>#VALUE!</v>
      </c>
      <c r="BD102" s="360" t="e">
        <f t="shared" si="131"/>
        <v>#VALUE!</v>
      </c>
      <c r="BE102" s="360">
        <f t="shared" si="132"/>
        <v>0.43327721740139846</v>
      </c>
      <c r="BK102" s="18"/>
      <c r="BL102" s="19"/>
    </row>
    <row r="103" spans="7:64" x14ac:dyDescent="0.2">
      <c r="G103">
        <v>94</v>
      </c>
      <c r="H103" s="548">
        <f t="shared" si="85"/>
        <v>60</v>
      </c>
      <c r="I103" s="4">
        <f t="shared" si="86"/>
        <v>1</v>
      </c>
      <c r="J103" s="360">
        <f t="shared" si="116"/>
        <v>9.4</v>
      </c>
      <c r="K103" s="360">
        <f t="shared" si="87"/>
        <v>9.4</v>
      </c>
      <c r="L103" s="4">
        <f t="shared" si="88"/>
        <v>1.7407407407407407</v>
      </c>
      <c r="M103" s="360">
        <f t="shared" si="89"/>
        <v>0.16968179144567691</v>
      </c>
      <c r="N103" s="4">
        <f t="shared" si="90"/>
        <v>1.4092299021952059</v>
      </c>
      <c r="O103" s="4">
        <f t="shared" si="117"/>
        <v>10.104614951097604</v>
      </c>
      <c r="P103" s="4">
        <f t="shared" si="118"/>
        <v>8.6953850489023967</v>
      </c>
      <c r="Q103" s="4">
        <f t="shared" si="91"/>
        <v>0</v>
      </c>
      <c r="R103" s="4">
        <f t="shared" si="119"/>
        <v>9.4087987584195236</v>
      </c>
      <c r="S103" s="360">
        <f t="shared" si="92"/>
        <v>1.0623059289172412</v>
      </c>
      <c r="T103" s="360">
        <f t="shared" si="93"/>
        <v>0.3</v>
      </c>
      <c r="U103" s="360" t="e">
        <f t="shared" si="94"/>
        <v>#VALUE!</v>
      </c>
      <c r="V103" s="4">
        <f t="shared" si="120"/>
        <v>0.40680963169123607</v>
      </c>
      <c r="W103" s="360">
        <f t="shared" si="121"/>
        <v>3.3098815287351831E-4</v>
      </c>
      <c r="X103" s="360">
        <f t="shared" si="122"/>
        <v>3.3098815287351831E-4</v>
      </c>
      <c r="Y103" s="4">
        <f t="shared" si="123"/>
        <v>3.5316209216906782</v>
      </c>
      <c r="Z103" s="360">
        <f t="shared" si="124"/>
        <v>1.2472346334523316E-2</v>
      </c>
      <c r="AA103" s="541">
        <f t="shared" si="125"/>
        <v>1.2472346334523316E-2</v>
      </c>
      <c r="AB103" s="360">
        <f t="shared" si="126"/>
        <v>3.8757146984141455</v>
      </c>
      <c r="AC103" s="360">
        <f t="shared" si="95"/>
        <v>9.0126986541020707E-2</v>
      </c>
      <c r="AD103" s="360">
        <f t="shared" si="96"/>
        <v>0.61358322450831471</v>
      </c>
      <c r="AE103" s="360">
        <f t="shared" si="97"/>
        <v>-0.52595999999999998</v>
      </c>
      <c r="AF103" s="360">
        <f t="shared" si="98"/>
        <v>0</v>
      </c>
      <c r="AG103" s="360" t="e">
        <f t="shared" si="99"/>
        <v>#VALUE!</v>
      </c>
      <c r="AH103" s="360">
        <f t="shared" si="100"/>
        <v>8.5734666065094878</v>
      </c>
      <c r="AI103" s="360">
        <f t="shared" si="101"/>
        <v>0.18376082413233327</v>
      </c>
      <c r="AJ103" s="360">
        <f t="shared" si="102"/>
        <v>0.11054399999999999</v>
      </c>
      <c r="AK103" s="360" t="e">
        <f t="shared" si="103"/>
        <v>#VALUE!</v>
      </c>
      <c r="AL103" s="360">
        <f t="shared" si="104"/>
        <v>0.11054399999999999</v>
      </c>
      <c r="AM103" s="360">
        <f t="shared" si="105"/>
        <v>2.0304000000000002</v>
      </c>
      <c r="AN103" s="360">
        <f t="shared" si="106"/>
        <v>0.44262747038218386</v>
      </c>
      <c r="AO103" s="360">
        <f t="shared" si="107"/>
        <v>2.0999999999999999E-3</v>
      </c>
      <c r="AP103" s="360">
        <f t="shared" si="108"/>
        <v>9.8999999999999991E-2</v>
      </c>
      <c r="AQ103" s="360">
        <f t="shared" si="109"/>
        <v>1.1483999999999999</v>
      </c>
      <c r="AR103" s="360">
        <f t="shared" si="110"/>
        <v>1.089</v>
      </c>
      <c r="AS103" s="360">
        <f t="shared" si="133"/>
        <v>0.1011</v>
      </c>
      <c r="AT103" s="360" t="e">
        <f t="shared" si="111"/>
        <v>#VALUE!</v>
      </c>
      <c r="AU103">
        <f t="shared" si="112"/>
        <v>94</v>
      </c>
      <c r="AV103" s="542" t="e">
        <f t="shared" si="127"/>
        <v>#VALUE!</v>
      </c>
      <c r="AW103" s="551" t="e">
        <f t="shared" si="113"/>
        <v>#VALUE!</v>
      </c>
      <c r="AX103" s="551" t="e">
        <f t="shared" si="114"/>
        <v>#VALUE!</v>
      </c>
      <c r="AY103" s="9"/>
      <c r="AZ103" s="4" t="e">
        <f t="shared" si="128"/>
        <v>#VALUE!</v>
      </c>
      <c r="BA103" s="360" t="e">
        <f t="shared" si="115"/>
        <v>#VALUE!</v>
      </c>
      <c r="BB103" s="360" t="e">
        <f t="shared" si="129"/>
        <v>#VALUE!</v>
      </c>
      <c r="BC103" s="360" t="e">
        <f t="shared" si="130"/>
        <v>#VALUE!</v>
      </c>
      <c r="BD103" s="360" t="e">
        <f t="shared" si="131"/>
        <v>#VALUE!</v>
      </c>
      <c r="BE103" s="360">
        <f t="shared" si="132"/>
        <v>0.44262747038218386</v>
      </c>
      <c r="BK103" s="18"/>
      <c r="BL103" s="19"/>
    </row>
    <row r="104" spans="7:64" x14ac:dyDescent="0.2">
      <c r="G104">
        <v>95</v>
      </c>
      <c r="H104" s="548">
        <f t="shared" si="85"/>
        <v>60</v>
      </c>
      <c r="I104" s="4">
        <f t="shared" si="86"/>
        <v>1</v>
      </c>
      <c r="J104" s="360">
        <f t="shared" si="116"/>
        <v>9.5</v>
      </c>
      <c r="K104" s="360">
        <f t="shared" si="87"/>
        <v>9.5</v>
      </c>
      <c r="L104" s="4">
        <f t="shared" si="88"/>
        <v>1.7592592592592593</v>
      </c>
      <c r="M104" s="360">
        <f t="shared" si="89"/>
        <v>0.16971385962500574</v>
      </c>
      <c r="N104" s="4">
        <f t="shared" si="90"/>
        <v>1.4094453185424016</v>
      </c>
      <c r="O104" s="4">
        <f t="shared" si="117"/>
        <v>10.204722659271201</v>
      </c>
      <c r="P104" s="4">
        <f t="shared" si="118"/>
        <v>8.7952773407287985</v>
      </c>
      <c r="Q104" s="4">
        <f t="shared" si="91"/>
        <v>0</v>
      </c>
      <c r="R104" s="4">
        <f t="shared" si="119"/>
        <v>9.5087088858318065</v>
      </c>
      <c r="S104" s="360">
        <f t="shared" si="92"/>
        <v>1.0849865361059612</v>
      </c>
      <c r="T104" s="360">
        <f t="shared" si="93"/>
        <v>0.3</v>
      </c>
      <c r="U104" s="360" t="e">
        <f t="shared" si="94"/>
        <v>#VALUE!</v>
      </c>
      <c r="V104" s="4">
        <f t="shared" si="120"/>
        <v>0.40687181703425673</v>
      </c>
      <c r="W104" s="360">
        <f t="shared" si="121"/>
        <v>3.3108935099351541E-4</v>
      </c>
      <c r="X104" s="360">
        <f t="shared" si="122"/>
        <v>3.3108935099351541E-4</v>
      </c>
      <c r="Y104" s="4">
        <f t="shared" si="123"/>
        <v>3.5693908073835607</v>
      </c>
      <c r="Z104" s="360">
        <f t="shared" si="124"/>
        <v>1.2740550735834267E-2</v>
      </c>
      <c r="AA104" s="541">
        <f t="shared" si="125"/>
        <v>1.2740550735834267E-2</v>
      </c>
      <c r="AB104" s="360">
        <f t="shared" si="126"/>
        <v>3.9172402347795434</v>
      </c>
      <c r="AC104" s="360">
        <f t="shared" si="95"/>
        <v>9.2068626341854157E-2</v>
      </c>
      <c r="AD104" s="360">
        <f t="shared" si="96"/>
        <v>0.62011070562010528</v>
      </c>
      <c r="AE104" s="360">
        <f t="shared" si="97"/>
        <v>-0.52595999999999998</v>
      </c>
      <c r="AF104" s="360">
        <f t="shared" si="98"/>
        <v>0</v>
      </c>
      <c r="AG104" s="360" t="e">
        <f t="shared" si="99"/>
        <v>#VALUE!</v>
      </c>
      <c r="AH104" s="360">
        <f t="shared" si="100"/>
        <v>8.6643391911051744</v>
      </c>
      <c r="AI104" s="360">
        <f t="shared" si="101"/>
        <v>0.1876769340463027</v>
      </c>
      <c r="AJ104" s="360">
        <f t="shared" si="102"/>
        <v>0.11171999999999999</v>
      </c>
      <c r="AK104" s="360" t="e">
        <f t="shared" si="103"/>
        <v>#VALUE!</v>
      </c>
      <c r="AL104" s="360">
        <f t="shared" si="104"/>
        <v>0.11171999999999999</v>
      </c>
      <c r="AM104" s="360">
        <f t="shared" si="105"/>
        <v>2.0519999999999996</v>
      </c>
      <c r="AN104" s="360">
        <f t="shared" si="106"/>
        <v>0.45207772337748381</v>
      </c>
      <c r="AO104" s="360">
        <f t="shared" si="107"/>
        <v>2.0999999999999999E-3</v>
      </c>
      <c r="AP104" s="360">
        <f t="shared" si="108"/>
        <v>9.8999999999999991E-2</v>
      </c>
      <c r="AQ104" s="360">
        <f t="shared" si="109"/>
        <v>1.1483999999999999</v>
      </c>
      <c r="AR104" s="360">
        <f t="shared" si="110"/>
        <v>1.089</v>
      </c>
      <c r="AS104" s="360">
        <f t="shared" si="133"/>
        <v>0.1011</v>
      </c>
      <c r="AT104" s="360" t="e">
        <f t="shared" si="111"/>
        <v>#VALUE!</v>
      </c>
      <c r="AU104">
        <f t="shared" si="112"/>
        <v>95</v>
      </c>
      <c r="AV104" s="542" t="e">
        <f t="shared" si="127"/>
        <v>#VALUE!</v>
      </c>
      <c r="AW104" s="551" t="e">
        <f t="shared" si="113"/>
        <v>#VALUE!</v>
      </c>
      <c r="AX104" s="551" t="e">
        <f t="shared" si="114"/>
        <v>#VALUE!</v>
      </c>
      <c r="AY104" s="9"/>
      <c r="AZ104" s="4" t="e">
        <f t="shared" si="128"/>
        <v>#VALUE!</v>
      </c>
      <c r="BA104" s="360" t="e">
        <f t="shared" si="115"/>
        <v>#VALUE!</v>
      </c>
      <c r="BB104" s="360" t="e">
        <f t="shared" si="129"/>
        <v>#VALUE!</v>
      </c>
      <c r="BC104" s="360" t="e">
        <f t="shared" si="130"/>
        <v>#VALUE!</v>
      </c>
      <c r="BD104" s="360" t="e">
        <f t="shared" si="131"/>
        <v>#VALUE!</v>
      </c>
      <c r="BE104" s="360">
        <f t="shared" si="132"/>
        <v>0.45207772337748381</v>
      </c>
      <c r="BK104" s="18"/>
      <c r="BL104" s="19"/>
    </row>
    <row r="105" spans="7:64" x14ac:dyDescent="0.2">
      <c r="G105">
        <v>96</v>
      </c>
      <c r="H105" s="548">
        <f t="shared" si="85"/>
        <v>60</v>
      </c>
      <c r="I105" s="4">
        <f t="shared" si="86"/>
        <v>1</v>
      </c>
      <c r="J105" s="360">
        <f t="shared" si="116"/>
        <v>9.6</v>
      </c>
      <c r="K105" s="360">
        <f t="shared" si="87"/>
        <v>9.6</v>
      </c>
      <c r="L105" s="4">
        <f t="shared" ref="L105:L109" si="134">Vout*K105/(Vin*Efficiency)</f>
        <v>1.7777777777777777</v>
      </c>
      <c r="M105" s="360">
        <f t="shared" si="89"/>
        <v>0.1697459276440321</v>
      </c>
      <c r="N105" s="4">
        <f t="shared" ref="N105:N109" si="135">(Vin-(Rdson1+Rdcr)*K105-Vout)*M105/(Fsw*Lf)</f>
        <v>1.4096607143174524</v>
      </c>
      <c r="O105" s="4">
        <f t="shared" si="117"/>
        <v>10.304830357158727</v>
      </c>
      <c r="P105" s="4">
        <f t="shared" si="118"/>
        <v>8.8951696428412728</v>
      </c>
      <c r="Q105" s="4">
        <f t="shared" ref="Q105:Q109" si="136">IF(MIN(Vin, -P105/(Coss_Q1+Coss_Q2)*0.00000002)&lt;0, 0, MIN(Vin, -P105/(Coss_Q1+Coss_Q2)*0.00000002))</f>
        <v>0</v>
      </c>
      <c r="R105" s="4">
        <f t="shared" si="119"/>
        <v>9.608620883220313</v>
      </c>
      <c r="S105" s="360">
        <f t="shared" ref="S105:S109" si="137">R105^2*Rdcr</f>
        <v>1.10790714332949</v>
      </c>
      <c r="T105" s="360">
        <f t="shared" si="93"/>
        <v>0.3</v>
      </c>
      <c r="U105" s="360" t="e">
        <f t="shared" ref="U105:U109" si="138">(T105+S105*(1+Ltc*(Ta-25)))/(1-S105*Ltc*ThetaCa)</f>
        <v>#VALUE!</v>
      </c>
      <c r="V105" s="4">
        <f t="shared" si="120"/>
        <v>0.40693399643861067</v>
      </c>
      <c r="W105" s="360">
        <f t="shared" si="121"/>
        <v>3.3119055491499837E-4</v>
      </c>
      <c r="X105" s="360">
        <f t="shared" si="122"/>
        <v>3.3119055491499837E-4</v>
      </c>
      <c r="Y105" s="4">
        <f t="shared" si="123"/>
        <v>3.6071669855970905</v>
      </c>
      <c r="Z105" s="360">
        <f t="shared" si="124"/>
        <v>1.3011653661981601E-2</v>
      </c>
      <c r="AA105" s="541">
        <f t="shared" si="125"/>
        <v>1.3011653661981601E-2</v>
      </c>
      <c r="AB105" s="360">
        <f t="shared" si="126"/>
        <v>3.9587742819791449</v>
      </c>
      <c r="AC105" s="360">
        <f t="shared" ref="AC105:AC109" si="139">Rdson1*AB105^2</f>
        <v>9.4031362893956971E-2</v>
      </c>
      <c r="AD105" s="360">
        <f t="shared" si="96"/>
        <v>0.62663818673189586</v>
      </c>
      <c r="AE105" s="360">
        <f t="shared" si="97"/>
        <v>-0.52595999999999998</v>
      </c>
      <c r="AF105" s="360">
        <f t="shared" si="98"/>
        <v>0</v>
      </c>
      <c r="AG105" s="360" t="e">
        <f t="shared" ref="AG105:AG109" si="140">(AF105+AE105+AD105+AC105*(1+RdsonTopTc*Ta-RdsonTopTc*25))/(1-AC105*RdsonTopTc*ThetaJA_Q1)</f>
        <v>#VALUE!</v>
      </c>
      <c r="AH105" s="360">
        <f t="shared" si="100"/>
        <v>8.7552099610345167</v>
      </c>
      <c r="AI105" s="360">
        <f t="shared" ref="AI105:AI109" si="141">Rdson2*AH105^2</f>
        <v>0.19163425365449505</v>
      </c>
      <c r="AJ105" s="360">
        <f t="shared" si="102"/>
        <v>0.11289599999999997</v>
      </c>
      <c r="AK105" s="360" t="e">
        <f t="shared" ref="AK105:AK109" si="142">(AJ105+AI105*(1+RdsonBotTc*Ta-RdsonBotTc*25))/(1-AI105*RdsonBotTc*ThetaJA_Q2)</f>
        <v>#VALUE!</v>
      </c>
      <c r="AL105" s="360">
        <f t="shared" si="104"/>
        <v>0.11289599999999997</v>
      </c>
      <c r="AM105" s="360">
        <f t="shared" si="105"/>
        <v>2.0735999999999999</v>
      </c>
      <c r="AN105" s="360">
        <f t="shared" si="106"/>
        <v>0.46162797638728753</v>
      </c>
      <c r="AO105" s="360">
        <f t="shared" si="107"/>
        <v>2.0999999999999999E-3</v>
      </c>
      <c r="AP105" s="360">
        <f t="shared" si="108"/>
        <v>9.8999999999999991E-2</v>
      </c>
      <c r="AQ105" s="360">
        <f t="shared" si="109"/>
        <v>1.1483999999999999</v>
      </c>
      <c r="AR105" s="360">
        <f t="shared" si="110"/>
        <v>1.089</v>
      </c>
      <c r="AS105" s="360">
        <f t="shared" si="133"/>
        <v>0.1011</v>
      </c>
      <c r="AT105" s="360" t="e">
        <f t="shared" ref="AT105:AT109" si="143" xml:space="preserve"> SUM(U105,X105,AA105,AG105,AK105,AL105,AM105,AS105,AN105)</f>
        <v>#VALUE!</v>
      </c>
      <c r="AU105">
        <f t="shared" si="112"/>
        <v>96</v>
      </c>
      <c r="AV105" s="542" t="e">
        <f t="shared" si="127"/>
        <v>#VALUE!</v>
      </c>
      <c r="AW105" s="551" t="e">
        <f t="shared" si="113"/>
        <v>#VALUE!</v>
      </c>
      <c r="AX105" s="551" t="e">
        <f t="shared" si="114"/>
        <v>#VALUE!</v>
      </c>
      <c r="AY105" s="9"/>
      <c r="AZ105" s="4" t="e">
        <f t="shared" si="128"/>
        <v>#VALUE!</v>
      </c>
      <c r="BA105" s="360" t="e">
        <f t="shared" si="115"/>
        <v>#VALUE!</v>
      </c>
      <c r="BB105" s="360" t="e">
        <f t="shared" si="129"/>
        <v>#VALUE!</v>
      </c>
      <c r="BC105" s="360" t="e">
        <f t="shared" si="130"/>
        <v>#VALUE!</v>
      </c>
      <c r="BD105" s="360" t="e">
        <f t="shared" si="131"/>
        <v>#VALUE!</v>
      </c>
      <c r="BE105" s="360">
        <f t="shared" si="132"/>
        <v>0.46162797638728753</v>
      </c>
      <c r="BK105" s="18"/>
      <c r="BL105" s="19"/>
    </row>
    <row r="106" spans="7:64" x14ac:dyDescent="0.2">
      <c r="G106">
        <v>97</v>
      </c>
      <c r="H106" s="548">
        <f t="shared" si="85"/>
        <v>60</v>
      </c>
      <c r="I106" s="4">
        <f t="shared" si="86"/>
        <v>1</v>
      </c>
      <c r="J106" s="360">
        <f t="shared" si="116"/>
        <v>9.6999999999999993</v>
      </c>
      <c r="K106" s="360">
        <f t="shared" si="87"/>
        <v>9.6999999999999993</v>
      </c>
      <c r="L106" s="4">
        <f t="shared" si="134"/>
        <v>1.7962962962962963</v>
      </c>
      <c r="M106" s="360">
        <f t="shared" si="89"/>
        <v>0.16977799550275724</v>
      </c>
      <c r="N106" s="4">
        <f t="shared" si="135"/>
        <v>1.4098760895205131</v>
      </c>
      <c r="O106" s="4">
        <f t="shared" si="117"/>
        <v>10.404938044760256</v>
      </c>
      <c r="P106" s="4">
        <f t="shared" si="118"/>
        <v>8.9950619552397431</v>
      </c>
      <c r="Q106" s="4">
        <f t="shared" si="136"/>
        <v>0</v>
      </c>
      <c r="R106" s="4">
        <f t="shared" si="119"/>
        <v>9.7085346928523055</v>
      </c>
      <c r="S106" s="360">
        <f t="shared" si="137"/>
        <v>1.1310677505878017</v>
      </c>
      <c r="T106" s="360">
        <f t="shared" si="93"/>
        <v>0.3</v>
      </c>
      <c r="U106" s="360" t="e">
        <f t="shared" si="138"/>
        <v>#VALUE!</v>
      </c>
      <c r="V106" s="4">
        <f t="shared" si="120"/>
        <v>0.40699616990434262</v>
      </c>
      <c r="W106" s="360">
        <f t="shared" si="121"/>
        <v>3.3129176463360903E-4</v>
      </c>
      <c r="X106" s="360">
        <f t="shared" si="122"/>
        <v>3.3129176463360903E-4</v>
      </c>
      <c r="Y106" s="4">
        <f t="shared" si="123"/>
        <v>3.6449494333267531</v>
      </c>
      <c r="Z106" s="360">
        <f t="shared" si="124"/>
        <v>1.328565637150902E-2</v>
      </c>
      <c r="AA106" s="541">
        <f t="shared" si="125"/>
        <v>1.328565637150902E-2</v>
      </c>
      <c r="AB106" s="360">
        <f t="shared" si="126"/>
        <v>4.0003168152931918</v>
      </c>
      <c r="AC106" s="360">
        <f t="shared" si="139"/>
        <v>9.60152077363048E-2</v>
      </c>
      <c r="AD106" s="360">
        <f t="shared" si="96"/>
        <v>0.63316566784368644</v>
      </c>
      <c r="AE106" s="360">
        <f t="shared" si="97"/>
        <v>-0.52595999999999998</v>
      </c>
      <c r="AF106" s="360">
        <f t="shared" si="98"/>
        <v>0</v>
      </c>
      <c r="AG106" s="360" t="e">
        <f t="shared" si="140"/>
        <v>#VALUE!</v>
      </c>
      <c r="AH106" s="360">
        <f t="shared" si="100"/>
        <v>8.8460788635191001</v>
      </c>
      <c r="AI106" s="360">
        <f t="shared" si="141"/>
        <v>0.19563277814899846</v>
      </c>
      <c r="AJ106" s="360">
        <f t="shared" si="102"/>
        <v>0.11407199999999997</v>
      </c>
      <c r="AK106" s="360" t="e">
        <f t="shared" si="142"/>
        <v>#VALUE!</v>
      </c>
      <c r="AL106" s="360">
        <f t="shared" si="104"/>
        <v>0.11407199999999997</v>
      </c>
      <c r="AM106" s="360">
        <f t="shared" si="105"/>
        <v>2.0951999999999997</v>
      </c>
      <c r="AN106" s="360">
        <f t="shared" si="106"/>
        <v>0.47127822941158409</v>
      </c>
      <c r="AO106" s="360">
        <f t="shared" si="107"/>
        <v>2.0999999999999999E-3</v>
      </c>
      <c r="AP106" s="360">
        <f t="shared" si="108"/>
        <v>9.8999999999999991E-2</v>
      </c>
      <c r="AQ106" s="360">
        <f t="shared" si="109"/>
        <v>1.1483999999999999</v>
      </c>
      <c r="AR106" s="360">
        <f t="shared" si="110"/>
        <v>1.089</v>
      </c>
      <c r="AS106" s="360">
        <f t="shared" si="133"/>
        <v>0.1011</v>
      </c>
      <c r="AT106" s="360" t="e">
        <f t="shared" si="143"/>
        <v>#VALUE!</v>
      </c>
      <c r="AU106">
        <f t="shared" si="112"/>
        <v>97</v>
      </c>
      <c r="AV106" s="542" t="e">
        <f t="shared" si="127"/>
        <v>#VALUE!</v>
      </c>
      <c r="AW106" s="551" t="e">
        <f t="shared" si="113"/>
        <v>#VALUE!</v>
      </c>
      <c r="AX106" s="551" t="e">
        <f t="shared" si="114"/>
        <v>#VALUE!</v>
      </c>
      <c r="AY106" s="9"/>
      <c r="AZ106" s="4" t="e">
        <f t="shared" si="128"/>
        <v>#VALUE!</v>
      </c>
      <c r="BA106" s="360" t="e">
        <f t="shared" si="115"/>
        <v>#VALUE!</v>
      </c>
      <c r="BB106" s="360" t="e">
        <f t="shared" si="129"/>
        <v>#VALUE!</v>
      </c>
      <c r="BC106" s="360" t="e">
        <f t="shared" si="130"/>
        <v>#VALUE!</v>
      </c>
      <c r="BD106" s="360" t="e">
        <f t="shared" si="131"/>
        <v>#VALUE!</v>
      </c>
      <c r="BE106" s="360">
        <f t="shared" si="132"/>
        <v>0.47127822941158409</v>
      </c>
      <c r="BK106" s="18"/>
      <c r="BL106" s="19"/>
    </row>
    <row r="107" spans="7:64" x14ac:dyDescent="0.2">
      <c r="G107">
        <v>98</v>
      </c>
      <c r="H107" s="548">
        <f t="shared" si="85"/>
        <v>60</v>
      </c>
      <c r="I107" s="4">
        <f t="shared" si="86"/>
        <v>1</v>
      </c>
      <c r="J107" s="360">
        <f t="shared" si="116"/>
        <v>9.8000000000000007</v>
      </c>
      <c r="K107" s="360">
        <f t="shared" si="87"/>
        <v>9.8000000000000007</v>
      </c>
      <c r="L107" s="4">
        <f t="shared" si="134"/>
        <v>1.8148148148148149</v>
      </c>
      <c r="M107" s="360">
        <f t="shared" si="89"/>
        <v>0.16981006320118239</v>
      </c>
      <c r="N107" s="4">
        <f t="shared" si="135"/>
        <v>1.410091444151738</v>
      </c>
      <c r="O107" s="4">
        <f t="shared" si="117"/>
        <v>10.50504572207587</v>
      </c>
      <c r="P107" s="4">
        <f t="shared" si="118"/>
        <v>9.0949542779241312</v>
      </c>
      <c r="Q107" s="4">
        <f t="shared" si="136"/>
        <v>0</v>
      </c>
      <c r="R107" s="4">
        <f t="shared" si="119"/>
        <v>9.8084502593464027</v>
      </c>
      <c r="S107" s="360">
        <f t="shared" si="137"/>
        <v>1.1544683578808701</v>
      </c>
      <c r="T107" s="360">
        <f t="shared" si="93"/>
        <v>0.3</v>
      </c>
      <c r="U107" s="360" t="e">
        <f t="shared" si="138"/>
        <v>#VALUE!</v>
      </c>
      <c r="V107" s="4">
        <f t="shared" si="120"/>
        <v>0.40705833743149705</v>
      </c>
      <c r="W107" s="360">
        <f t="shared" si="121"/>
        <v>3.3139298014498906E-4</v>
      </c>
      <c r="X107" s="360">
        <f t="shared" si="122"/>
        <v>3.3139298014498906E-4</v>
      </c>
      <c r="Y107" s="4">
        <f t="shared" si="123"/>
        <v>3.6827381284447793</v>
      </c>
      <c r="Z107" s="360">
        <f t="shared" si="124"/>
        <v>1.3562560122700957E-2</v>
      </c>
      <c r="AA107" s="541">
        <f t="shared" si="125"/>
        <v>1.3562560122700957E-2</v>
      </c>
      <c r="AB107" s="360">
        <f t="shared" si="126"/>
        <v>4.0418678109622759</v>
      </c>
      <c r="AC107" s="360">
        <f t="shared" si="139"/>
        <v>9.8020172407757872E-2</v>
      </c>
      <c r="AD107" s="360">
        <f t="shared" si="96"/>
        <v>0.63969314895547702</v>
      </c>
      <c r="AE107" s="360">
        <f t="shared" si="97"/>
        <v>-0.52595999999999998</v>
      </c>
      <c r="AF107" s="360">
        <f t="shared" si="98"/>
        <v>0</v>
      </c>
      <c r="AG107" s="360" t="e">
        <f t="shared" si="140"/>
        <v>#VALUE!</v>
      </c>
      <c r="AH107" s="360">
        <f t="shared" si="100"/>
        <v>8.9369458479269941</v>
      </c>
      <c r="AI107" s="360">
        <f t="shared" si="141"/>
        <v>0.19967250272194886</v>
      </c>
      <c r="AJ107" s="360">
        <f t="shared" si="102"/>
        <v>0.11524799999999999</v>
      </c>
      <c r="AK107" s="360" t="e">
        <f t="shared" si="142"/>
        <v>#VALUE!</v>
      </c>
      <c r="AL107" s="360">
        <f t="shared" si="104"/>
        <v>0.11524799999999999</v>
      </c>
      <c r="AM107" s="360">
        <f t="shared" si="105"/>
        <v>2.1168</v>
      </c>
      <c r="AN107" s="360">
        <f t="shared" si="106"/>
        <v>0.48102848245036256</v>
      </c>
      <c r="AO107" s="360">
        <f t="shared" si="107"/>
        <v>2.0999999999999999E-3</v>
      </c>
      <c r="AP107" s="360">
        <f t="shared" si="108"/>
        <v>9.8999999999999991E-2</v>
      </c>
      <c r="AQ107" s="360">
        <f t="shared" si="109"/>
        <v>1.1483999999999999</v>
      </c>
      <c r="AR107" s="360">
        <f t="shared" si="110"/>
        <v>1.089</v>
      </c>
      <c r="AS107" s="360">
        <f t="shared" si="133"/>
        <v>0.1011</v>
      </c>
      <c r="AT107" s="360" t="e">
        <f t="shared" si="143"/>
        <v>#VALUE!</v>
      </c>
      <c r="AU107">
        <f t="shared" si="112"/>
        <v>98</v>
      </c>
      <c r="AV107" s="542" t="e">
        <f t="shared" si="127"/>
        <v>#VALUE!</v>
      </c>
      <c r="AW107" s="551" t="e">
        <f t="shared" si="113"/>
        <v>#VALUE!</v>
      </c>
      <c r="AX107" s="551" t="e">
        <f t="shared" si="114"/>
        <v>#VALUE!</v>
      </c>
      <c r="AY107" s="9"/>
      <c r="AZ107" s="4" t="e">
        <f t="shared" si="128"/>
        <v>#VALUE!</v>
      </c>
      <c r="BA107" s="360" t="e">
        <f t="shared" si="115"/>
        <v>#VALUE!</v>
      </c>
      <c r="BB107" s="360" t="e">
        <f t="shared" si="129"/>
        <v>#VALUE!</v>
      </c>
      <c r="BC107" s="360" t="e">
        <f t="shared" si="130"/>
        <v>#VALUE!</v>
      </c>
      <c r="BD107" s="360" t="e">
        <f t="shared" si="131"/>
        <v>#VALUE!</v>
      </c>
      <c r="BE107" s="360">
        <f t="shared" si="132"/>
        <v>0.48102848245036256</v>
      </c>
      <c r="BK107" s="18"/>
      <c r="BL107" s="19"/>
    </row>
    <row r="108" spans="7:64" x14ac:dyDescent="0.2">
      <c r="G108">
        <v>99</v>
      </c>
      <c r="H108" s="548">
        <f t="shared" si="85"/>
        <v>60</v>
      </c>
      <c r="I108" s="4">
        <f t="shared" si="86"/>
        <v>1</v>
      </c>
      <c r="J108" s="360">
        <f t="shared" si="116"/>
        <v>9.9</v>
      </c>
      <c r="K108" s="360">
        <f t="shared" si="87"/>
        <v>9.9</v>
      </c>
      <c r="L108" s="4">
        <f t="shared" si="134"/>
        <v>1.8333333333333333</v>
      </c>
      <c r="M108" s="360">
        <f t="shared" si="89"/>
        <v>0.16984213073930868</v>
      </c>
      <c r="N108" s="4">
        <f t="shared" si="135"/>
        <v>1.4103067782112813</v>
      </c>
      <c r="O108" s="4">
        <f t="shared" si="117"/>
        <v>10.605153389105642</v>
      </c>
      <c r="P108" s="4">
        <f t="shared" si="118"/>
        <v>9.1948466108943592</v>
      </c>
      <c r="Q108" s="4">
        <f t="shared" si="136"/>
        <v>0</v>
      </c>
      <c r="R108" s="4">
        <f t="shared" si="119"/>
        <v>9.908367529554118</v>
      </c>
      <c r="S108" s="360">
        <f t="shared" si="137"/>
        <v>1.1781089652086685</v>
      </c>
      <c r="T108" s="360">
        <f t="shared" si="93"/>
        <v>0.3</v>
      </c>
      <c r="U108" s="360" t="e">
        <f t="shared" si="138"/>
        <v>#VALUE!</v>
      </c>
      <c r="V108" s="4">
        <f t="shared" si="120"/>
        <v>0.40712049902011854</v>
      </c>
      <c r="W108" s="360">
        <f t="shared" si="121"/>
        <v>3.3149420144478072E-4</v>
      </c>
      <c r="X108" s="360">
        <f t="shared" si="122"/>
        <v>3.3149420144478072E-4</v>
      </c>
      <c r="Y108" s="4">
        <f t="shared" si="123"/>
        <v>3.7205330496559994</v>
      </c>
      <c r="Z108" s="360">
        <f t="shared" si="124"/>
        <v>1.384236617358257E-2</v>
      </c>
      <c r="AA108" s="541">
        <f t="shared" si="125"/>
        <v>1.384236617358257E-2</v>
      </c>
      <c r="AB108" s="360">
        <f t="shared" si="126"/>
        <v>4.0834272461389824</v>
      </c>
      <c r="AC108" s="360">
        <f t="shared" si="139"/>
        <v>0.10004626844706117</v>
      </c>
      <c r="AD108" s="360">
        <f t="shared" si="96"/>
        <v>0.6462206300672676</v>
      </c>
      <c r="AE108" s="360">
        <f t="shared" si="97"/>
        <v>-0.52595999999999998</v>
      </c>
      <c r="AF108" s="360">
        <f t="shared" si="98"/>
        <v>0</v>
      </c>
      <c r="AG108" s="360" t="e">
        <f t="shared" si="140"/>
        <v>#VALUE!</v>
      </c>
      <c r="AH108" s="360">
        <f t="shared" si="100"/>
        <v>9.0278108656646214</v>
      </c>
      <c r="AI108" s="360">
        <f t="shared" si="141"/>
        <v>0.2037534225655305</v>
      </c>
      <c r="AJ108" s="360">
        <f t="shared" si="102"/>
        <v>0.11642399999999999</v>
      </c>
      <c r="AK108" s="360" t="e">
        <f t="shared" si="142"/>
        <v>#VALUE!</v>
      </c>
      <c r="AL108" s="360">
        <f t="shared" si="104"/>
        <v>0.11642399999999999</v>
      </c>
      <c r="AM108" s="360">
        <f t="shared" si="105"/>
        <v>2.1383999999999999</v>
      </c>
      <c r="AN108" s="360">
        <f t="shared" si="106"/>
        <v>0.49087873550361188</v>
      </c>
      <c r="AO108" s="360">
        <f t="shared" si="107"/>
        <v>2.0999999999999999E-3</v>
      </c>
      <c r="AP108" s="360">
        <f t="shared" si="108"/>
        <v>9.8999999999999991E-2</v>
      </c>
      <c r="AQ108" s="360">
        <f t="shared" si="109"/>
        <v>1.1483999999999999</v>
      </c>
      <c r="AR108" s="360">
        <f t="shared" si="110"/>
        <v>1.089</v>
      </c>
      <c r="AS108" s="360">
        <f t="shared" si="133"/>
        <v>0.1011</v>
      </c>
      <c r="AT108" s="360" t="e">
        <f t="shared" si="143"/>
        <v>#VALUE!</v>
      </c>
      <c r="AU108">
        <f t="shared" si="112"/>
        <v>99</v>
      </c>
      <c r="AV108" s="542" t="e">
        <f t="shared" si="127"/>
        <v>#VALUE!</v>
      </c>
      <c r="AW108" s="551" t="e">
        <f t="shared" si="113"/>
        <v>#VALUE!</v>
      </c>
      <c r="AX108" s="551" t="e">
        <f t="shared" si="114"/>
        <v>#VALUE!</v>
      </c>
      <c r="AY108" s="9"/>
      <c r="AZ108" s="4" t="e">
        <f t="shared" si="128"/>
        <v>#VALUE!</v>
      </c>
      <c r="BA108" s="360" t="e">
        <f t="shared" si="115"/>
        <v>#VALUE!</v>
      </c>
      <c r="BB108" s="360" t="e">
        <f t="shared" si="129"/>
        <v>#VALUE!</v>
      </c>
      <c r="BC108" s="360" t="e">
        <f t="shared" si="130"/>
        <v>#VALUE!</v>
      </c>
      <c r="BD108" s="360" t="e">
        <f t="shared" si="131"/>
        <v>#VALUE!</v>
      </c>
      <c r="BE108" s="360">
        <f t="shared" si="132"/>
        <v>0.49087873550361188</v>
      </c>
      <c r="BK108" s="18"/>
      <c r="BL108" s="19"/>
    </row>
    <row r="109" spans="7:64" x14ac:dyDescent="0.2">
      <c r="G109">
        <v>100</v>
      </c>
      <c r="H109" s="548">
        <f t="shared" si="85"/>
        <v>60</v>
      </c>
      <c r="I109" s="4">
        <f t="shared" si="86"/>
        <v>1</v>
      </c>
      <c r="J109" s="360">
        <f t="shared" si="116"/>
        <v>10</v>
      </c>
      <c r="K109" s="360">
        <f t="shared" si="87"/>
        <v>10</v>
      </c>
      <c r="L109" s="4">
        <f t="shared" si="134"/>
        <v>1.8518518518518519</v>
      </c>
      <c r="M109" s="360">
        <f t="shared" si="89"/>
        <v>0.16987419811713739</v>
      </c>
      <c r="N109" s="4">
        <f t="shared" si="135"/>
        <v>1.4105220916992971</v>
      </c>
      <c r="O109" s="4">
        <f t="shared" si="117"/>
        <v>10.705261045849648</v>
      </c>
      <c r="P109" s="4">
        <f t="shared" si="118"/>
        <v>9.2947389541503522</v>
      </c>
      <c r="Q109" s="4">
        <f t="shared" si="136"/>
        <v>0</v>
      </c>
      <c r="R109" s="4">
        <f t="shared" si="119"/>
        <v>10.008286452448507</v>
      </c>
      <c r="S109" s="360">
        <f t="shared" si="137"/>
        <v>1.201989572571172</v>
      </c>
      <c r="T109" s="360">
        <f t="shared" si="93"/>
        <v>0.3</v>
      </c>
      <c r="U109" s="360" t="e">
        <f t="shared" si="138"/>
        <v>#VALUE!</v>
      </c>
      <c r="V109" s="4">
        <f t="shared" si="120"/>
        <v>0.40718265467025161</v>
      </c>
      <c r="W109" s="360">
        <f t="shared" si="121"/>
        <v>3.3159542852862671E-4</v>
      </c>
      <c r="X109" s="360">
        <f t="shared" si="122"/>
        <v>3.3159542852862671E-4</v>
      </c>
      <c r="Y109" s="4">
        <f t="shared" si="123"/>
        <v>3.758334176456346</v>
      </c>
      <c r="Z109" s="360">
        <f t="shared" si="124"/>
        <v>1.4125075781919801E-2</v>
      </c>
      <c r="AA109" s="541">
        <f t="shared" si="125"/>
        <v>1.4125075781919801E-2</v>
      </c>
      <c r="AB109" s="360">
        <f t="shared" si="126"/>
        <v>4.1249950988424269</v>
      </c>
      <c r="AC109" s="360">
        <f t="shared" si="139"/>
        <v>0.10209350739284426</v>
      </c>
      <c r="AD109" s="360">
        <f t="shared" si="96"/>
        <v>0.65274811117905818</v>
      </c>
      <c r="AE109" s="360">
        <f t="shared" si="97"/>
        <v>-0.52595999999999998</v>
      </c>
      <c r="AF109" s="360">
        <f t="shared" si="98"/>
        <v>0</v>
      </c>
      <c r="AG109" s="360" t="e">
        <f t="shared" si="140"/>
        <v>#VALUE!</v>
      </c>
      <c r="AH109" s="360">
        <f t="shared" si="100"/>
        <v>9.1186738700750922</v>
      </c>
      <c r="AI109" s="360">
        <f t="shared" si="141"/>
        <v>0.20787553287197566</v>
      </c>
      <c r="AJ109" s="360">
        <f t="shared" si="102"/>
        <v>0.11759999999999998</v>
      </c>
      <c r="AK109" s="360" t="e">
        <f t="shared" si="142"/>
        <v>#VALUE!</v>
      </c>
      <c r="AL109" s="360">
        <f t="shared" si="104"/>
        <v>0.11759999999999998</v>
      </c>
      <c r="AM109" s="360">
        <f t="shared" si="105"/>
        <v>2.1599999999999997</v>
      </c>
      <c r="AN109" s="360">
        <f t="shared" si="106"/>
        <v>0.50082898857132163</v>
      </c>
      <c r="AO109" s="360">
        <f t="shared" si="107"/>
        <v>2.0999999999999999E-3</v>
      </c>
      <c r="AP109" s="360">
        <f t="shared" si="108"/>
        <v>9.8999999999999991E-2</v>
      </c>
      <c r="AQ109" s="360">
        <f t="shared" si="109"/>
        <v>1.1483999999999999</v>
      </c>
      <c r="AR109" s="360">
        <f t="shared" si="110"/>
        <v>1.089</v>
      </c>
      <c r="AS109" s="360">
        <f t="shared" si="133"/>
        <v>0.1011</v>
      </c>
      <c r="AT109" s="360" t="e">
        <f t="shared" si="143"/>
        <v>#VALUE!</v>
      </c>
      <c r="AU109">
        <f t="shared" si="112"/>
        <v>100</v>
      </c>
      <c r="AV109" s="542" t="e">
        <f t="shared" si="127"/>
        <v>#VALUE!</v>
      </c>
      <c r="AW109" s="551" t="e">
        <f t="shared" si="113"/>
        <v>#VALUE!</v>
      </c>
      <c r="AX109" s="551" t="e">
        <f t="shared" si="114"/>
        <v>#VALUE!</v>
      </c>
      <c r="AY109" s="9"/>
      <c r="AZ109" s="4" t="e">
        <f t="shared" si="128"/>
        <v>#VALUE!</v>
      </c>
      <c r="BA109" s="360" t="e">
        <f t="shared" si="115"/>
        <v>#VALUE!</v>
      </c>
      <c r="BB109" s="360" t="e">
        <f t="shared" si="129"/>
        <v>#VALUE!</v>
      </c>
      <c r="BC109" s="360" t="e">
        <f t="shared" si="130"/>
        <v>#VALUE!</v>
      </c>
      <c r="BD109" s="360" t="e">
        <f t="shared" si="131"/>
        <v>#VALUE!</v>
      </c>
      <c r="BE109" s="360">
        <f t="shared" si="132"/>
        <v>0.50082898857132163</v>
      </c>
      <c r="BK109" s="18"/>
      <c r="BL109" s="19"/>
    </row>
    <row r="110" spans="7:64" x14ac:dyDescent="0.2">
      <c r="H110" s="548"/>
      <c r="I110" s="4"/>
      <c r="J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
      <c r="H111" s="548"/>
      <c r="I111" s="4"/>
      <c r="J111" s="4"/>
      <c r="L111" s="4"/>
      <c r="R111" s="360"/>
      <c r="S111" s="360"/>
      <c r="T111" s="360"/>
      <c r="U111" s="360"/>
      <c r="W111" s="360"/>
      <c r="X111" s="360"/>
      <c r="Y111" s="360"/>
      <c r="Z111" s="360"/>
      <c r="AA111" s="541"/>
      <c r="AB111" s="360"/>
      <c r="AC111" s="360"/>
      <c r="AD111" s="360"/>
      <c r="AE111" s="360"/>
      <c r="AG111" s="360"/>
      <c r="AH111" s="360"/>
      <c r="AI111" s="360"/>
      <c r="AJ111" s="360"/>
      <c r="AK111" s="360"/>
      <c r="AL111" s="360"/>
      <c r="AM111" s="360"/>
      <c r="AN111" s="360"/>
      <c r="AO111" s="360"/>
      <c r="AP111" s="360"/>
      <c r="AQ111" s="360"/>
      <c r="AR111" s="360"/>
      <c r="AS111" s="360"/>
      <c r="AT111" s="360"/>
      <c r="AV111" s="542"/>
      <c r="AW111" s="551"/>
      <c r="AX111" s="551"/>
      <c r="AY111" s="9"/>
      <c r="AZ111" s="48"/>
      <c r="BA111" s="360"/>
      <c r="BB111" s="360"/>
      <c r="BC111" s="360"/>
      <c r="BD111" s="360"/>
      <c r="BE111" s="360"/>
    </row>
    <row r="112" spans="7:64" x14ac:dyDescent="0.2">
      <c r="H112" s="548"/>
      <c r="I112" s="4"/>
      <c r="J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
      <c r="H113" s="548"/>
      <c r="I113" s="4"/>
      <c r="J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
      <c r="H114" s="548"/>
      <c r="I114" s="4"/>
      <c r="J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
      <c r="H115" s="548"/>
      <c r="I115" s="4"/>
      <c r="J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
      <c r="H116" s="548"/>
      <c r="I116" s="4"/>
      <c r="J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
      <c r="H117" s="548"/>
      <c r="I117" s="4"/>
      <c r="J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
      <c r="H118" s="548"/>
      <c r="I118" s="4"/>
      <c r="J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
      <c r="H119" s="548"/>
      <c r="I119" s="4"/>
      <c r="J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
      <c r="H120" s="548"/>
      <c r="I120" s="4"/>
      <c r="J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
      <c r="H121" s="548"/>
      <c r="I121" s="4"/>
      <c r="J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
      <c r="H122" s="548"/>
      <c r="I122" s="4"/>
      <c r="J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
      <c r="H123" s="548"/>
      <c r="I123" s="4"/>
      <c r="J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
      <c r="H124" s="548"/>
      <c r="I124" s="4"/>
      <c r="J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
      <c r="H125" s="548"/>
      <c r="I125" s="4"/>
      <c r="J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
      <c r="H126" s="548"/>
      <c r="I126" s="4"/>
      <c r="J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
      <c r="H127" s="548"/>
      <c r="I127" s="4"/>
      <c r="J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
      <c r="H128" s="548"/>
      <c r="I128" s="4"/>
      <c r="J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
      <c r="H129" s="548"/>
      <c r="I129" s="4"/>
      <c r="J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
      <c r="H130" s="548"/>
      <c r="I130" s="4"/>
      <c r="J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
      <c r="H131" s="548"/>
      <c r="I131" s="4"/>
      <c r="J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
      <c r="H132" s="548"/>
      <c r="I132" s="4"/>
      <c r="J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
      <c r="H133" s="548"/>
      <c r="I133" s="4"/>
      <c r="J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
      <c r="H134" s="548"/>
      <c r="I134" s="4"/>
      <c r="J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
      <c r="H135" s="548"/>
      <c r="I135" s="4"/>
      <c r="J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
      <c r="H136" s="548"/>
      <c r="I136" s="4"/>
      <c r="J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
      <c r="H137" s="548"/>
      <c r="I137" s="4"/>
      <c r="J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
      <c r="H138" s="548"/>
      <c r="I138" s="4"/>
      <c r="J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
      <c r="H139" s="548"/>
      <c r="I139" s="4"/>
      <c r="J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
      <c r="H140" s="548"/>
      <c r="I140" s="4"/>
      <c r="J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
      <c r="H141" s="548"/>
      <c r="I141" s="4"/>
      <c r="J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
      <c r="H142" s="548"/>
      <c r="I142" s="4"/>
      <c r="J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
      <c r="H143" s="548"/>
      <c r="I143" s="4"/>
      <c r="J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
      <c r="H144" s="548"/>
      <c r="I144" s="4"/>
      <c r="J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
      <c r="H145" s="548"/>
      <c r="I145" s="4"/>
      <c r="J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
      <c r="H146" s="548"/>
      <c r="I146" s="4"/>
      <c r="J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
      <c r="H147" s="548"/>
      <c r="I147" s="4"/>
      <c r="J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
      <c r="H148" s="548"/>
      <c r="I148" s="4"/>
      <c r="J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
      <c r="H149" s="548"/>
      <c r="I149" s="4"/>
      <c r="J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
      <c r="H150" s="548"/>
      <c r="I150" s="4"/>
      <c r="J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
      <c r="H151" s="548"/>
      <c r="I151" s="4"/>
      <c r="J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
      <c r="H152" s="548"/>
      <c r="I152" s="4"/>
      <c r="J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
      <c r="H153" s="548"/>
      <c r="I153" s="4"/>
      <c r="J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
      <c r="H154" s="548"/>
      <c r="I154" s="4"/>
      <c r="J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
      <c r="H155" s="548"/>
      <c r="I155" s="4"/>
      <c r="J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
      <c r="H156" s="548"/>
      <c r="I156" s="4"/>
      <c r="J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
      <c r="H157" s="548"/>
      <c r="I157" s="4"/>
      <c r="J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
      <c r="H158" s="548"/>
      <c r="I158" s="4"/>
      <c r="J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
      <c r="H159" s="548"/>
      <c r="I159" s="4"/>
      <c r="J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
      <c r="H160" s="548"/>
      <c r="I160" s="4"/>
      <c r="J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
      <c r="H161" s="548"/>
      <c r="I161" s="4"/>
      <c r="J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
      <c r="H162" s="548"/>
      <c r="I162" s="4"/>
      <c r="J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
      <c r="H163" s="548"/>
      <c r="I163" s="4"/>
      <c r="J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
      <c r="H164" s="548"/>
      <c r="I164" s="4"/>
      <c r="J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
      <c r="H165" s="548"/>
      <c r="I165" s="4"/>
      <c r="J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
      <c r="H166" s="548"/>
      <c r="I166" s="4"/>
      <c r="J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
      <c r="H167" s="548"/>
      <c r="I167" s="4"/>
      <c r="J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
      <c r="H168" s="548"/>
      <c r="I168" s="4"/>
      <c r="J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
      <c r="H169" s="548"/>
      <c r="I169" s="4"/>
      <c r="J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
      <c r="H170" s="548"/>
      <c r="I170" s="4"/>
      <c r="J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
      <c r="H171" s="548"/>
      <c r="I171" s="4"/>
      <c r="J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
      <c r="H172" s="548"/>
      <c r="I172" s="4"/>
      <c r="J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
      <c r="H173" s="548"/>
      <c r="I173" s="4"/>
      <c r="J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
      <c r="H174" s="548"/>
      <c r="I174" s="4"/>
      <c r="J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
      <c r="H175" s="548"/>
      <c r="I175" s="4"/>
      <c r="J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
      <c r="H176" s="548"/>
      <c r="I176" s="4"/>
      <c r="J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
      <c r="H177" s="548"/>
      <c r="I177" s="4"/>
      <c r="J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
      <c r="H178" s="548"/>
      <c r="I178" s="4"/>
      <c r="J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
      <c r="H179" s="548"/>
      <c r="I179" s="4"/>
      <c r="J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
      <c r="H180" s="548"/>
      <c r="I180" s="4"/>
      <c r="J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
      <c r="H181" s="548"/>
      <c r="I181" s="4"/>
      <c r="J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
      <c r="H182" s="548"/>
      <c r="I182" s="4"/>
      <c r="J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
      <c r="H183" s="548"/>
      <c r="I183" s="4"/>
      <c r="J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
      <c r="H184" s="548"/>
      <c r="I184" s="4"/>
      <c r="J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
      <c r="H185" s="548"/>
      <c r="I185" s="4"/>
      <c r="J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
      <c r="H186" s="548"/>
      <c r="I186" s="4"/>
      <c r="J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
      <c r="H187" s="548"/>
      <c r="I187" s="4"/>
      <c r="J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
      <c r="H188" s="548"/>
      <c r="I188" s="4"/>
      <c r="J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
      <c r="H189" s="548"/>
      <c r="I189" s="4"/>
      <c r="J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
      <c r="H190" s="548"/>
      <c r="I190" s="4"/>
      <c r="J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
      <c r="H191" s="548"/>
      <c r="I191" s="4"/>
      <c r="J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
      <c r="H192" s="548"/>
      <c r="I192" s="4"/>
      <c r="J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
      <c r="H193" s="548"/>
      <c r="I193" s="4"/>
      <c r="J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
      <c r="H194" s="548"/>
      <c r="I194" s="4"/>
      <c r="J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
      <c r="H195" s="548"/>
      <c r="I195" s="4"/>
      <c r="J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
      <c r="H196" s="548"/>
      <c r="I196" s="4"/>
      <c r="J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
      <c r="H197" s="548"/>
      <c r="I197" s="4"/>
      <c r="J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
      <c r="H198" s="548"/>
      <c r="I198" s="4"/>
      <c r="J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
      <c r="H199" s="548"/>
      <c r="I199" s="4"/>
      <c r="J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
      <c r="H200" s="548"/>
      <c r="I200" s="4"/>
      <c r="J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
      <c r="H201" s="548"/>
      <c r="I201" s="4"/>
      <c r="J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
      <c r="H202" s="548"/>
      <c r="I202" s="4"/>
      <c r="J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
      <c r="H203" s="548"/>
      <c r="I203" s="4"/>
      <c r="J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
      <c r="H204" s="548"/>
      <c r="I204" s="4"/>
      <c r="J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
      <c r="H205" s="548"/>
      <c r="I205" s="4"/>
      <c r="J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
      <c r="H206" s="548"/>
      <c r="I206" s="4"/>
      <c r="J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
      <c r="H207" s="548"/>
      <c r="I207" s="4"/>
      <c r="J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
      <c r="H208" s="548"/>
      <c r="I208" s="4"/>
      <c r="J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
      <c r="H209" s="548"/>
      <c r="I209" s="4"/>
      <c r="J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AZ7:BE7"/>
    <mergeCell ref="AB7:AG7"/>
    <mergeCell ref="AH7:AK7"/>
    <mergeCell ref="AO7:AS7"/>
    <mergeCell ref="AT7:AX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BM209"/>
  <sheetViews>
    <sheetView topLeftCell="AA1" zoomScaleNormal="100" workbookViewId="0">
      <pane ySplit="8" topLeftCell="A95" activePane="bottomLeft" state="frozen"/>
      <selection activeCell="F1" sqref="F1"/>
      <selection pane="bottomLeft" activeCell="AN110" sqref="AN110"/>
    </sheetView>
  </sheetViews>
  <sheetFormatPr defaultRowHeight="12.75" x14ac:dyDescent="0.2"/>
  <cols>
    <col min="1" max="1" width="19.85546875" customWidth="1"/>
    <col min="2" max="2" width="13.140625" bestFit="1" customWidth="1"/>
    <col min="4" max="4" width="74.5703125" customWidth="1"/>
    <col min="6" max="6" width="9.140625" customWidth="1"/>
    <col min="7" max="7" width="6.85546875" customWidth="1"/>
    <col min="8" max="8" width="9.140625" style="547"/>
    <col min="9" max="9" width="9.85546875" customWidth="1"/>
    <col min="10" max="10" width="8.140625" customWidth="1"/>
    <col min="11" max="12" width="7.42578125" customWidth="1"/>
    <col min="13" max="13" width="10.7109375" style="360" customWidth="1"/>
    <col min="14" max="16" width="8.85546875" style="4" customWidth="1"/>
    <col min="17" max="17" width="11" style="4" customWidth="1"/>
    <col min="18" max="18" width="8" style="4" customWidth="1"/>
    <col min="19" max="19" width="9.42578125" style="311" customWidth="1"/>
    <col min="20" max="20" width="8" customWidth="1"/>
    <col min="21" max="21" width="9.28515625" customWidth="1"/>
    <col min="22" max="22" width="8.85546875" style="4" customWidth="1"/>
    <col min="23" max="23" width="9.85546875" customWidth="1"/>
    <col min="24" max="24" width="10.7109375" customWidth="1"/>
    <col min="25" max="25" width="9.7109375" style="311" customWidth="1"/>
    <col min="26" max="26" width="10.5703125" customWidth="1"/>
    <col min="28" max="29" width="8.5703125" customWidth="1"/>
    <col min="30" max="30" width="10" customWidth="1"/>
    <col min="31" max="31" width="12.28515625" customWidth="1"/>
    <col min="32" max="32" width="8" customWidth="1"/>
    <col min="33" max="33" width="9.85546875" customWidth="1"/>
    <col min="34" max="35" width="8.85546875" customWidth="1"/>
    <col min="36" max="36" width="10.5703125" customWidth="1"/>
    <col min="37" max="37" width="10.28515625" customWidth="1"/>
    <col min="38" max="38" width="13.7109375" customWidth="1"/>
    <col min="39" max="39" width="12" style="311" customWidth="1"/>
    <col min="40" max="40" width="11.5703125" customWidth="1"/>
    <col min="41" max="41" width="9.28515625" customWidth="1"/>
    <col min="42" max="44" width="10.42578125" customWidth="1"/>
    <col min="46" max="46" width="8.42578125" style="4" customWidth="1"/>
    <col min="47" max="47" width="7.28515625" customWidth="1"/>
    <col min="48" max="48" width="10.140625" style="9" customWidth="1"/>
    <col min="49" max="49" width="12.42578125" style="379" customWidth="1"/>
    <col min="50" max="50" width="11.42578125" style="379" customWidth="1"/>
    <col min="51" max="51" width="3.28515625" customWidth="1"/>
    <col min="52" max="52" width="7.85546875" style="360" customWidth="1"/>
    <col min="53" max="53" width="9.140625" style="311"/>
    <col min="54" max="54" width="10.28515625" style="311" customWidth="1"/>
    <col min="55" max="55" width="12.140625" style="311" customWidth="1"/>
    <col min="56" max="56" width="8.85546875" style="311" customWidth="1"/>
    <col min="57" max="57" width="7.85546875" customWidth="1"/>
    <col min="61" max="61" width="28.42578125" customWidth="1"/>
    <col min="64" max="64" width="12.42578125" bestFit="1" customWidth="1"/>
  </cols>
  <sheetData>
    <row r="1" spans="1:65" ht="12.75" customHeight="1" x14ac:dyDescent="0.2">
      <c r="A1" s="758" t="s">
        <v>753</v>
      </c>
      <c r="B1" s="758"/>
      <c r="C1" s="758"/>
      <c r="D1" s="758"/>
    </row>
    <row r="2" spans="1:65" ht="12.75" customHeight="1" x14ac:dyDescent="0.2">
      <c r="A2" s="758"/>
      <c r="B2" s="758"/>
      <c r="C2" s="758"/>
      <c r="D2" s="758"/>
      <c r="H2" s="552" t="e">
        <f>AV19</f>
        <v>#VALUE!</v>
      </c>
      <c r="I2" s="114" t="s">
        <v>602</v>
      </c>
      <c r="AK2" s="114"/>
    </row>
    <row r="3" spans="1:65" ht="12.75" customHeight="1" x14ac:dyDescent="0.2">
      <c r="A3" s="758"/>
      <c r="B3" s="758"/>
      <c r="C3" s="758"/>
      <c r="D3" s="758"/>
      <c r="H3" s="552" t="e">
        <f>AV59</f>
        <v>#VALUE!</v>
      </c>
      <c r="I3" s="114" t="s">
        <v>604</v>
      </c>
      <c r="AK3" s="114"/>
    </row>
    <row r="4" spans="1:65" ht="12.75" customHeight="1" x14ac:dyDescent="0.2">
      <c r="A4" s="758"/>
      <c r="B4" s="758"/>
      <c r="C4" s="758"/>
      <c r="D4" s="758"/>
      <c r="H4" s="552" t="e">
        <f>AV109</f>
        <v>#VALUE!</v>
      </c>
      <c r="I4" s="114" t="s">
        <v>603</v>
      </c>
      <c r="AK4" s="114"/>
      <c r="AM4" s="311">
        <f>QrrSky_Q4</f>
        <v>0</v>
      </c>
    </row>
    <row r="5" spans="1:65" x14ac:dyDescent="0.2">
      <c r="A5" s="10"/>
      <c r="B5" s="11"/>
      <c r="C5" s="6"/>
      <c r="D5" s="6"/>
    </row>
    <row r="6" spans="1:65" ht="13.5" customHeight="1" thickBot="1" x14ac:dyDescent="0.25">
      <c r="A6" s="759" t="s">
        <v>474</v>
      </c>
      <c r="B6" s="759"/>
      <c r="C6" s="759"/>
      <c r="D6" s="759"/>
    </row>
    <row r="7" spans="1:65" ht="13.5" thickBot="1" x14ac:dyDescent="0.25">
      <c r="A7" s="759"/>
      <c r="B7" s="759"/>
      <c r="C7" s="759"/>
      <c r="D7" s="759"/>
      <c r="G7" s="755" t="s">
        <v>595</v>
      </c>
      <c r="H7" s="756"/>
      <c r="I7" s="756"/>
      <c r="J7" s="756"/>
      <c r="K7" s="756"/>
      <c r="L7" s="768"/>
      <c r="M7" s="756"/>
      <c r="N7" s="757"/>
      <c r="O7" s="661"/>
      <c r="P7" s="661"/>
      <c r="Q7" s="661"/>
      <c r="R7" s="755" t="s">
        <v>485</v>
      </c>
      <c r="S7" s="756"/>
      <c r="T7" s="756"/>
      <c r="U7" s="757"/>
      <c r="V7" s="760" t="s">
        <v>25</v>
      </c>
      <c r="W7" s="761"/>
      <c r="X7" s="762"/>
      <c r="Y7" s="755" t="s">
        <v>57</v>
      </c>
      <c r="Z7" s="756"/>
      <c r="AA7" s="757"/>
      <c r="AB7" s="755" t="s">
        <v>592</v>
      </c>
      <c r="AC7" s="756"/>
      <c r="AD7" s="756"/>
      <c r="AE7" s="768"/>
      <c r="AF7" s="756"/>
      <c r="AG7" s="757"/>
      <c r="AH7" s="755" t="s">
        <v>593</v>
      </c>
      <c r="AI7" s="756"/>
      <c r="AJ7" s="756"/>
      <c r="AK7" s="757"/>
      <c r="AL7" s="466" t="s">
        <v>201</v>
      </c>
      <c r="AM7" s="468" t="s">
        <v>458</v>
      </c>
      <c r="AN7" s="467" t="s">
        <v>503</v>
      </c>
      <c r="AO7" s="764" t="s">
        <v>492</v>
      </c>
      <c r="AP7" s="765"/>
      <c r="AQ7" s="765"/>
      <c r="AR7" s="766"/>
      <c r="AS7" s="767"/>
      <c r="AT7" s="755" t="s">
        <v>500</v>
      </c>
      <c r="AU7" s="756"/>
      <c r="AV7" s="756"/>
      <c r="AW7" s="756"/>
      <c r="AX7" s="756"/>
      <c r="AY7" s="543"/>
      <c r="AZ7" s="763" t="s">
        <v>501</v>
      </c>
      <c r="BA7" s="763"/>
      <c r="BB7" s="763"/>
      <c r="BC7" s="763"/>
      <c r="BD7" s="763"/>
      <c r="BE7" s="763"/>
    </row>
    <row r="8" spans="1:65" ht="77.25" thickBot="1" x14ac:dyDescent="0.45">
      <c r="A8" s="606" t="s">
        <v>108</v>
      </c>
      <c r="B8" s="13"/>
      <c r="C8" s="13"/>
      <c r="D8" s="6"/>
      <c r="G8" s="451" t="s">
        <v>53</v>
      </c>
      <c r="H8" s="546" t="s">
        <v>3</v>
      </c>
      <c r="I8" s="538" t="s">
        <v>594</v>
      </c>
      <c r="J8" s="452" t="s">
        <v>5</v>
      </c>
      <c r="K8" s="452" t="s">
        <v>305</v>
      </c>
      <c r="L8" s="452"/>
      <c r="M8" s="463" t="s">
        <v>596</v>
      </c>
      <c r="N8" s="540" t="s">
        <v>486</v>
      </c>
      <c r="O8" s="662" t="s">
        <v>830</v>
      </c>
      <c r="P8" s="463" t="s">
        <v>843</v>
      </c>
      <c r="Q8" s="662" t="s">
        <v>844</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587</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x14ac:dyDescent="0.2">
      <c r="A9" s="14" t="s">
        <v>55</v>
      </c>
      <c r="B9" s="15" t="s">
        <v>111</v>
      </c>
      <c r="C9" s="16" t="s">
        <v>76</v>
      </c>
      <c r="D9" s="17" t="s">
        <v>107</v>
      </c>
      <c r="G9">
        <v>0</v>
      </c>
      <c r="H9" s="548">
        <f t="shared" ref="H9:H72" si="0">Vin</f>
        <v>60</v>
      </c>
      <c r="I9" s="4">
        <f t="shared" ref="I9:I40" si="1">MODE</f>
        <v>1</v>
      </c>
      <c r="J9">
        <v>0</v>
      </c>
      <c r="K9" s="4">
        <f t="shared" ref="K9:K40" si="2">Vout2*J9/(Vin*Efficiency)</f>
        <v>0</v>
      </c>
      <c r="L9" s="4"/>
      <c r="M9" s="360">
        <f t="shared" ref="M9:M40" si="3">(Vout2+(Rdson4+Rs+Rdcr)*J9)/(Vin+(Rs+Rdson2-Rdson1)*J9)</f>
        <v>0.83333333333333337</v>
      </c>
      <c r="N9" s="4">
        <f t="shared" ref="N9:N40" si="4">(Vin-(Rdson3+Rdcr2)*J9-Vout2)*M9/(Fsw*Lo_2)</f>
        <v>1.3888888888888888</v>
      </c>
      <c r="O9" s="4">
        <f>J9+N9/2</f>
        <v>0.69444444444444442</v>
      </c>
      <c r="P9" s="4">
        <f>J9-N9/2</f>
        <v>-0.69444444444444442</v>
      </c>
      <c r="Q9" s="4">
        <f t="shared" ref="Q9:Q40" si="5">IF(MIN(Vin, -P9/(Coss_Q3+Coss_Q4)*0.00000002)&lt;0, 0, MIN(Vin, -P9/(Coss_Q3+Coss_Q4)*0.00000002))</f>
        <v>7.260266016146832</v>
      </c>
      <c r="R9" s="4">
        <f t="shared" ref="R9:R40" si="6">SQRT(J9^2+(N9^2)/12)</f>
        <v>0.40093768693724008</v>
      </c>
      <c r="S9" s="360">
        <f t="shared" ref="S9:S40" si="7">R9^2*Rdcr2</f>
        <v>1.9290123456790122E-3</v>
      </c>
      <c r="T9" s="360">
        <f t="shared" ref="T9:T40" si="8">Core_Loss_Ch1</f>
        <v>0.3</v>
      </c>
      <c r="U9" s="360" t="e">
        <f t="shared" ref="U9:U40" si="9">(T9+S9*(1+Ltc*(Ta-25)))/(1-S9*Ltc*ThetaCa)</f>
        <v>#VALUE!</v>
      </c>
      <c r="V9" s="4">
        <f>N9/SQRT(12)</f>
        <v>0.40093768693724013</v>
      </c>
      <c r="W9" s="360">
        <f t="shared" ref="W9:W40" si="10">Cout2_ESR*V9^2</f>
        <v>3.2150205761316878E-4</v>
      </c>
      <c r="X9" s="360">
        <f>W9</f>
        <v>3.2150205761316878E-4</v>
      </c>
      <c r="Y9" s="4">
        <f t="shared" ref="Y9:Y40" si="11">SQRT(M9*(1-M9))*SQRT(J9^2+(N9^2)/12)</f>
        <v>0.14942065378886635</v>
      </c>
      <c r="Z9" s="360">
        <f t="shared" ref="Z9:Z73" si="12">RCinEsr*Y9^2</f>
        <v>2.2326531778692261E-5</v>
      </c>
      <c r="AA9" s="541">
        <f>Z9</f>
        <v>2.2326531778692261E-5</v>
      </c>
      <c r="AB9" s="360">
        <f t="shared" ref="AB9:AB40" si="13">SQRT(M9)*SQRT(J9^2+(N9^2)/12)</f>
        <v>0.36600435881578464</v>
      </c>
      <c r="AC9" s="360">
        <f t="shared" ref="AC9:AC40" si="14">Rdson3*AB9^2</f>
        <v>8.0375514403292173E-4</v>
      </c>
      <c r="AD9" s="360">
        <f t="shared" ref="AD9:AD40" si="15">(Vin*J9/2)*Fsw*(Tr_Ch2+Tf_Ch2)</f>
        <v>0</v>
      </c>
      <c r="AE9" s="360">
        <f t="shared" ref="AE9:AE40" si="16">(0.5*Coss_Q3*(Vin-Q9)^2-0.5*Coss_Q4*(Vin-Q9)^2+(Qoss_Q4*(Vin-Q9)/Vin)*Vin)*Fsw</f>
        <v>-0.29150281139137996</v>
      </c>
      <c r="AF9" s="360">
        <f t="shared" ref="AF9:AF40" si="17">IF(J9&gt;N9/2,0,ABS(J9-N9/2)*Vsd_Q3*Deadtime*Fsw)</f>
        <v>4.0833333333333329E-3</v>
      </c>
      <c r="AG9" s="360" t="e">
        <f t="shared" ref="AG9:AG40" si="18">(AF9+AE9+AD9+AC9*(1+RdsonTopTc*Ta-RdsonTopTc*25))/(1-AC9*RdsonTopTc*ThetaJA_Q2)</f>
        <v>#VALUE!</v>
      </c>
      <c r="AH9" s="360">
        <f t="shared" ref="AH9:AH40" si="19">SQRT((1-M9))*SQRT(J9^2+(N9^2)/12)</f>
        <v>0.16368212527466375</v>
      </c>
      <c r="AI9" s="360">
        <f t="shared" ref="AI9:AI40" si="20">Rdson4*AH9^2</f>
        <v>6.6979595336076793E-5</v>
      </c>
      <c r="AJ9" s="360">
        <f t="shared" ref="AJ9:AJ40" si="21">IF(J9&lt;N9/2,Deadtime*Fsw*IF(VfdSky_Q4&gt;0,0,Vsd_Q4)*(J9+N9/2),2*Deadtime*Fsw*IF(VfdSky_Q4&gt;0,0,Vsd_Q4)*J9)</f>
        <v>4.083333333333332E-3</v>
      </c>
      <c r="AK9" s="360" t="e">
        <f t="shared" ref="AK9:AK40" si="22">(AJ9+AI9*(1+RdsonBotTc*Ta-RdsonBotTc*25))/(1-AI9*RdsonBotTc*ThetaJA_Q3)</f>
        <v>#VALUE!</v>
      </c>
      <c r="AL9" s="360">
        <f t="shared" ref="AL9:AL40" si="23">2*Deadtime*Fsw*IF(VfdSky_Q4&gt;0,VfdSky_Q4,Vsd_Q4)*J9</f>
        <v>0</v>
      </c>
      <c r="AM9" s="360">
        <f t="shared" ref="AM9:AM40" si="24">IF(QrrSky_Q4&gt;0,QrrSky_Q4,Qrr_Q4*J9/Iout2)*Fsw*Vin</f>
        <v>0</v>
      </c>
      <c r="AN9" s="360">
        <f t="shared" ref="AN9:AN40" si="25">CHOOSE(SENSING_TYPE, Rs_Ch2*R9^2, 0)</f>
        <v>8.0375514403292173E-4</v>
      </c>
      <c r="AO9" s="360">
        <f t="shared" ref="AO9:AO40" si="26">Iq*Vin</f>
        <v>2.0999999999999999E-3</v>
      </c>
      <c r="AP9" s="360">
        <f t="shared" ref="AP9:AP40" si="27">IF(Ext_VCC=1,  (Qg_Q3+Qg_Q4)*Fsw*VCC, (Qg_Q3+Qg_Q4)*Fsw*Vin)</f>
        <v>9.8999999999999991E-2</v>
      </c>
      <c r="AQ9" s="360">
        <f t="shared" ref="AQ9:AQ40" si="28">(Vin-VCC)*Fsw*(Qg_Q3+Qg_Q4)+(RdsonDRT+RdsonDRT2)*Fsw*Qg_Q3*VCC/(RdsonDRT+2*Rgate3+RdsonDRT2)+(RdsonDRB+RdsonDRB2)*Fsw*Qg_Q4*VCC/(RdsonDRB+2*Rgate4+RdsonDRB2)</f>
        <v>1.1483999999999999</v>
      </c>
      <c r="AR9" s="360">
        <f t="shared" ref="AR9:AR40" si="29">(Qg_Q3+Qg_Q4)*Fsw*(Vin-VCC)</f>
        <v>1.089</v>
      </c>
      <c r="AS9" s="360">
        <f>SUM(AO9:AP9)</f>
        <v>0.1011</v>
      </c>
      <c r="AT9" s="360" t="e">
        <f>SUM(U9,X9,AA9,AG9,AK9,AL9,AM9,AS9,AN9)</f>
        <v>#VALUE!</v>
      </c>
      <c r="AU9">
        <f t="shared" ref="AU9:AU40" si="30">Vout2*J9</f>
        <v>0</v>
      </c>
      <c r="AV9" s="542" t="e">
        <f>AU9/(AU9+AT9)</f>
        <v>#VALUE!</v>
      </c>
      <c r="AW9" s="551" t="e">
        <f t="shared" ref="AW9:AW40" si="31">ThetaJA_Q1*BC9</f>
        <v>#VALUE!</v>
      </c>
      <c r="AX9" s="551" t="e">
        <f t="shared" ref="AX9:AX40" si="32">ThetaJA_Q2*BD9</f>
        <v>#VALUE!</v>
      </c>
      <c r="AZ9" s="4" t="e">
        <f>AV9*100</f>
        <v>#VALUE!</v>
      </c>
      <c r="BA9" s="360" t="e">
        <f t="shared" ref="BA9:BA40" si="33">U9</f>
        <v>#VALUE!</v>
      </c>
      <c r="BB9" s="360" t="e">
        <f>AG9+AK9+AM9</f>
        <v>#VALUE!</v>
      </c>
      <c r="BC9" s="360" t="e">
        <f>AG9+AM9*0.66</f>
        <v>#VALUE!</v>
      </c>
      <c r="BD9" s="360" t="e">
        <f>AK9+AM9*0.33</f>
        <v>#VALUE!</v>
      </c>
      <c r="BE9" s="360">
        <f>AN9</f>
        <v>8.0375514403292173E-4</v>
      </c>
      <c r="BJ9" s="18"/>
      <c r="BK9" s="18"/>
      <c r="BL9" s="18"/>
      <c r="BM9" s="19"/>
    </row>
    <row r="10" spans="1:65" x14ac:dyDescent="0.2">
      <c r="A10" s="495"/>
      <c r="B10" s="24"/>
      <c r="C10" s="16"/>
      <c r="D10" s="17"/>
      <c r="G10">
        <v>1</v>
      </c>
      <c r="H10" s="548">
        <f t="shared" si="0"/>
        <v>60</v>
      </c>
      <c r="I10" s="4">
        <f t="shared" si="1"/>
        <v>1</v>
      </c>
      <c r="J10" s="360">
        <f t="shared" ref="J10:J41" si="34">Iout2*G10/100</f>
        <v>0.1</v>
      </c>
      <c r="K10" s="4">
        <f t="shared" si="2"/>
        <v>9.2592592592592587E-2</v>
      </c>
      <c r="L10" s="4"/>
      <c r="M10" s="360">
        <f t="shared" si="3"/>
        <v>0.83336374992395856</v>
      </c>
      <c r="N10" s="4">
        <f t="shared" si="4"/>
        <v>1.3886895740816199</v>
      </c>
      <c r="O10" s="4">
        <f t="shared" ref="O10:O73" si="35">J10+N10/2</f>
        <v>0.79434478704080991</v>
      </c>
      <c r="P10" s="4">
        <f t="shared" ref="P10:P73" si="36">J10-N10/2</f>
        <v>-0.59434478704080995</v>
      </c>
      <c r="Q10" s="4">
        <f t="shared" si="5"/>
        <v>6.2137458132860424</v>
      </c>
      <c r="R10" s="4">
        <f t="shared" si="6"/>
        <v>0.41316448834604513</v>
      </c>
      <c r="S10" s="360">
        <f t="shared" si="7"/>
        <v>2.0484587331629912E-3</v>
      </c>
      <c r="T10" s="360">
        <f t="shared" si="8"/>
        <v>0.3</v>
      </c>
      <c r="U10" s="360" t="e">
        <f t="shared" si="9"/>
        <v>#VALUE!</v>
      </c>
      <c r="V10" s="4">
        <f t="shared" ref="V10:V73" si="37">N10/SQRT(12)</f>
        <v>0.400880149708425</v>
      </c>
      <c r="W10" s="360">
        <f t="shared" si="10"/>
        <v>3.214097888604985E-4</v>
      </c>
      <c r="X10" s="360">
        <f t="shared" ref="X10:X73" si="38">W10</f>
        <v>3.214097888604985E-4</v>
      </c>
      <c r="Y10" s="4">
        <f t="shared" si="11"/>
        <v>0.15396607239947524</v>
      </c>
      <c r="Z10" s="360">
        <f t="shared" si="12"/>
        <v>2.3705551450120448E-5</v>
      </c>
      <c r="AA10" s="541">
        <f t="shared" ref="AA10:AA73" si="39">Z10</f>
        <v>2.3705551450120448E-5</v>
      </c>
      <c r="AB10" s="360">
        <f t="shared" si="13"/>
        <v>0.3771727335754349</v>
      </c>
      <c r="AC10" s="360">
        <f t="shared" si="14"/>
        <v>8.5355562571659603E-4</v>
      </c>
      <c r="AD10" s="360">
        <f t="shared" si="15"/>
        <v>6.5274811117905819E-3</v>
      </c>
      <c r="AE10" s="360">
        <f t="shared" si="16"/>
        <v>-0.3223973889423537</v>
      </c>
      <c r="AF10" s="360">
        <f t="shared" si="17"/>
        <v>3.4947473477999619E-3</v>
      </c>
      <c r="AG10" s="360" t="e">
        <f t="shared" si="18"/>
        <v>#VALUE!</v>
      </c>
      <c r="AH10" s="360">
        <f t="shared" si="19"/>
        <v>0.16865830390906719</v>
      </c>
      <c r="AI10" s="360">
        <f t="shared" si="20"/>
        <v>7.1114058693708175E-5</v>
      </c>
      <c r="AJ10" s="360">
        <f t="shared" si="21"/>
        <v>4.6707473477999618E-3</v>
      </c>
      <c r="AK10" s="360" t="e">
        <f t="shared" si="22"/>
        <v>#VALUE!</v>
      </c>
      <c r="AL10" s="360">
        <f t="shared" si="23"/>
        <v>1.176E-3</v>
      </c>
      <c r="AM10" s="360">
        <f t="shared" si="24"/>
        <v>2.1600000000000001E-2</v>
      </c>
      <c r="AN10" s="360">
        <f t="shared" si="25"/>
        <v>8.5352447215124641E-4</v>
      </c>
      <c r="AO10" s="360">
        <f t="shared" si="26"/>
        <v>2.0999999999999999E-3</v>
      </c>
      <c r="AP10" s="360">
        <f t="shared" si="27"/>
        <v>9.8999999999999991E-2</v>
      </c>
      <c r="AQ10" s="360">
        <f t="shared" si="28"/>
        <v>1.1483999999999999</v>
      </c>
      <c r="AR10" s="360">
        <f t="shared" si="29"/>
        <v>1.089</v>
      </c>
      <c r="AS10" s="360">
        <f t="shared" ref="AS10" si="40">SUM(AO10:AP10)</f>
        <v>0.1011</v>
      </c>
      <c r="AT10" s="360" t="e">
        <f t="shared" ref="AT10:AT73" si="41">SUM(U10,X10,AA10,AG10,AK10,AL10,AM10,AS10,AN10)</f>
        <v>#VALUE!</v>
      </c>
      <c r="AU10">
        <f t="shared" si="30"/>
        <v>5</v>
      </c>
      <c r="AV10" s="542" t="e">
        <f t="shared" ref="AV10:AV73" si="42">AU10/(AU10+AT10)</f>
        <v>#VALUE!</v>
      </c>
      <c r="AW10" s="551" t="e">
        <f t="shared" si="31"/>
        <v>#VALUE!</v>
      </c>
      <c r="AX10" s="551" t="e">
        <f t="shared" si="32"/>
        <v>#VALUE!</v>
      </c>
      <c r="AY10" s="9"/>
      <c r="AZ10" s="4" t="e">
        <f t="shared" ref="AZ10:AZ73" si="43">AV10*100</f>
        <v>#VALUE!</v>
      </c>
      <c r="BA10" s="360" t="e">
        <f t="shared" si="33"/>
        <v>#VALUE!</v>
      </c>
      <c r="BB10" s="360" t="e">
        <f t="shared" ref="BB10:BB73" si="44">AG10+AK10+AM10</f>
        <v>#VALUE!</v>
      </c>
      <c r="BC10" s="360" t="e">
        <f t="shared" ref="BC10:BC73" si="45">AG10+AM10*0.66</f>
        <v>#VALUE!</v>
      </c>
      <c r="BD10" s="360" t="e">
        <f t="shared" ref="BD10:BD73" si="46">AK10+AM10*0.33</f>
        <v>#VALUE!</v>
      </c>
      <c r="BE10" s="360">
        <f t="shared" ref="BE10:BE73" si="47">AN10</f>
        <v>8.5352447215124641E-4</v>
      </c>
      <c r="BJ10" s="18"/>
      <c r="BK10" s="18"/>
      <c r="BL10" s="18"/>
      <c r="BM10" s="19"/>
    </row>
    <row r="11" spans="1:65" x14ac:dyDescent="0.2">
      <c r="A11" s="20" t="s">
        <v>3</v>
      </c>
      <c r="B11" s="5">
        <f>Vin</f>
        <v>60</v>
      </c>
      <c r="C11" s="440" t="s">
        <v>0</v>
      </c>
      <c r="D11" s="21" t="s">
        <v>3</v>
      </c>
      <c r="G11">
        <v>2</v>
      </c>
      <c r="H11" s="548">
        <f t="shared" si="0"/>
        <v>60</v>
      </c>
      <c r="I11" s="4">
        <f t="shared" si="1"/>
        <v>1</v>
      </c>
      <c r="J11" s="360">
        <f t="shared" si="34"/>
        <v>0.2</v>
      </c>
      <c r="K11" s="4">
        <f t="shared" si="2"/>
        <v>0.18518518518518517</v>
      </c>
      <c r="L11" s="4"/>
      <c r="M11" s="360">
        <f t="shared" si="3"/>
        <v>0.83339416636250152</v>
      </c>
      <c r="N11" s="4">
        <f t="shared" si="4"/>
        <v>1.3884902407710182</v>
      </c>
      <c r="O11" s="4">
        <f t="shared" si="35"/>
        <v>0.89424512038550907</v>
      </c>
      <c r="P11" s="4">
        <f t="shared" si="36"/>
        <v>-0.49424512038550911</v>
      </c>
      <c r="Q11" s="4">
        <f t="shared" si="5"/>
        <v>5.167225513701089</v>
      </c>
      <c r="R11" s="4">
        <f t="shared" si="6"/>
        <v>0.4479495087540894</v>
      </c>
      <c r="S11" s="360">
        <f t="shared" si="7"/>
        <v>2.4079051487163601E-3</v>
      </c>
      <c r="T11" s="360">
        <f t="shared" si="8"/>
        <v>0.3</v>
      </c>
      <c r="U11" s="360" t="e">
        <f t="shared" si="9"/>
        <v>#VALUE!</v>
      </c>
      <c r="V11" s="4">
        <f t="shared" si="37"/>
        <v>0.40082260713815787</v>
      </c>
      <c r="W11" s="360">
        <f t="shared" si="10"/>
        <v>3.2131752478606009E-4</v>
      </c>
      <c r="X11" s="360">
        <f t="shared" si="38"/>
        <v>3.2131752478606009E-4</v>
      </c>
      <c r="Y11" s="4">
        <f t="shared" si="11"/>
        <v>0.16691654808652484</v>
      </c>
      <c r="Z11" s="360">
        <f t="shared" si="12"/>
        <v>2.7861134025121157E-5</v>
      </c>
      <c r="AA11" s="541">
        <f t="shared" si="39"/>
        <v>2.7861134025121157E-5</v>
      </c>
      <c r="AB11" s="360">
        <f t="shared" si="13"/>
        <v>0.40893500951602385</v>
      </c>
      <c r="AC11" s="360">
        <f t="shared" si="14"/>
        <v>1.0033670520472231E-3</v>
      </c>
      <c r="AD11" s="360">
        <f t="shared" si="15"/>
        <v>1.3054962223581164E-2</v>
      </c>
      <c r="AE11" s="360">
        <f t="shared" si="16"/>
        <v>-0.35426911097033575</v>
      </c>
      <c r="AF11" s="360">
        <f t="shared" si="17"/>
        <v>2.9061613078667937E-3</v>
      </c>
      <c r="AG11" s="360" t="e">
        <f t="shared" si="18"/>
        <v>#VALUE!</v>
      </c>
      <c r="AH11" s="360">
        <f t="shared" si="19"/>
        <v>0.18284124366553486</v>
      </c>
      <c r="AI11" s="360">
        <f t="shared" si="20"/>
        <v>8.357730096289873E-5</v>
      </c>
      <c r="AJ11" s="360">
        <f t="shared" si="21"/>
        <v>5.2581613078667927E-3</v>
      </c>
      <c r="AK11" s="360" t="e">
        <f t="shared" si="22"/>
        <v>#VALUE!</v>
      </c>
      <c r="AL11" s="360">
        <f t="shared" si="23"/>
        <v>2.3519999999999999E-3</v>
      </c>
      <c r="AM11" s="360">
        <f t="shared" si="24"/>
        <v>4.3200000000000002E-2</v>
      </c>
      <c r="AN11" s="360">
        <f t="shared" si="25"/>
        <v>1.00329381196515E-3</v>
      </c>
      <c r="AO11" s="360">
        <f t="shared" si="26"/>
        <v>2.0999999999999999E-3</v>
      </c>
      <c r="AP11" s="360">
        <f t="shared" si="27"/>
        <v>9.8999999999999991E-2</v>
      </c>
      <c r="AQ11" s="360">
        <f t="shared" si="28"/>
        <v>1.1483999999999999</v>
      </c>
      <c r="AR11" s="360">
        <f t="shared" si="29"/>
        <v>1.089</v>
      </c>
      <c r="AS11" s="360">
        <f t="shared" ref="AS11:AS74" si="48">SUM(AO11:AP11)</f>
        <v>0.1011</v>
      </c>
      <c r="AT11" s="360" t="e">
        <f t="shared" si="41"/>
        <v>#VALUE!</v>
      </c>
      <c r="AU11">
        <f t="shared" si="30"/>
        <v>10</v>
      </c>
      <c r="AV11" s="542" t="e">
        <f t="shared" si="42"/>
        <v>#VALUE!</v>
      </c>
      <c r="AW11" s="551" t="e">
        <f t="shared" si="31"/>
        <v>#VALUE!</v>
      </c>
      <c r="AX11" s="551" t="e">
        <f t="shared" si="32"/>
        <v>#VALUE!</v>
      </c>
      <c r="AY11" s="9"/>
      <c r="AZ11" s="4" t="e">
        <f t="shared" si="43"/>
        <v>#VALUE!</v>
      </c>
      <c r="BA11" s="360" t="e">
        <f t="shared" si="33"/>
        <v>#VALUE!</v>
      </c>
      <c r="BB11" s="360" t="e">
        <f t="shared" si="44"/>
        <v>#VALUE!</v>
      </c>
      <c r="BC11" s="360" t="e">
        <f t="shared" si="45"/>
        <v>#VALUE!</v>
      </c>
      <c r="BD11" s="360" t="e">
        <f t="shared" si="46"/>
        <v>#VALUE!</v>
      </c>
      <c r="BE11" s="360">
        <f t="shared" si="47"/>
        <v>1.00329381196515E-3</v>
      </c>
      <c r="BJ11" s="18"/>
      <c r="BK11" s="18"/>
      <c r="BL11" s="18"/>
      <c r="BM11" s="19"/>
    </row>
    <row r="12" spans="1:65" x14ac:dyDescent="0.2">
      <c r="A12" s="22" t="s">
        <v>4</v>
      </c>
      <c r="B12" s="5">
        <f>Vout2</f>
        <v>50</v>
      </c>
      <c r="C12" s="440" t="s">
        <v>0</v>
      </c>
      <c r="D12" s="21" t="s">
        <v>4</v>
      </c>
      <c r="G12">
        <v>3</v>
      </c>
      <c r="H12" s="548">
        <f t="shared" si="0"/>
        <v>60</v>
      </c>
      <c r="I12" s="4">
        <f t="shared" si="1"/>
        <v>1</v>
      </c>
      <c r="J12" s="360">
        <f t="shared" si="34"/>
        <v>0.3</v>
      </c>
      <c r="K12" s="4">
        <f t="shared" si="2"/>
        <v>0.27777777777777779</v>
      </c>
      <c r="L12" s="4"/>
      <c r="M12" s="360">
        <f t="shared" si="3"/>
        <v>0.83342458264896346</v>
      </c>
      <c r="N12" s="4">
        <f t="shared" si="4"/>
        <v>1.3882908889572212</v>
      </c>
      <c r="O12" s="4">
        <f t="shared" si="35"/>
        <v>0.99414544447861064</v>
      </c>
      <c r="P12" s="4">
        <f t="shared" si="36"/>
        <v>-0.39414544447861061</v>
      </c>
      <c r="Q12" s="4">
        <f t="shared" si="5"/>
        <v>4.1207051173926885</v>
      </c>
      <c r="R12" s="4">
        <f t="shared" si="6"/>
        <v>0.50061225783714347</v>
      </c>
      <c r="S12" s="360">
        <f t="shared" si="7"/>
        <v>3.0073515923616317E-3</v>
      </c>
      <c r="T12" s="360">
        <f t="shared" si="8"/>
        <v>0.3</v>
      </c>
      <c r="U12" s="360" t="e">
        <f t="shared" si="9"/>
        <v>#VALUE!</v>
      </c>
      <c r="V12" s="4">
        <f t="shared" si="37"/>
        <v>0.40076505922647826</v>
      </c>
      <c r="W12" s="360">
        <f t="shared" si="10"/>
        <v>3.2122526539360527E-4</v>
      </c>
      <c r="X12" s="360">
        <f t="shared" si="38"/>
        <v>3.2122526539360527E-4</v>
      </c>
      <c r="Y12" s="4">
        <f t="shared" si="11"/>
        <v>0.18652630517593613</v>
      </c>
      <c r="Z12" s="360">
        <f t="shared" si="12"/>
        <v>3.4792062522586461E-5</v>
      </c>
      <c r="AA12" s="541">
        <f t="shared" si="39"/>
        <v>3.4792062522586461E-5</v>
      </c>
      <c r="AB12" s="360">
        <f t="shared" si="13"/>
        <v>0.45701939653792667</v>
      </c>
      <c r="AC12" s="360">
        <f t="shared" si="14"/>
        <v>1.2532003728713439E-3</v>
      </c>
      <c r="AD12" s="360">
        <f t="shared" si="15"/>
        <v>1.9582443335371746E-2</v>
      </c>
      <c r="AE12" s="360">
        <f t="shared" si="16"/>
        <v>-0.38711797774623941</v>
      </c>
      <c r="AF12" s="360">
        <f t="shared" si="17"/>
        <v>2.3175752135342303E-3</v>
      </c>
      <c r="AG12" s="360" t="e">
        <f t="shared" si="18"/>
        <v>#VALUE!</v>
      </c>
      <c r="AH12" s="360">
        <f t="shared" si="19"/>
        <v>0.20431814379763713</v>
      </c>
      <c r="AI12" s="360">
        <f t="shared" si="20"/>
        <v>1.0436475971227981E-4</v>
      </c>
      <c r="AJ12" s="360">
        <f t="shared" si="21"/>
        <v>5.8455752135342298E-3</v>
      </c>
      <c r="AK12" s="360" t="e">
        <f t="shared" si="22"/>
        <v>#VALUE!</v>
      </c>
      <c r="AL12" s="360">
        <f t="shared" si="23"/>
        <v>3.527999999999999E-3</v>
      </c>
      <c r="AM12" s="360">
        <f t="shared" si="24"/>
        <v>6.4799999999999996E-2</v>
      </c>
      <c r="AN12" s="360">
        <f t="shared" si="25"/>
        <v>1.253063163484013E-3</v>
      </c>
      <c r="AO12" s="360">
        <f t="shared" si="26"/>
        <v>2.0999999999999999E-3</v>
      </c>
      <c r="AP12" s="360">
        <f t="shared" si="27"/>
        <v>9.8999999999999991E-2</v>
      </c>
      <c r="AQ12" s="360">
        <f t="shared" si="28"/>
        <v>1.1483999999999999</v>
      </c>
      <c r="AR12" s="360">
        <f t="shared" si="29"/>
        <v>1.089</v>
      </c>
      <c r="AS12" s="360">
        <f t="shared" si="48"/>
        <v>0.1011</v>
      </c>
      <c r="AT12" s="360" t="e">
        <f t="shared" si="41"/>
        <v>#VALUE!</v>
      </c>
      <c r="AU12">
        <f t="shared" si="30"/>
        <v>15</v>
      </c>
      <c r="AV12" s="542" t="e">
        <f t="shared" si="42"/>
        <v>#VALUE!</v>
      </c>
      <c r="AW12" s="551" t="e">
        <f t="shared" si="31"/>
        <v>#VALUE!</v>
      </c>
      <c r="AX12" s="551" t="e">
        <f t="shared" si="32"/>
        <v>#VALUE!</v>
      </c>
      <c r="AY12" s="9"/>
      <c r="AZ12" s="4" t="e">
        <f t="shared" si="43"/>
        <v>#VALUE!</v>
      </c>
      <c r="BA12" s="360" t="e">
        <f t="shared" si="33"/>
        <v>#VALUE!</v>
      </c>
      <c r="BB12" s="360" t="e">
        <f t="shared" si="44"/>
        <v>#VALUE!</v>
      </c>
      <c r="BC12" s="360" t="e">
        <f t="shared" si="45"/>
        <v>#VALUE!</v>
      </c>
      <c r="BD12" s="360" t="e">
        <f t="shared" si="46"/>
        <v>#VALUE!</v>
      </c>
      <c r="BE12" s="360">
        <f t="shared" si="47"/>
        <v>1.253063163484013E-3</v>
      </c>
      <c r="BJ12" s="18"/>
      <c r="BK12" s="18"/>
      <c r="BL12" s="18"/>
      <c r="BM12" s="19"/>
    </row>
    <row r="13" spans="1:65" x14ac:dyDescent="0.2">
      <c r="A13" s="22" t="s">
        <v>6</v>
      </c>
      <c r="B13" s="5">
        <f>Fsw/1000</f>
        <v>600</v>
      </c>
      <c r="C13" s="440" t="s">
        <v>2</v>
      </c>
      <c r="D13" s="21" t="s">
        <v>94</v>
      </c>
      <c r="G13">
        <v>4</v>
      </c>
      <c r="H13" s="548">
        <f t="shared" si="0"/>
        <v>60</v>
      </c>
      <c r="I13" s="4">
        <f t="shared" si="1"/>
        <v>1</v>
      </c>
      <c r="J13" s="360">
        <f t="shared" si="34"/>
        <v>0.4</v>
      </c>
      <c r="K13" s="4">
        <f t="shared" si="2"/>
        <v>0.37037037037037035</v>
      </c>
      <c r="L13" s="4"/>
      <c r="M13" s="360">
        <f t="shared" si="3"/>
        <v>0.83345499878334561</v>
      </c>
      <c r="N13" s="4">
        <f t="shared" si="4"/>
        <v>1.3880915186403695</v>
      </c>
      <c r="O13" s="4">
        <f t="shared" si="35"/>
        <v>1.0940457593201849</v>
      </c>
      <c r="P13" s="4">
        <f t="shared" si="36"/>
        <v>-0.29404575932018473</v>
      </c>
      <c r="Q13" s="4">
        <f t="shared" si="5"/>
        <v>3.074184624361576</v>
      </c>
      <c r="R13" s="4">
        <f t="shared" si="6"/>
        <v>0.56618592824569913</v>
      </c>
      <c r="S13" s="360">
        <f t="shared" si="7"/>
        <v>3.8467980641213274E-3</v>
      </c>
      <c r="T13" s="360">
        <f t="shared" si="8"/>
        <v>0.3</v>
      </c>
      <c r="U13" s="360" t="e">
        <f t="shared" si="9"/>
        <v>#VALUE!</v>
      </c>
      <c r="V13" s="4">
        <f t="shared" si="37"/>
        <v>0.40070750597342691</v>
      </c>
      <c r="W13" s="360">
        <f t="shared" si="10"/>
        <v>3.2113301068688793E-4</v>
      </c>
      <c r="X13" s="360">
        <f t="shared" si="38"/>
        <v>3.2113301068688793E-4</v>
      </c>
      <c r="Y13" s="4">
        <f t="shared" si="11"/>
        <v>0.21094340414325399</v>
      </c>
      <c r="Z13" s="360">
        <f t="shared" si="12"/>
        <v>4.4497119751544182E-5</v>
      </c>
      <c r="AA13" s="541">
        <f t="shared" si="39"/>
        <v>4.4497119751544182E-5</v>
      </c>
      <c r="AB13" s="360">
        <f t="shared" si="13"/>
        <v>0.51689240304051809</v>
      </c>
      <c r="AC13" s="360">
        <f t="shared" si="14"/>
        <v>1.6030665379260084E-3</v>
      </c>
      <c r="AD13" s="360">
        <f t="shared" si="15"/>
        <v>2.6109924447162328E-2</v>
      </c>
      <c r="AE13" s="360">
        <f t="shared" si="16"/>
        <v>-0.42094398954097367</v>
      </c>
      <c r="AF13" s="360">
        <f t="shared" si="17"/>
        <v>1.728989064802686E-3</v>
      </c>
      <c r="AG13" s="360" t="e">
        <f t="shared" si="18"/>
        <v>#VALUE!</v>
      </c>
      <c r="AH13" s="360">
        <f t="shared" si="19"/>
        <v>0.23106005501263632</v>
      </c>
      <c r="AI13" s="360">
        <f t="shared" si="20"/>
        <v>1.3347187255610633E-4</v>
      </c>
      <c r="AJ13" s="360">
        <f t="shared" si="21"/>
        <v>6.4329890648026859E-3</v>
      </c>
      <c r="AK13" s="360" t="e">
        <f t="shared" si="22"/>
        <v>#VALUE!</v>
      </c>
      <c r="AL13" s="360">
        <f t="shared" si="23"/>
        <v>4.7039999999999998E-3</v>
      </c>
      <c r="AM13" s="360">
        <f t="shared" si="24"/>
        <v>8.6400000000000005E-2</v>
      </c>
      <c r="AN13" s="360">
        <f t="shared" si="25"/>
        <v>1.6028325267172198E-3</v>
      </c>
      <c r="AO13" s="360">
        <f t="shared" si="26"/>
        <v>2.0999999999999999E-3</v>
      </c>
      <c r="AP13" s="360">
        <f t="shared" si="27"/>
        <v>9.8999999999999991E-2</v>
      </c>
      <c r="AQ13" s="360">
        <f t="shared" si="28"/>
        <v>1.1483999999999999</v>
      </c>
      <c r="AR13" s="360">
        <f t="shared" si="29"/>
        <v>1.089</v>
      </c>
      <c r="AS13" s="360">
        <f t="shared" si="48"/>
        <v>0.1011</v>
      </c>
      <c r="AT13" s="360" t="e">
        <f t="shared" si="41"/>
        <v>#VALUE!</v>
      </c>
      <c r="AU13">
        <f t="shared" si="30"/>
        <v>20</v>
      </c>
      <c r="AV13" s="542" t="e">
        <f t="shared" si="42"/>
        <v>#VALUE!</v>
      </c>
      <c r="AW13" s="551" t="e">
        <f t="shared" si="31"/>
        <v>#VALUE!</v>
      </c>
      <c r="AX13" s="551" t="e">
        <f t="shared" si="32"/>
        <v>#VALUE!</v>
      </c>
      <c r="AY13" s="9"/>
      <c r="AZ13" s="4" t="e">
        <f t="shared" si="43"/>
        <v>#VALUE!</v>
      </c>
      <c r="BA13" s="360" t="e">
        <f t="shared" si="33"/>
        <v>#VALUE!</v>
      </c>
      <c r="BB13" s="360" t="e">
        <f t="shared" si="44"/>
        <v>#VALUE!</v>
      </c>
      <c r="BC13" s="360" t="e">
        <f t="shared" si="45"/>
        <v>#VALUE!</v>
      </c>
      <c r="BD13" s="360" t="e">
        <f t="shared" si="46"/>
        <v>#VALUE!</v>
      </c>
      <c r="BE13" s="360">
        <f t="shared" si="47"/>
        <v>1.6028325267172198E-3</v>
      </c>
      <c r="BJ13" s="18"/>
      <c r="BK13" s="18"/>
      <c r="BL13" s="18"/>
      <c r="BM13" s="19"/>
    </row>
    <row r="14" spans="1:65" x14ac:dyDescent="0.2">
      <c r="A14" s="22" t="s">
        <v>5</v>
      </c>
      <c r="B14" s="5">
        <f>Iout2</f>
        <v>10</v>
      </c>
      <c r="C14" s="440" t="s">
        <v>1</v>
      </c>
      <c r="D14" s="21" t="s">
        <v>95</v>
      </c>
      <c r="G14">
        <v>5</v>
      </c>
      <c r="H14" s="548">
        <f t="shared" si="0"/>
        <v>60</v>
      </c>
      <c r="I14" s="4">
        <f t="shared" si="1"/>
        <v>1</v>
      </c>
      <c r="J14" s="360">
        <f t="shared" si="34"/>
        <v>0.5</v>
      </c>
      <c r="K14" s="4">
        <f t="shared" si="2"/>
        <v>0.46296296296296297</v>
      </c>
      <c r="L14" s="4"/>
      <c r="M14" s="360">
        <f t="shared" si="3"/>
        <v>0.83348541476564875</v>
      </c>
      <c r="N14" s="4">
        <f t="shared" si="4"/>
        <v>1.3878921298205993</v>
      </c>
      <c r="O14" s="4">
        <f t="shared" si="35"/>
        <v>1.1939460649102998</v>
      </c>
      <c r="P14" s="4">
        <f t="shared" si="36"/>
        <v>-0.19394606491029964</v>
      </c>
      <c r="Q14" s="4">
        <f t="shared" si="5"/>
        <v>2.0276640346084647</v>
      </c>
      <c r="R14" s="4">
        <f t="shared" si="6"/>
        <v>0.64071864366103004</v>
      </c>
      <c r="S14" s="360">
        <f t="shared" si="7"/>
        <v>4.9262445640179606E-3</v>
      </c>
      <c r="T14" s="360">
        <f t="shared" si="8"/>
        <v>0.3</v>
      </c>
      <c r="U14" s="360" t="e">
        <f t="shared" si="9"/>
        <v>#VALUE!</v>
      </c>
      <c r="V14" s="4">
        <f t="shared" si="37"/>
        <v>0.40064994737904303</v>
      </c>
      <c r="W14" s="360">
        <f t="shared" si="10"/>
        <v>3.2104076066965989E-4</v>
      </c>
      <c r="X14" s="360">
        <f t="shared" si="38"/>
        <v>3.2104076066965989E-4</v>
      </c>
      <c r="Y14" s="4">
        <f t="shared" si="11"/>
        <v>0.23869455023347955</v>
      </c>
      <c r="Z14" s="360">
        <f t="shared" si="12"/>
        <v>5.6975088311163093E-5</v>
      </c>
      <c r="AA14" s="541">
        <f t="shared" si="39"/>
        <v>5.6975088311163093E-5</v>
      </c>
      <c r="AB14" s="360">
        <f t="shared" si="13"/>
        <v>0.5849467920017406</v>
      </c>
      <c r="AC14" s="360">
        <f t="shared" si="14"/>
        <v>2.0529764968387656E-3</v>
      </c>
      <c r="AD14" s="360">
        <f t="shared" si="15"/>
        <v>3.2637405558952913E-2</v>
      </c>
      <c r="AE14" s="360">
        <f t="shared" si="16"/>
        <v>-0.45574714662544691</v>
      </c>
      <c r="AF14" s="360">
        <f t="shared" si="17"/>
        <v>1.1404028616725619E-3</v>
      </c>
      <c r="AG14" s="360" t="e">
        <f t="shared" si="18"/>
        <v>#VALUE!</v>
      </c>
      <c r="AH14" s="360">
        <f t="shared" si="19"/>
        <v>0.26145292284023591</v>
      </c>
      <c r="AI14" s="360">
        <f t="shared" si="20"/>
        <v>1.7089407715425588E-4</v>
      </c>
      <c r="AJ14" s="360">
        <f t="shared" si="21"/>
        <v>7.0204028616725617E-3</v>
      </c>
      <c r="AK14" s="360" t="e">
        <f t="shared" si="22"/>
        <v>#VALUE!</v>
      </c>
      <c r="AL14" s="360">
        <f t="shared" si="23"/>
        <v>5.8799999999999989E-3</v>
      </c>
      <c r="AM14" s="360">
        <f t="shared" si="24"/>
        <v>0.10799999999999998</v>
      </c>
      <c r="AN14" s="360">
        <f t="shared" si="25"/>
        <v>2.0526019016741501E-3</v>
      </c>
      <c r="AO14" s="360">
        <f t="shared" si="26"/>
        <v>2.0999999999999999E-3</v>
      </c>
      <c r="AP14" s="360">
        <f t="shared" si="27"/>
        <v>9.8999999999999991E-2</v>
      </c>
      <c r="AQ14" s="360">
        <f t="shared" si="28"/>
        <v>1.1483999999999999</v>
      </c>
      <c r="AR14" s="360">
        <f t="shared" si="29"/>
        <v>1.089</v>
      </c>
      <c r="AS14" s="360">
        <f t="shared" si="48"/>
        <v>0.1011</v>
      </c>
      <c r="AT14" s="360" t="e">
        <f t="shared" si="41"/>
        <v>#VALUE!</v>
      </c>
      <c r="AU14">
        <f t="shared" si="30"/>
        <v>25</v>
      </c>
      <c r="AV14" s="542" t="e">
        <f t="shared" si="42"/>
        <v>#VALUE!</v>
      </c>
      <c r="AW14" s="551" t="e">
        <f t="shared" si="31"/>
        <v>#VALUE!</v>
      </c>
      <c r="AX14" s="551" t="e">
        <f t="shared" si="32"/>
        <v>#VALUE!</v>
      </c>
      <c r="AY14" s="9"/>
      <c r="AZ14" s="4" t="e">
        <f t="shared" si="43"/>
        <v>#VALUE!</v>
      </c>
      <c r="BA14" s="360" t="e">
        <f t="shared" si="33"/>
        <v>#VALUE!</v>
      </c>
      <c r="BB14" s="360" t="e">
        <f t="shared" si="44"/>
        <v>#VALUE!</v>
      </c>
      <c r="BC14" s="360" t="e">
        <f t="shared" si="45"/>
        <v>#VALUE!</v>
      </c>
      <c r="BD14" s="360" t="e">
        <f t="shared" si="46"/>
        <v>#VALUE!</v>
      </c>
      <c r="BE14" s="360">
        <f t="shared" si="47"/>
        <v>2.0526019016741501E-3</v>
      </c>
      <c r="BJ14" s="18"/>
      <c r="BK14" s="18"/>
      <c r="BL14" s="18"/>
      <c r="BM14" s="19"/>
    </row>
    <row r="15" spans="1:65" x14ac:dyDescent="0.2">
      <c r="A15" s="23" t="s">
        <v>83</v>
      </c>
      <c r="B15" s="5" t="str">
        <f>Ta</f>
        <v xml:space="preserve"> </v>
      </c>
      <c r="C15" s="440" t="s">
        <v>465</v>
      </c>
      <c r="D15" s="21" t="s">
        <v>96</v>
      </c>
      <c r="G15">
        <v>6</v>
      </c>
      <c r="H15" s="548">
        <f t="shared" si="0"/>
        <v>60</v>
      </c>
      <c r="I15" s="4">
        <f t="shared" si="1"/>
        <v>1</v>
      </c>
      <c r="J15" s="360">
        <f t="shared" si="34"/>
        <v>0.6</v>
      </c>
      <c r="K15" s="4">
        <f t="shared" si="2"/>
        <v>0.55555555555555558</v>
      </c>
      <c r="L15" s="4"/>
      <c r="M15" s="360">
        <f t="shared" si="3"/>
        <v>0.83351583059587431</v>
      </c>
      <c r="N15" s="4">
        <f t="shared" si="4"/>
        <v>1.3876927224980506</v>
      </c>
      <c r="O15" s="4">
        <f t="shared" si="35"/>
        <v>1.2938463612490252</v>
      </c>
      <c r="P15" s="4">
        <f t="shared" si="36"/>
        <v>-9.3846361249025345E-2</v>
      </c>
      <c r="Q15" s="4">
        <f t="shared" si="5"/>
        <v>0.98114334813408632</v>
      </c>
      <c r="R15" s="4">
        <f t="shared" si="6"/>
        <v>0.72143901867922111</v>
      </c>
      <c r="S15" s="360">
        <f t="shared" si="7"/>
        <v>6.24569109207405E-3</v>
      </c>
      <c r="T15" s="360">
        <f t="shared" si="8"/>
        <v>0.3</v>
      </c>
      <c r="U15" s="360" t="e">
        <f t="shared" si="9"/>
        <v>#VALUE!</v>
      </c>
      <c r="V15" s="4">
        <f t="shared" si="37"/>
        <v>0.40059238344336712</v>
      </c>
      <c r="W15" s="360">
        <f t="shared" si="10"/>
        <v>3.209485153456753E-4</v>
      </c>
      <c r="X15" s="360">
        <f t="shared" si="38"/>
        <v>3.209485153456753E-4</v>
      </c>
      <c r="Y15" s="4">
        <f t="shared" si="11"/>
        <v>0.2687466289849203</v>
      </c>
      <c r="Z15" s="360">
        <f t="shared" si="12"/>
        <v>7.2224750590758403E-5</v>
      </c>
      <c r="AA15" s="541">
        <f t="shared" si="39"/>
        <v>7.2224750590758403E-5</v>
      </c>
      <c r="AB15" s="360">
        <f t="shared" si="13"/>
        <v>0.65865281688302701</v>
      </c>
      <c r="AC15" s="360">
        <f t="shared" si="14"/>
        <v>2.602941199127678E-3</v>
      </c>
      <c r="AD15" s="360">
        <f t="shared" si="15"/>
        <v>3.9164886670743491E-2</v>
      </c>
      <c r="AE15" s="360">
        <f t="shared" si="16"/>
        <v>-0.49152744927056297</v>
      </c>
      <c r="AF15" s="360">
        <f t="shared" si="17"/>
        <v>5.5181660414426901E-4</v>
      </c>
      <c r="AG15" s="360" t="e">
        <f t="shared" si="18"/>
        <v>#VALUE!</v>
      </c>
      <c r="AH15" s="360">
        <f t="shared" si="19"/>
        <v>0.29436495118286632</v>
      </c>
      <c r="AI15" s="360">
        <f t="shared" si="20"/>
        <v>2.1662681121222818E-4</v>
      </c>
      <c r="AJ15" s="360">
        <f t="shared" si="21"/>
        <v>7.6078166041442666E-3</v>
      </c>
      <c r="AK15" s="360" t="e">
        <f t="shared" si="22"/>
        <v>#VALUE!</v>
      </c>
      <c r="AL15" s="360">
        <f t="shared" si="23"/>
        <v>7.055999999999998E-3</v>
      </c>
      <c r="AM15" s="360">
        <f t="shared" si="24"/>
        <v>0.12959999999999999</v>
      </c>
      <c r="AN15" s="360">
        <f t="shared" si="25"/>
        <v>2.6023712883641876E-3</v>
      </c>
      <c r="AO15" s="360">
        <f t="shared" si="26"/>
        <v>2.0999999999999999E-3</v>
      </c>
      <c r="AP15" s="360">
        <f t="shared" si="27"/>
        <v>9.8999999999999991E-2</v>
      </c>
      <c r="AQ15" s="360">
        <f t="shared" si="28"/>
        <v>1.1483999999999999</v>
      </c>
      <c r="AR15" s="360">
        <f t="shared" si="29"/>
        <v>1.089</v>
      </c>
      <c r="AS15" s="360">
        <f t="shared" si="48"/>
        <v>0.1011</v>
      </c>
      <c r="AT15" s="360" t="e">
        <f t="shared" si="41"/>
        <v>#VALUE!</v>
      </c>
      <c r="AU15">
        <f t="shared" si="30"/>
        <v>30</v>
      </c>
      <c r="AV15" s="542" t="e">
        <f t="shared" si="42"/>
        <v>#VALUE!</v>
      </c>
      <c r="AW15" s="551" t="e">
        <f t="shared" si="31"/>
        <v>#VALUE!</v>
      </c>
      <c r="AX15" s="551" t="e">
        <f t="shared" si="32"/>
        <v>#VALUE!</v>
      </c>
      <c r="AY15" s="9"/>
      <c r="AZ15" s="4" t="e">
        <f t="shared" si="43"/>
        <v>#VALUE!</v>
      </c>
      <c r="BA15" s="360" t="e">
        <f t="shared" si="33"/>
        <v>#VALUE!</v>
      </c>
      <c r="BB15" s="360" t="e">
        <f t="shared" si="44"/>
        <v>#VALUE!</v>
      </c>
      <c r="BC15" s="360" t="e">
        <f t="shared" si="45"/>
        <v>#VALUE!</v>
      </c>
      <c r="BD15" s="360" t="e">
        <f t="shared" si="46"/>
        <v>#VALUE!</v>
      </c>
      <c r="BE15" s="360">
        <f t="shared" si="47"/>
        <v>2.6023712883641876E-3</v>
      </c>
      <c r="BJ15" s="18"/>
      <c r="BK15" s="18"/>
      <c r="BL15" s="18"/>
      <c r="BM15" s="19"/>
    </row>
    <row r="16" spans="1:65" x14ac:dyDescent="0.2">
      <c r="A16" s="448" t="s">
        <v>476</v>
      </c>
      <c r="B16" s="5">
        <f>VCC</f>
        <v>5</v>
      </c>
      <c r="C16" s="440" t="s">
        <v>0</v>
      </c>
      <c r="D16" s="440" t="s">
        <v>475</v>
      </c>
      <c r="G16">
        <v>7</v>
      </c>
      <c r="H16" s="548">
        <f t="shared" si="0"/>
        <v>60</v>
      </c>
      <c r="I16" s="4">
        <f t="shared" si="1"/>
        <v>1</v>
      </c>
      <c r="J16" s="360">
        <f t="shared" si="34"/>
        <v>0.7</v>
      </c>
      <c r="K16" s="4">
        <f t="shared" si="2"/>
        <v>0.64814814814814814</v>
      </c>
      <c r="L16" s="4"/>
      <c r="M16" s="360">
        <f t="shared" si="3"/>
        <v>0.83354624627402352</v>
      </c>
      <c r="N16" s="4">
        <f t="shared" si="4"/>
        <v>1.3874932966728637</v>
      </c>
      <c r="O16" s="4">
        <f t="shared" si="35"/>
        <v>1.3937466483364318</v>
      </c>
      <c r="P16" s="4">
        <f t="shared" si="36"/>
        <v>6.2533516635681075E-3</v>
      </c>
      <c r="Q16" s="4">
        <f t="shared" si="5"/>
        <v>0</v>
      </c>
      <c r="R16" s="4">
        <f t="shared" si="6"/>
        <v>0.80649125064029326</v>
      </c>
      <c r="S16" s="360">
        <f t="shared" si="7"/>
        <v>7.8051376483121325E-3</v>
      </c>
      <c r="T16" s="360">
        <f t="shared" si="8"/>
        <v>0.3</v>
      </c>
      <c r="U16" s="360" t="e">
        <f t="shared" si="9"/>
        <v>#VALUE!</v>
      </c>
      <c r="V16" s="4">
        <f t="shared" si="37"/>
        <v>0.4005348141664396</v>
      </c>
      <c r="W16" s="360">
        <f t="shared" si="10"/>
        <v>3.2085627471868861E-4</v>
      </c>
      <c r="X16" s="360">
        <f t="shared" si="38"/>
        <v>3.2085627471868861E-4</v>
      </c>
      <c r="Y16" s="4">
        <f t="shared" si="11"/>
        <v>0.3004078706855019</v>
      </c>
      <c r="Z16" s="360">
        <f t="shared" si="12"/>
        <v>9.0244888769797232E-5</v>
      </c>
      <c r="AA16" s="541">
        <f t="shared" si="39"/>
        <v>9.0244888769797232E-5</v>
      </c>
      <c r="AB16" s="360">
        <f t="shared" si="13"/>
        <v>0.73631646210504242</v>
      </c>
      <c r="AC16" s="360">
        <f t="shared" si="14"/>
        <v>3.2529715942013183E-3</v>
      </c>
      <c r="AD16" s="360">
        <f t="shared" si="15"/>
        <v>4.5692367782534077E-2</v>
      </c>
      <c r="AE16" s="360">
        <f t="shared" si="16"/>
        <v>-0.52595999999999998</v>
      </c>
      <c r="AF16" s="360">
        <f t="shared" si="17"/>
        <v>0</v>
      </c>
      <c r="AG16" s="360" t="e">
        <f t="shared" si="18"/>
        <v>#VALUE!</v>
      </c>
      <c r="AH16" s="360">
        <f t="shared" si="19"/>
        <v>0.32903830322997035</v>
      </c>
      <c r="AI16" s="360">
        <f t="shared" si="20"/>
        <v>2.7066551248114477E-4</v>
      </c>
      <c r="AJ16" s="360">
        <f t="shared" si="21"/>
        <v>8.231999999999998E-3</v>
      </c>
      <c r="AK16" s="360" t="e">
        <f t="shared" si="22"/>
        <v>#VALUE!</v>
      </c>
      <c r="AL16" s="360">
        <f t="shared" si="23"/>
        <v>8.231999999999998E-3</v>
      </c>
      <c r="AM16" s="360">
        <f t="shared" si="24"/>
        <v>0.15119999999999997</v>
      </c>
      <c r="AN16" s="360">
        <f t="shared" si="25"/>
        <v>3.2521406867967216E-3</v>
      </c>
      <c r="AO16" s="360">
        <f t="shared" si="26"/>
        <v>2.0999999999999999E-3</v>
      </c>
      <c r="AP16" s="360">
        <f t="shared" si="27"/>
        <v>9.8999999999999991E-2</v>
      </c>
      <c r="AQ16" s="360">
        <f t="shared" si="28"/>
        <v>1.1483999999999999</v>
      </c>
      <c r="AR16" s="360">
        <f t="shared" si="29"/>
        <v>1.089</v>
      </c>
      <c r="AS16" s="360">
        <f t="shared" si="48"/>
        <v>0.1011</v>
      </c>
      <c r="AT16" s="360" t="e">
        <f t="shared" si="41"/>
        <v>#VALUE!</v>
      </c>
      <c r="AU16">
        <f t="shared" si="30"/>
        <v>35</v>
      </c>
      <c r="AV16" s="542" t="e">
        <f t="shared" si="42"/>
        <v>#VALUE!</v>
      </c>
      <c r="AW16" s="551" t="e">
        <f t="shared" si="31"/>
        <v>#VALUE!</v>
      </c>
      <c r="AX16" s="551" t="e">
        <f t="shared" si="32"/>
        <v>#VALUE!</v>
      </c>
      <c r="AY16" s="9"/>
      <c r="AZ16" s="4" t="e">
        <f t="shared" si="43"/>
        <v>#VALUE!</v>
      </c>
      <c r="BA16" s="360" t="e">
        <f t="shared" si="33"/>
        <v>#VALUE!</v>
      </c>
      <c r="BB16" s="360" t="e">
        <f t="shared" si="44"/>
        <v>#VALUE!</v>
      </c>
      <c r="BC16" s="360" t="e">
        <f t="shared" si="45"/>
        <v>#VALUE!</v>
      </c>
      <c r="BD16" s="360" t="e">
        <f t="shared" si="46"/>
        <v>#VALUE!</v>
      </c>
      <c r="BE16" s="360">
        <f t="shared" si="47"/>
        <v>3.2521406867967216E-3</v>
      </c>
      <c r="BJ16" s="18"/>
      <c r="BK16" s="18"/>
      <c r="BL16" s="18"/>
      <c r="BM16" s="19"/>
    </row>
    <row r="17" spans="1:65" x14ac:dyDescent="0.2">
      <c r="A17" s="24" t="s">
        <v>58</v>
      </c>
      <c r="B17" s="16" t="s">
        <v>111</v>
      </c>
      <c r="C17" s="24" t="s">
        <v>76</v>
      </c>
      <c r="D17" s="17" t="s">
        <v>107</v>
      </c>
      <c r="G17">
        <v>8</v>
      </c>
      <c r="H17" s="548">
        <f t="shared" si="0"/>
        <v>60</v>
      </c>
      <c r="I17" s="4">
        <f t="shared" si="1"/>
        <v>1</v>
      </c>
      <c r="J17" s="360">
        <f t="shared" si="34"/>
        <v>0.8</v>
      </c>
      <c r="K17" s="4">
        <f t="shared" si="2"/>
        <v>0.7407407407407407</v>
      </c>
      <c r="L17" s="4"/>
      <c r="M17" s="360">
        <f t="shared" si="3"/>
        <v>0.83357666180009737</v>
      </c>
      <c r="N17" s="4">
        <f t="shared" si="4"/>
        <v>1.387293852345175</v>
      </c>
      <c r="O17" s="4">
        <f t="shared" si="35"/>
        <v>1.4936469261725875</v>
      </c>
      <c r="P17" s="4">
        <f t="shared" si="36"/>
        <v>0.10635307382741255</v>
      </c>
      <c r="Q17" s="4">
        <f t="shared" si="5"/>
        <v>0</v>
      </c>
      <c r="R17" s="4">
        <f t="shared" si="6"/>
        <v>0.89464072084621016</v>
      </c>
      <c r="S17" s="360">
        <f t="shared" si="7"/>
        <v>9.6045842327547194E-3</v>
      </c>
      <c r="T17" s="360">
        <f t="shared" si="8"/>
        <v>0.3</v>
      </c>
      <c r="U17" s="360" t="e">
        <f t="shared" si="9"/>
        <v>#VALUE!</v>
      </c>
      <c r="V17" s="4">
        <f t="shared" si="37"/>
        <v>0.40047723954829989</v>
      </c>
      <c r="W17" s="360">
        <f t="shared" si="10"/>
        <v>3.2076403879245272E-4</v>
      </c>
      <c r="X17" s="360">
        <f t="shared" si="38"/>
        <v>3.2076403879245272E-4</v>
      </c>
      <c r="Y17" s="4">
        <f t="shared" si="11"/>
        <v>0.33321807396643993</v>
      </c>
      <c r="Z17" s="360">
        <f t="shared" si="12"/>
        <v>1.1103428481790383E-4</v>
      </c>
      <c r="AA17" s="541">
        <f t="shared" si="39"/>
        <v>1.1103428481790383E-4</v>
      </c>
      <c r="AB17" s="360">
        <f t="shared" si="13"/>
        <v>0.81681073198944154</v>
      </c>
      <c r="AC17" s="360">
        <f t="shared" si="14"/>
        <v>4.0030786313587641E-3</v>
      </c>
      <c r="AD17" s="360">
        <f t="shared" si="15"/>
        <v>5.2219848894324655E-2</v>
      </c>
      <c r="AE17" s="360">
        <f t="shared" si="16"/>
        <v>-0.52595999999999998</v>
      </c>
      <c r="AF17" s="360">
        <f t="shared" si="17"/>
        <v>0</v>
      </c>
      <c r="AG17" s="360" t="e">
        <f t="shared" si="18"/>
        <v>#VALUE!</v>
      </c>
      <c r="AH17" s="360">
        <f t="shared" si="19"/>
        <v>0.36496883086518395</v>
      </c>
      <c r="AI17" s="360">
        <f t="shared" si="20"/>
        <v>3.3300561875774815E-4</v>
      </c>
      <c r="AJ17" s="360">
        <f t="shared" si="21"/>
        <v>9.4079999999999997E-3</v>
      </c>
      <c r="AK17" s="360" t="e">
        <f t="shared" si="22"/>
        <v>#VALUE!</v>
      </c>
      <c r="AL17" s="360">
        <f t="shared" si="23"/>
        <v>9.4079999999999997E-3</v>
      </c>
      <c r="AM17" s="360">
        <f t="shared" si="24"/>
        <v>0.17280000000000001</v>
      </c>
      <c r="AN17" s="360">
        <f t="shared" si="25"/>
        <v>4.0019100969811332E-3</v>
      </c>
      <c r="AO17" s="360">
        <f t="shared" si="26"/>
        <v>2.0999999999999999E-3</v>
      </c>
      <c r="AP17" s="360">
        <f t="shared" si="27"/>
        <v>9.8999999999999991E-2</v>
      </c>
      <c r="AQ17" s="360">
        <f t="shared" si="28"/>
        <v>1.1483999999999999</v>
      </c>
      <c r="AR17" s="360">
        <f t="shared" si="29"/>
        <v>1.089</v>
      </c>
      <c r="AS17" s="360">
        <f t="shared" si="48"/>
        <v>0.1011</v>
      </c>
      <c r="AT17" s="360" t="e">
        <f t="shared" si="41"/>
        <v>#VALUE!</v>
      </c>
      <c r="AU17">
        <f t="shared" si="30"/>
        <v>40</v>
      </c>
      <c r="AV17" s="542" t="e">
        <f t="shared" si="42"/>
        <v>#VALUE!</v>
      </c>
      <c r="AW17" s="551" t="e">
        <f t="shared" si="31"/>
        <v>#VALUE!</v>
      </c>
      <c r="AX17" s="551" t="e">
        <f t="shared" si="32"/>
        <v>#VALUE!</v>
      </c>
      <c r="AY17" s="9"/>
      <c r="AZ17" s="4" t="e">
        <f t="shared" si="43"/>
        <v>#VALUE!</v>
      </c>
      <c r="BA17" s="360" t="e">
        <f t="shared" si="33"/>
        <v>#VALUE!</v>
      </c>
      <c r="BB17" s="360" t="e">
        <f t="shared" si="44"/>
        <v>#VALUE!</v>
      </c>
      <c r="BC17" s="360" t="e">
        <f t="shared" si="45"/>
        <v>#VALUE!</v>
      </c>
      <c r="BD17" s="360" t="e">
        <f t="shared" si="46"/>
        <v>#VALUE!</v>
      </c>
      <c r="BE17" s="360">
        <f t="shared" si="47"/>
        <v>4.0019100969811332E-3</v>
      </c>
      <c r="BJ17" s="18"/>
      <c r="BK17" s="18"/>
      <c r="BL17" s="18"/>
      <c r="BM17" s="19"/>
    </row>
    <row r="18" spans="1:65" x14ac:dyDescent="0.2">
      <c r="A18" s="35" t="s">
        <v>56</v>
      </c>
      <c r="B18" s="38">
        <f>Lo_2*1000000</f>
        <v>10</v>
      </c>
      <c r="C18" s="441" t="s">
        <v>10</v>
      </c>
      <c r="D18" s="440" t="s">
        <v>468</v>
      </c>
      <c r="G18">
        <v>9</v>
      </c>
      <c r="H18" s="548">
        <f t="shared" si="0"/>
        <v>60</v>
      </c>
      <c r="I18" s="4">
        <f t="shared" si="1"/>
        <v>1</v>
      </c>
      <c r="J18" s="360">
        <f t="shared" si="34"/>
        <v>0.9</v>
      </c>
      <c r="K18" s="4">
        <f t="shared" si="2"/>
        <v>0.83333333333333337</v>
      </c>
      <c r="L18" s="4"/>
      <c r="M18" s="360">
        <f t="shared" si="3"/>
        <v>0.83360707717409688</v>
      </c>
      <c r="N18" s="4">
        <f t="shared" si="4"/>
        <v>1.3870943895151249</v>
      </c>
      <c r="O18" s="4">
        <f t="shared" si="35"/>
        <v>1.5935471947575626</v>
      </c>
      <c r="P18" s="4">
        <f t="shared" si="36"/>
        <v>0.20645280524243759</v>
      </c>
      <c r="Q18" s="4">
        <f t="shared" si="5"/>
        <v>0</v>
      </c>
      <c r="R18" s="4">
        <f t="shared" si="6"/>
        <v>0.98505629472906853</v>
      </c>
      <c r="S18" s="360">
        <f t="shared" si="7"/>
        <v>1.1644030845424338E-2</v>
      </c>
      <c r="T18" s="360">
        <f t="shared" si="8"/>
        <v>0.3</v>
      </c>
      <c r="U18" s="360" t="e">
        <f t="shared" si="9"/>
        <v>#VALUE!</v>
      </c>
      <c r="V18" s="4">
        <f t="shared" si="37"/>
        <v>0.40041965958898851</v>
      </c>
      <c r="W18" s="360">
        <f t="shared" si="10"/>
        <v>3.2067180757072288E-4</v>
      </c>
      <c r="X18" s="360">
        <f t="shared" si="38"/>
        <v>3.2067180757072288E-4</v>
      </c>
      <c r="Y18" s="4">
        <f t="shared" si="11"/>
        <v>0.36686744267496019</v>
      </c>
      <c r="Z18" s="360">
        <f t="shared" si="12"/>
        <v>1.345917204948652E-4</v>
      </c>
      <c r="AA18" s="541">
        <f t="shared" si="39"/>
        <v>1.345917204948652E-4</v>
      </c>
      <c r="AB18" s="360">
        <f t="shared" si="13"/>
        <v>0.89937693801409035</v>
      </c>
      <c r="AC18" s="360">
        <f t="shared" si="14"/>
        <v>4.8532732597896056E-3</v>
      </c>
      <c r="AD18" s="360">
        <f t="shared" si="15"/>
        <v>5.8747330006115241E-2</v>
      </c>
      <c r="AE18" s="360">
        <f t="shared" si="16"/>
        <v>-0.52595999999999998</v>
      </c>
      <c r="AF18" s="360">
        <f t="shared" si="17"/>
        <v>0</v>
      </c>
      <c r="AG18" s="360" t="e">
        <f t="shared" si="18"/>
        <v>#VALUE!</v>
      </c>
      <c r="AH18" s="360">
        <f t="shared" si="19"/>
        <v>0.40181715637060678</v>
      </c>
      <c r="AI18" s="360">
        <f t="shared" si="20"/>
        <v>4.0364256788440162E-4</v>
      </c>
      <c r="AJ18" s="360">
        <f t="shared" si="21"/>
        <v>1.0583999999999998E-2</v>
      </c>
      <c r="AK18" s="360" t="e">
        <f t="shared" si="22"/>
        <v>#VALUE!</v>
      </c>
      <c r="AL18" s="360">
        <f t="shared" si="23"/>
        <v>1.0583999999999998E-2</v>
      </c>
      <c r="AM18" s="360">
        <f t="shared" si="24"/>
        <v>0.19439999999999999</v>
      </c>
      <c r="AN18" s="360">
        <f t="shared" si="25"/>
        <v>4.851679518926808E-3</v>
      </c>
      <c r="AO18" s="360">
        <f t="shared" si="26"/>
        <v>2.0999999999999999E-3</v>
      </c>
      <c r="AP18" s="360">
        <f t="shared" si="27"/>
        <v>9.8999999999999991E-2</v>
      </c>
      <c r="AQ18" s="360">
        <f t="shared" si="28"/>
        <v>1.1483999999999999</v>
      </c>
      <c r="AR18" s="360">
        <f t="shared" si="29"/>
        <v>1.089</v>
      </c>
      <c r="AS18" s="360">
        <f t="shared" si="48"/>
        <v>0.1011</v>
      </c>
      <c r="AT18" s="360" t="e">
        <f t="shared" si="41"/>
        <v>#VALUE!</v>
      </c>
      <c r="AU18">
        <f t="shared" si="30"/>
        <v>45</v>
      </c>
      <c r="AV18" s="542" t="e">
        <f t="shared" si="42"/>
        <v>#VALUE!</v>
      </c>
      <c r="AW18" s="551" t="e">
        <f t="shared" si="31"/>
        <v>#VALUE!</v>
      </c>
      <c r="AX18" s="551" t="e">
        <f t="shared" si="32"/>
        <v>#VALUE!</v>
      </c>
      <c r="AY18" s="9"/>
      <c r="AZ18" s="4" t="e">
        <f t="shared" si="43"/>
        <v>#VALUE!</v>
      </c>
      <c r="BA18" s="360" t="e">
        <f t="shared" si="33"/>
        <v>#VALUE!</v>
      </c>
      <c r="BB18" s="360" t="e">
        <f t="shared" si="44"/>
        <v>#VALUE!</v>
      </c>
      <c r="BC18" s="360" t="e">
        <f t="shared" si="45"/>
        <v>#VALUE!</v>
      </c>
      <c r="BD18" s="360" t="e">
        <f t="shared" si="46"/>
        <v>#VALUE!</v>
      </c>
      <c r="BE18" s="360">
        <f t="shared" si="47"/>
        <v>4.851679518926808E-3</v>
      </c>
      <c r="BK18" s="18"/>
      <c r="BL18" s="19"/>
    </row>
    <row r="19" spans="1:65" x14ac:dyDescent="0.2">
      <c r="A19" s="35" t="s">
        <v>11</v>
      </c>
      <c r="B19" s="39">
        <f>Rdcr2*1000</f>
        <v>12</v>
      </c>
      <c r="C19" s="442" t="s">
        <v>466</v>
      </c>
      <c r="D19" s="440" t="s">
        <v>469</v>
      </c>
      <c r="G19">
        <v>10</v>
      </c>
      <c r="H19" s="548">
        <f t="shared" si="0"/>
        <v>60</v>
      </c>
      <c r="I19" s="4">
        <f t="shared" si="1"/>
        <v>1</v>
      </c>
      <c r="J19" s="360">
        <f t="shared" si="34"/>
        <v>1</v>
      </c>
      <c r="K19" s="4">
        <f t="shared" si="2"/>
        <v>0.92592592592592593</v>
      </c>
      <c r="L19" s="4"/>
      <c r="M19" s="360">
        <f t="shared" si="3"/>
        <v>0.83363749239602347</v>
      </c>
      <c r="N19" s="4">
        <f t="shared" si="4"/>
        <v>1.3868949081828505</v>
      </c>
      <c r="O19" s="4">
        <f t="shared" si="35"/>
        <v>1.6934474540914253</v>
      </c>
      <c r="P19" s="4">
        <f t="shared" si="36"/>
        <v>0.30655254590857473</v>
      </c>
      <c r="Q19" s="4">
        <f t="shared" si="5"/>
        <v>0</v>
      </c>
      <c r="R19" s="4">
        <f t="shared" si="6"/>
        <v>1.0771674849013158</v>
      </c>
      <c r="S19" s="360">
        <f t="shared" si="7"/>
        <v>1.3923477486343516E-2</v>
      </c>
      <c r="T19" s="360">
        <f t="shared" si="8"/>
        <v>0.3</v>
      </c>
      <c r="U19" s="360" t="e">
        <f t="shared" si="9"/>
        <v>#VALUE!</v>
      </c>
      <c r="V19" s="4">
        <f t="shared" si="37"/>
        <v>0.40036207428854503</v>
      </c>
      <c r="W19" s="360">
        <f t="shared" si="10"/>
        <v>3.2057958105725291E-4</v>
      </c>
      <c r="X19" s="360">
        <f t="shared" si="38"/>
        <v>3.2057958105725291E-4</v>
      </c>
      <c r="Y19" s="4">
        <f t="shared" si="11"/>
        <v>0.40114333766203336</v>
      </c>
      <c r="Z19" s="360">
        <f t="shared" si="12"/>
        <v>1.6091597735063613E-4</v>
      </c>
      <c r="AA19" s="541">
        <f t="shared" si="39"/>
        <v>1.6091597735063613E-4</v>
      </c>
      <c r="AB19" s="360">
        <f t="shared" si="13"/>
        <v>0.98349431692765332</v>
      </c>
      <c r="AC19" s="360">
        <f t="shared" si="14"/>
        <v>5.8035664285739485E-3</v>
      </c>
      <c r="AD19" s="360">
        <f t="shared" si="15"/>
        <v>6.5274811117905826E-2</v>
      </c>
      <c r="AE19" s="360">
        <f t="shared" si="16"/>
        <v>-0.52595999999999998</v>
      </c>
      <c r="AF19" s="360">
        <f t="shared" si="17"/>
        <v>0</v>
      </c>
      <c r="AG19" s="360" t="e">
        <f t="shared" si="18"/>
        <v>#VALUE!</v>
      </c>
      <c r="AH19" s="360">
        <f t="shared" si="19"/>
        <v>0.43935033754355407</v>
      </c>
      <c r="AI19" s="360">
        <f t="shared" si="20"/>
        <v>4.8257179774908727E-4</v>
      </c>
      <c r="AJ19" s="360">
        <f t="shared" si="21"/>
        <v>1.1759999999999998E-2</v>
      </c>
      <c r="AK19" s="360" t="e">
        <f t="shared" si="22"/>
        <v>#VALUE!</v>
      </c>
      <c r="AL19" s="360">
        <f t="shared" si="23"/>
        <v>1.1759999999999998E-2</v>
      </c>
      <c r="AM19" s="360">
        <f t="shared" si="24"/>
        <v>0.21599999999999997</v>
      </c>
      <c r="AN19" s="360">
        <f t="shared" si="25"/>
        <v>5.8014489526431309E-3</v>
      </c>
      <c r="AO19" s="360">
        <f t="shared" si="26"/>
        <v>2.0999999999999999E-3</v>
      </c>
      <c r="AP19" s="360">
        <f t="shared" si="27"/>
        <v>9.8999999999999991E-2</v>
      </c>
      <c r="AQ19" s="360">
        <f t="shared" si="28"/>
        <v>1.1483999999999999</v>
      </c>
      <c r="AR19" s="360">
        <f t="shared" si="29"/>
        <v>1.089</v>
      </c>
      <c r="AS19" s="360">
        <f t="shared" si="48"/>
        <v>0.1011</v>
      </c>
      <c r="AT19" s="360" t="e">
        <f t="shared" si="41"/>
        <v>#VALUE!</v>
      </c>
      <c r="AU19">
        <f t="shared" si="30"/>
        <v>50</v>
      </c>
      <c r="AV19" s="542" t="e">
        <f t="shared" si="42"/>
        <v>#VALUE!</v>
      </c>
      <c r="AW19" s="551" t="e">
        <f t="shared" si="31"/>
        <v>#VALUE!</v>
      </c>
      <c r="AX19" s="551" t="e">
        <f t="shared" si="32"/>
        <v>#VALUE!</v>
      </c>
      <c r="AY19" s="9"/>
      <c r="AZ19" s="4" t="e">
        <f t="shared" si="43"/>
        <v>#VALUE!</v>
      </c>
      <c r="BA19" s="360" t="e">
        <f t="shared" si="33"/>
        <v>#VALUE!</v>
      </c>
      <c r="BB19" s="360" t="e">
        <f t="shared" si="44"/>
        <v>#VALUE!</v>
      </c>
      <c r="BC19" s="360" t="e">
        <f t="shared" si="45"/>
        <v>#VALUE!</v>
      </c>
      <c r="BD19" s="360" t="e">
        <f t="shared" si="46"/>
        <v>#VALUE!</v>
      </c>
      <c r="BE19" s="360">
        <f t="shared" si="47"/>
        <v>5.8014489526431309E-3</v>
      </c>
      <c r="BK19" s="18"/>
      <c r="BL19" s="19"/>
    </row>
    <row r="20" spans="1:65" x14ac:dyDescent="0.2">
      <c r="A20" s="35" t="s">
        <v>82</v>
      </c>
      <c r="B20" s="39">
        <f>Ltc*1000000</f>
        <v>4000</v>
      </c>
      <c r="C20" s="441" t="s">
        <v>81</v>
      </c>
      <c r="D20" s="21" t="s">
        <v>97</v>
      </c>
      <c r="G20">
        <v>11</v>
      </c>
      <c r="H20" s="548">
        <f t="shared" si="0"/>
        <v>60</v>
      </c>
      <c r="I20" s="4">
        <f t="shared" si="1"/>
        <v>1</v>
      </c>
      <c r="J20" s="360">
        <f t="shared" si="34"/>
        <v>1.1000000000000001</v>
      </c>
      <c r="K20" s="4">
        <f t="shared" si="2"/>
        <v>1.0185185185185186</v>
      </c>
      <c r="L20" s="4"/>
      <c r="M20" s="360">
        <f t="shared" si="3"/>
        <v>0.83366790746587804</v>
      </c>
      <c r="N20" s="4">
        <f t="shared" si="4"/>
        <v>1.386695408348493</v>
      </c>
      <c r="O20" s="4">
        <f t="shared" si="35"/>
        <v>1.7933477041742467</v>
      </c>
      <c r="P20" s="4">
        <f t="shared" si="36"/>
        <v>0.40665229582575357</v>
      </c>
      <c r="Q20" s="4">
        <f t="shared" si="5"/>
        <v>0</v>
      </c>
      <c r="R20" s="4">
        <f t="shared" si="6"/>
        <v>1.1705740812216456</v>
      </c>
      <c r="S20" s="360">
        <f t="shared" si="7"/>
        <v>1.6442924155534798E-2</v>
      </c>
      <c r="T20" s="360">
        <f t="shared" si="8"/>
        <v>0.3</v>
      </c>
      <c r="U20" s="360" t="e">
        <f t="shared" si="9"/>
        <v>#VALUE!</v>
      </c>
      <c r="V20" s="4">
        <f t="shared" si="37"/>
        <v>0.40030448364701027</v>
      </c>
      <c r="W20" s="360">
        <f t="shared" si="10"/>
        <v>3.2048735925579904E-4</v>
      </c>
      <c r="X20" s="360">
        <f t="shared" si="38"/>
        <v>3.2048735925579904E-4</v>
      </c>
      <c r="Y20" s="4">
        <f t="shared" si="11"/>
        <v>0.43589658948579213</v>
      </c>
      <c r="Z20" s="360">
        <f t="shared" si="12"/>
        <v>1.9000583672534519E-4</v>
      </c>
      <c r="AA20" s="541">
        <f t="shared" si="39"/>
        <v>1.9000583672534519E-4</v>
      </c>
      <c r="AB20" s="360">
        <f t="shared" si="13"/>
        <v>1.0687975398145975</v>
      </c>
      <c r="AC20" s="360">
        <f t="shared" si="14"/>
        <v>6.8539690866824161E-3</v>
      </c>
      <c r="AD20" s="360">
        <f t="shared" si="15"/>
        <v>7.1802292229696404E-2</v>
      </c>
      <c r="AE20" s="360">
        <f t="shared" si="16"/>
        <v>-0.52595999999999998</v>
      </c>
      <c r="AF20" s="360">
        <f t="shared" si="17"/>
        <v>0</v>
      </c>
      <c r="AG20" s="360" t="e">
        <f t="shared" si="18"/>
        <v>#VALUE!</v>
      </c>
      <c r="AH20" s="360">
        <f t="shared" si="19"/>
        <v>0.47740496280847733</v>
      </c>
      <c r="AI20" s="360">
        <f t="shared" si="20"/>
        <v>5.6978874628540912E-4</v>
      </c>
      <c r="AJ20" s="360">
        <f t="shared" si="21"/>
        <v>1.2936E-2</v>
      </c>
      <c r="AK20" s="360" t="e">
        <f t="shared" si="22"/>
        <v>#VALUE!</v>
      </c>
      <c r="AL20" s="360">
        <f t="shared" si="23"/>
        <v>1.2936E-2</v>
      </c>
      <c r="AM20" s="360">
        <f t="shared" si="24"/>
        <v>0.23760000000000001</v>
      </c>
      <c r="AN20" s="360">
        <f t="shared" si="25"/>
        <v>6.8512183981394997E-3</v>
      </c>
      <c r="AO20" s="360">
        <f t="shared" si="26"/>
        <v>2.0999999999999999E-3</v>
      </c>
      <c r="AP20" s="360">
        <f t="shared" si="27"/>
        <v>9.8999999999999991E-2</v>
      </c>
      <c r="AQ20" s="360">
        <f t="shared" si="28"/>
        <v>1.1483999999999999</v>
      </c>
      <c r="AR20" s="360">
        <f t="shared" si="29"/>
        <v>1.089</v>
      </c>
      <c r="AS20" s="360">
        <f t="shared" si="48"/>
        <v>0.1011</v>
      </c>
      <c r="AT20" s="360" t="e">
        <f t="shared" si="41"/>
        <v>#VALUE!</v>
      </c>
      <c r="AU20">
        <f t="shared" si="30"/>
        <v>55.000000000000007</v>
      </c>
      <c r="AV20" s="542" t="e">
        <f t="shared" si="42"/>
        <v>#VALUE!</v>
      </c>
      <c r="AW20" s="551" t="e">
        <f t="shared" si="31"/>
        <v>#VALUE!</v>
      </c>
      <c r="AX20" s="551" t="e">
        <f t="shared" si="32"/>
        <v>#VALUE!</v>
      </c>
      <c r="AY20" s="9"/>
      <c r="AZ20" s="4" t="e">
        <f t="shared" si="43"/>
        <v>#VALUE!</v>
      </c>
      <c r="BA20" s="360" t="e">
        <f t="shared" si="33"/>
        <v>#VALUE!</v>
      </c>
      <c r="BB20" s="360" t="e">
        <f t="shared" si="44"/>
        <v>#VALUE!</v>
      </c>
      <c r="BC20" s="360" t="e">
        <f t="shared" si="45"/>
        <v>#VALUE!</v>
      </c>
      <c r="BD20" s="360" t="e">
        <f t="shared" si="46"/>
        <v>#VALUE!</v>
      </c>
      <c r="BE20" s="360">
        <f t="shared" si="47"/>
        <v>6.8512183981394997E-3</v>
      </c>
      <c r="BK20" s="18"/>
      <c r="BL20" s="19"/>
    </row>
    <row r="21" spans="1:65" x14ac:dyDescent="0.2">
      <c r="A21" s="25" t="s">
        <v>129</v>
      </c>
      <c r="B21" s="39">
        <f>ThetaCa</f>
        <v>20</v>
      </c>
      <c r="C21" s="441" t="s">
        <v>205</v>
      </c>
      <c r="D21" s="26" t="s">
        <v>130</v>
      </c>
      <c r="G21">
        <v>12</v>
      </c>
      <c r="H21" s="548">
        <f t="shared" si="0"/>
        <v>60</v>
      </c>
      <c r="I21" s="4">
        <f t="shared" si="1"/>
        <v>1</v>
      </c>
      <c r="J21" s="360">
        <f t="shared" si="34"/>
        <v>1.2</v>
      </c>
      <c r="K21" s="4">
        <f t="shared" si="2"/>
        <v>1.1111111111111112</v>
      </c>
      <c r="L21" s="4"/>
      <c r="M21" s="360">
        <f t="shared" si="3"/>
        <v>0.83369832238366182</v>
      </c>
      <c r="N21" s="4">
        <f t="shared" si="4"/>
        <v>1.3864958900121884</v>
      </c>
      <c r="O21" s="4">
        <f t="shared" si="35"/>
        <v>1.8932479450060942</v>
      </c>
      <c r="P21" s="4">
        <f t="shared" si="36"/>
        <v>0.50675205499390574</v>
      </c>
      <c r="Q21" s="4">
        <f t="shared" si="5"/>
        <v>0</v>
      </c>
      <c r="R21" s="4">
        <f t="shared" si="6"/>
        <v>1.2649891584851853</v>
      </c>
      <c r="S21" s="360">
        <f t="shared" si="7"/>
        <v>1.9202370853020689E-2</v>
      </c>
      <c r="T21" s="360">
        <f t="shared" si="8"/>
        <v>0.3</v>
      </c>
      <c r="U21" s="360" t="e">
        <f t="shared" si="9"/>
        <v>#VALUE!</v>
      </c>
      <c r="V21" s="4">
        <f t="shared" si="37"/>
        <v>0.4002468876644234</v>
      </c>
      <c r="W21" s="360">
        <f t="shared" si="10"/>
        <v>3.203951421701151E-4</v>
      </c>
      <c r="X21" s="360">
        <f t="shared" si="38"/>
        <v>3.203951421701151E-4</v>
      </c>
      <c r="Y21" s="4">
        <f t="shared" si="11"/>
        <v>0.47102025407544779</v>
      </c>
      <c r="Z21" s="360">
        <f t="shared" si="12"/>
        <v>2.2186007974929939E-4</v>
      </c>
      <c r="AA21" s="541">
        <f t="shared" si="39"/>
        <v>2.2186007974929939E-4</v>
      </c>
      <c r="AB21" s="360">
        <f t="shared" si="13"/>
        <v>1.1550246882625594</v>
      </c>
      <c r="AC21" s="360">
        <f t="shared" si="14"/>
        <v>8.0044921829761362E-3</v>
      </c>
      <c r="AD21" s="360">
        <f t="shared" si="15"/>
        <v>7.8329773341486983E-2</v>
      </c>
      <c r="AE21" s="360">
        <f t="shared" si="16"/>
        <v>-0.52595999999999998</v>
      </c>
      <c r="AF21" s="360">
        <f t="shared" si="17"/>
        <v>0</v>
      </c>
      <c r="AG21" s="360" t="e">
        <f t="shared" si="18"/>
        <v>#VALUE!</v>
      </c>
      <c r="AH21" s="360">
        <f t="shared" si="19"/>
        <v>0.51586387796494781</v>
      </c>
      <c r="AI21" s="360">
        <f t="shared" si="20"/>
        <v>6.6528885147258644E-4</v>
      </c>
      <c r="AJ21" s="360">
        <f t="shared" si="21"/>
        <v>1.4111999999999996E-2</v>
      </c>
      <c r="AK21" s="360" t="e">
        <f t="shared" si="22"/>
        <v>#VALUE!</v>
      </c>
      <c r="AL21" s="360">
        <f t="shared" si="23"/>
        <v>1.4111999999999996E-2</v>
      </c>
      <c r="AM21" s="360">
        <f t="shared" si="24"/>
        <v>0.25919999999999999</v>
      </c>
      <c r="AN21" s="360">
        <f t="shared" si="25"/>
        <v>8.0009878554252872E-3</v>
      </c>
      <c r="AO21" s="360">
        <f t="shared" si="26"/>
        <v>2.0999999999999999E-3</v>
      </c>
      <c r="AP21" s="360">
        <f t="shared" si="27"/>
        <v>9.8999999999999991E-2</v>
      </c>
      <c r="AQ21" s="360">
        <f t="shared" si="28"/>
        <v>1.1483999999999999</v>
      </c>
      <c r="AR21" s="360">
        <f t="shared" si="29"/>
        <v>1.089</v>
      </c>
      <c r="AS21" s="360">
        <f t="shared" si="48"/>
        <v>0.1011</v>
      </c>
      <c r="AT21" s="360" t="e">
        <f t="shared" si="41"/>
        <v>#VALUE!</v>
      </c>
      <c r="AU21">
        <f t="shared" si="30"/>
        <v>60</v>
      </c>
      <c r="AV21" s="542" t="e">
        <f t="shared" si="42"/>
        <v>#VALUE!</v>
      </c>
      <c r="AW21" s="551" t="e">
        <f t="shared" si="31"/>
        <v>#VALUE!</v>
      </c>
      <c r="AX21" s="551" t="e">
        <f t="shared" si="32"/>
        <v>#VALUE!</v>
      </c>
      <c r="AY21" s="9"/>
      <c r="AZ21" s="4" t="e">
        <f t="shared" si="43"/>
        <v>#VALUE!</v>
      </c>
      <c r="BA21" s="360" t="e">
        <f t="shared" si="33"/>
        <v>#VALUE!</v>
      </c>
      <c r="BB21" s="360" t="e">
        <f t="shared" si="44"/>
        <v>#VALUE!</v>
      </c>
      <c r="BC21" s="360" t="e">
        <f t="shared" si="45"/>
        <v>#VALUE!</v>
      </c>
      <c r="BD21" s="360" t="e">
        <f t="shared" si="46"/>
        <v>#VALUE!</v>
      </c>
      <c r="BE21" s="360">
        <f t="shared" si="47"/>
        <v>8.0009878554252872E-3</v>
      </c>
      <c r="BK21" s="18"/>
      <c r="BL21" s="19"/>
    </row>
    <row r="22" spans="1:65" x14ac:dyDescent="0.2">
      <c r="A22" s="36" t="s">
        <v>57</v>
      </c>
      <c r="B22" s="39">
        <f>Cin*1000000</f>
        <v>50</v>
      </c>
      <c r="C22" s="443" t="s">
        <v>467</v>
      </c>
      <c r="D22" s="440" t="s">
        <v>484</v>
      </c>
      <c r="G22">
        <v>13</v>
      </c>
      <c r="H22" s="548">
        <f t="shared" si="0"/>
        <v>60</v>
      </c>
      <c r="I22" s="4">
        <f t="shared" si="1"/>
        <v>1</v>
      </c>
      <c r="J22" s="360">
        <f t="shared" si="34"/>
        <v>1.3</v>
      </c>
      <c r="K22" s="4">
        <f t="shared" si="2"/>
        <v>1.2037037037037037</v>
      </c>
      <c r="L22" s="4"/>
      <c r="M22" s="360">
        <f t="shared" si="3"/>
        <v>0.83372873714937601</v>
      </c>
      <c r="N22" s="4">
        <f t="shared" si="4"/>
        <v>1.3862963531740768</v>
      </c>
      <c r="O22" s="4">
        <f t="shared" si="35"/>
        <v>1.9931481765870385</v>
      </c>
      <c r="P22" s="4">
        <f t="shared" si="36"/>
        <v>0.60685182341296162</v>
      </c>
      <c r="Q22" s="4">
        <f t="shared" si="5"/>
        <v>0</v>
      </c>
      <c r="R22" s="4">
        <f t="shared" si="6"/>
        <v>1.3602027293392625</v>
      </c>
      <c r="S22" s="360">
        <f t="shared" si="7"/>
        <v>2.2201817578823745E-2</v>
      </c>
      <c r="T22" s="360">
        <f t="shared" si="8"/>
        <v>0.3</v>
      </c>
      <c r="U22" s="360" t="e">
        <f t="shared" si="9"/>
        <v>#VALUE!</v>
      </c>
      <c r="V22" s="4">
        <f t="shared" si="37"/>
        <v>0.4001892863408249</v>
      </c>
      <c r="W22" s="360">
        <f t="shared" si="10"/>
        <v>3.2030292980395747E-4</v>
      </c>
      <c r="X22" s="360">
        <f t="shared" si="38"/>
        <v>3.2030292980395747E-4</v>
      </c>
      <c r="Y22" s="4">
        <f t="shared" si="11"/>
        <v>0.5064360644178002</v>
      </c>
      <c r="Z22" s="360">
        <f t="shared" si="12"/>
        <v>2.5647748734299025E-4</v>
      </c>
      <c r="AA22" s="541">
        <f t="shared" si="39"/>
        <v>2.5647748734299025E-4</v>
      </c>
      <c r="AB22" s="360">
        <f t="shared" si="13"/>
        <v>1.2419840757303593</v>
      </c>
      <c r="AC22" s="360">
        <f t="shared" si="14"/>
        <v>9.2551466662067691E-3</v>
      </c>
      <c r="AD22" s="360">
        <f t="shared" si="15"/>
        <v>8.4857254453277561E-2</v>
      </c>
      <c r="AE22" s="360">
        <f t="shared" si="16"/>
        <v>-0.52595999999999998</v>
      </c>
      <c r="AF22" s="360">
        <f t="shared" si="17"/>
        <v>0</v>
      </c>
      <c r="AG22" s="360" t="e">
        <f t="shared" si="18"/>
        <v>#VALUE!</v>
      </c>
      <c r="AH22" s="360">
        <f t="shared" si="19"/>
        <v>0.55464134405414101</v>
      </c>
      <c r="AI22" s="360">
        <f t="shared" si="20"/>
        <v>7.6906755133546005E-4</v>
      </c>
      <c r="AJ22" s="360">
        <f t="shared" si="21"/>
        <v>1.5287999999999998E-2</v>
      </c>
      <c r="AK22" s="360" t="e">
        <f t="shared" si="22"/>
        <v>#VALUE!</v>
      </c>
      <c r="AL22" s="360">
        <f t="shared" si="23"/>
        <v>1.5287999999999998E-2</v>
      </c>
      <c r="AM22" s="360">
        <f t="shared" si="24"/>
        <v>0.28079999999999999</v>
      </c>
      <c r="AN22" s="360">
        <f t="shared" si="25"/>
        <v>9.2507573245098947E-3</v>
      </c>
      <c r="AO22" s="360">
        <f t="shared" si="26"/>
        <v>2.0999999999999999E-3</v>
      </c>
      <c r="AP22" s="360">
        <f t="shared" si="27"/>
        <v>9.8999999999999991E-2</v>
      </c>
      <c r="AQ22" s="360">
        <f t="shared" si="28"/>
        <v>1.1483999999999999</v>
      </c>
      <c r="AR22" s="360">
        <f t="shared" si="29"/>
        <v>1.089</v>
      </c>
      <c r="AS22" s="360">
        <f t="shared" si="48"/>
        <v>0.1011</v>
      </c>
      <c r="AT22" s="360" t="e">
        <f t="shared" si="41"/>
        <v>#VALUE!</v>
      </c>
      <c r="AU22">
        <f t="shared" si="30"/>
        <v>65</v>
      </c>
      <c r="AV22" s="542" t="e">
        <f t="shared" si="42"/>
        <v>#VALUE!</v>
      </c>
      <c r="AW22" s="551" t="e">
        <f t="shared" si="31"/>
        <v>#VALUE!</v>
      </c>
      <c r="AX22" s="551" t="e">
        <f t="shared" si="32"/>
        <v>#VALUE!</v>
      </c>
      <c r="AY22" s="9"/>
      <c r="AZ22" s="4" t="e">
        <f t="shared" si="43"/>
        <v>#VALUE!</v>
      </c>
      <c r="BA22" s="360" t="e">
        <f t="shared" si="33"/>
        <v>#VALUE!</v>
      </c>
      <c r="BB22" s="360" t="e">
        <f t="shared" si="44"/>
        <v>#VALUE!</v>
      </c>
      <c r="BC22" s="360" t="e">
        <f t="shared" si="45"/>
        <v>#VALUE!</v>
      </c>
      <c r="BD22" s="360" t="e">
        <f t="shared" si="46"/>
        <v>#VALUE!</v>
      </c>
      <c r="BE22" s="360">
        <f t="shared" si="47"/>
        <v>9.2507573245098947E-3</v>
      </c>
      <c r="BK22" s="18"/>
      <c r="BL22" s="19"/>
    </row>
    <row r="23" spans="1:65" x14ac:dyDescent="0.2">
      <c r="A23" s="36" t="s">
        <v>86</v>
      </c>
      <c r="B23" s="39">
        <f>RCinEsr*1000</f>
        <v>1</v>
      </c>
      <c r="C23" s="442" t="s">
        <v>466</v>
      </c>
      <c r="D23" s="440" t="s">
        <v>480</v>
      </c>
      <c r="G23">
        <v>14</v>
      </c>
      <c r="H23" s="548">
        <f t="shared" si="0"/>
        <v>60</v>
      </c>
      <c r="I23" s="4">
        <f t="shared" si="1"/>
        <v>1</v>
      </c>
      <c r="J23" s="360">
        <f t="shared" si="34"/>
        <v>1.4</v>
      </c>
      <c r="K23" s="4">
        <f t="shared" si="2"/>
        <v>1.2962962962962963</v>
      </c>
      <c r="L23" s="4"/>
      <c r="M23" s="360">
        <f t="shared" si="3"/>
        <v>0.83375915176302162</v>
      </c>
      <c r="N23" s="4">
        <f t="shared" si="4"/>
        <v>1.3860967978342982</v>
      </c>
      <c r="O23" s="4">
        <f t="shared" si="35"/>
        <v>2.0930483989171491</v>
      </c>
      <c r="P23" s="4">
        <f t="shared" si="36"/>
        <v>0.70695160108285082</v>
      </c>
      <c r="Q23" s="4">
        <f t="shared" si="5"/>
        <v>0</v>
      </c>
      <c r="R23" s="4">
        <f t="shared" si="6"/>
        <v>1.4560581585501799</v>
      </c>
      <c r="S23" s="360">
        <f t="shared" si="7"/>
        <v>2.5441264332966493E-2</v>
      </c>
      <c r="T23" s="360">
        <f t="shared" si="8"/>
        <v>0.3</v>
      </c>
      <c r="U23" s="360" t="e">
        <f t="shared" si="9"/>
        <v>#VALUE!</v>
      </c>
      <c r="V23" s="4">
        <f t="shared" si="37"/>
        <v>0.40013167967625518</v>
      </c>
      <c r="W23" s="360">
        <f t="shared" si="10"/>
        <v>3.2021072216108253E-4</v>
      </c>
      <c r="X23" s="360">
        <f t="shared" si="38"/>
        <v>3.2021072216108253E-4</v>
      </c>
      <c r="Y23" s="4">
        <f t="shared" si="11"/>
        <v>0.54208563919098518</v>
      </c>
      <c r="Z23" s="360">
        <f t="shared" si="12"/>
        <v>2.9385684021709897E-4</v>
      </c>
      <c r="AA23" s="541">
        <f t="shared" si="39"/>
        <v>2.9385684021709897E-4</v>
      </c>
      <c r="AB23" s="360">
        <f t="shared" si="13"/>
        <v>1.3295327177255722</v>
      </c>
      <c r="AC23" s="360">
        <f t="shared" si="14"/>
        <v>1.0605943485016476E-2</v>
      </c>
      <c r="AD23" s="360">
        <f t="shared" si="15"/>
        <v>9.1384735565068154E-2</v>
      </c>
      <c r="AE23" s="360">
        <f t="shared" si="16"/>
        <v>-0.52595999999999998</v>
      </c>
      <c r="AF23" s="360">
        <f t="shared" si="17"/>
        <v>0</v>
      </c>
      <c r="AG23" s="360" t="e">
        <f t="shared" si="18"/>
        <v>#VALUE!</v>
      </c>
      <c r="AH23" s="360">
        <f t="shared" si="19"/>
        <v>0.59367340649366673</v>
      </c>
      <c r="AI23" s="360">
        <f t="shared" si="20"/>
        <v>8.8112028394448608E-4</v>
      </c>
      <c r="AJ23" s="360">
        <f t="shared" si="21"/>
        <v>1.6463999999999996E-2</v>
      </c>
      <c r="AK23" s="360" t="e">
        <f t="shared" si="22"/>
        <v>#VALUE!</v>
      </c>
      <c r="AL23" s="360">
        <f t="shared" si="23"/>
        <v>1.6463999999999996E-2</v>
      </c>
      <c r="AM23" s="360">
        <f t="shared" si="24"/>
        <v>0.30239999999999995</v>
      </c>
      <c r="AN23" s="360">
        <f t="shared" si="25"/>
        <v>1.0600526805402705E-2</v>
      </c>
      <c r="AO23" s="360">
        <f t="shared" si="26"/>
        <v>2.0999999999999999E-3</v>
      </c>
      <c r="AP23" s="360">
        <f t="shared" si="27"/>
        <v>9.8999999999999991E-2</v>
      </c>
      <c r="AQ23" s="360">
        <f t="shared" si="28"/>
        <v>1.1483999999999999</v>
      </c>
      <c r="AR23" s="360">
        <f t="shared" si="29"/>
        <v>1.089</v>
      </c>
      <c r="AS23" s="360">
        <f t="shared" si="48"/>
        <v>0.1011</v>
      </c>
      <c r="AT23" s="360" t="e">
        <f t="shared" si="41"/>
        <v>#VALUE!</v>
      </c>
      <c r="AU23">
        <f t="shared" si="30"/>
        <v>70</v>
      </c>
      <c r="AV23" s="542" t="e">
        <f t="shared" si="42"/>
        <v>#VALUE!</v>
      </c>
      <c r="AW23" s="551" t="e">
        <f t="shared" si="31"/>
        <v>#VALUE!</v>
      </c>
      <c r="AX23" s="551" t="e">
        <f t="shared" si="32"/>
        <v>#VALUE!</v>
      </c>
      <c r="AY23" s="9"/>
      <c r="AZ23" s="4" t="e">
        <f t="shared" si="43"/>
        <v>#VALUE!</v>
      </c>
      <c r="BA23" s="360" t="e">
        <f t="shared" si="33"/>
        <v>#VALUE!</v>
      </c>
      <c r="BB23" s="360" t="e">
        <f t="shared" si="44"/>
        <v>#VALUE!</v>
      </c>
      <c r="BC23" s="360" t="e">
        <f t="shared" si="45"/>
        <v>#VALUE!</v>
      </c>
      <c r="BD23" s="360" t="e">
        <f t="shared" si="46"/>
        <v>#VALUE!</v>
      </c>
      <c r="BE23" s="360">
        <f t="shared" si="47"/>
        <v>1.0600526805402705E-2</v>
      </c>
      <c r="BK23" s="18"/>
      <c r="BL23" s="19"/>
    </row>
    <row r="24" spans="1:65" x14ac:dyDescent="0.2">
      <c r="A24" s="35" t="s">
        <v>25</v>
      </c>
      <c r="B24" s="39">
        <f>Cout2*1000000</f>
        <v>200</v>
      </c>
      <c r="C24" s="441" t="s">
        <v>467</v>
      </c>
      <c r="D24" s="440" t="s">
        <v>483</v>
      </c>
      <c r="G24">
        <v>15</v>
      </c>
      <c r="H24" s="548">
        <f t="shared" si="0"/>
        <v>60</v>
      </c>
      <c r="I24" s="4">
        <f t="shared" si="1"/>
        <v>1</v>
      </c>
      <c r="J24" s="360">
        <f t="shared" si="34"/>
        <v>1.5</v>
      </c>
      <c r="K24" s="4">
        <f t="shared" si="2"/>
        <v>1.3888888888888888</v>
      </c>
      <c r="L24" s="4"/>
      <c r="M24" s="360">
        <f t="shared" si="3"/>
        <v>0.83378956622459988</v>
      </c>
      <c r="N24" s="4">
        <f t="shared" si="4"/>
        <v>1.3858972239929885</v>
      </c>
      <c r="O24" s="4">
        <f t="shared" si="35"/>
        <v>2.1929486119964943</v>
      </c>
      <c r="P24" s="4">
        <f t="shared" si="36"/>
        <v>0.80705138800350573</v>
      </c>
      <c r="Q24" s="4">
        <f t="shared" si="5"/>
        <v>0</v>
      </c>
      <c r="R24" s="4">
        <f t="shared" si="6"/>
        <v>1.5524365557479709</v>
      </c>
      <c r="S24" s="360">
        <f t="shared" si="7"/>
        <v>2.8920711115471474E-2</v>
      </c>
      <c r="T24" s="360">
        <f t="shared" si="8"/>
        <v>0.3</v>
      </c>
      <c r="U24" s="360" t="e">
        <f t="shared" si="9"/>
        <v>#VALUE!</v>
      </c>
      <c r="V24" s="4">
        <f t="shared" si="37"/>
        <v>0.40007406767075354</v>
      </c>
      <c r="W24" s="360">
        <f t="shared" si="10"/>
        <v>3.2011851924524537E-4</v>
      </c>
      <c r="X24" s="360">
        <f t="shared" si="38"/>
        <v>3.2011851924524537E-4</v>
      </c>
      <c r="Y24" s="4">
        <f t="shared" si="11"/>
        <v>0.57792466539550069</v>
      </c>
      <c r="Z24" s="360">
        <f t="shared" si="12"/>
        <v>3.3399691887250145E-4</v>
      </c>
      <c r="AA24" s="541">
        <f t="shared" si="39"/>
        <v>3.3399691887250145E-4</v>
      </c>
      <c r="AB24" s="360">
        <f t="shared" si="13"/>
        <v>1.4175620849389019</v>
      </c>
      <c r="AC24" s="360">
        <f t="shared" si="14"/>
        <v>1.2056893587937958E-2</v>
      </c>
      <c r="AD24" s="360">
        <f t="shared" si="15"/>
        <v>9.7912216676858732E-2</v>
      </c>
      <c r="AE24" s="360">
        <f t="shared" si="16"/>
        <v>-0.52595999999999998</v>
      </c>
      <c r="AF24" s="360">
        <f t="shared" si="17"/>
        <v>0</v>
      </c>
      <c r="AG24" s="360" t="e">
        <f t="shared" si="18"/>
        <v>#VALUE!</v>
      </c>
      <c r="AH24" s="360">
        <f t="shared" si="19"/>
        <v>0.63291152222589209</v>
      </c>
      <c r="AI24" s="360">
        <f t="shared" si="20"/>
        <v>1.0014424874157397E-3</v>
      </c>
      <c r="AJ24" s="360">
        <f t="shared" si="21"/>
        <v>1.7639999999999996E-2</v>
      </c>
      <c r="AK24" s="360" t="e">
        <f t="shared" si="22"/>
        <v>#VALUE!</v>
      </c>
      <c r="AL24" s="360">
        <f t="shared" si="23"/>
        <v>1.7639999999999996E-2</v>
      </c>
      <c r="AM24" s="360">
        <f t="shared" si="24"/>
        <v>0.3239999999999999</v>
      </c>
      <c r="AN24" s="360">
        <f t="shared" si="25"/>
        <v>1.2050296298113114E-2</v>
      </c>
      <c r="AO24" s="360">
        <f t="shared" si="26"/>
        <v>2.0999999999999999E-3</v>
      </c>
      <c r="AP24" s="360">
        <f t="shared" si="27"/>
        <v>9.8999999999999991E-2</v>
      </c>
      <c r="AQ24" s="360">
        <f t="shared" si="28"/>
        <v>1.1483999999999999</v>
      </c>
      <c r="AR24" s="360">
        <f t="shared" si="29"/>
        <v>1.089</v>
      </c>
      <c r="AS24" s="360">
        <f t="shared" si="48"/>
        <v>0.1011</v>
      </c>
      <c r="AT24" s="360" t="e">
        <f t="shared" si="41"/>
        <v>#VALUE!</v>
      </c>
      <c r="AU24">
        <f t="shared" si="30"/>
        <v>75</v>
      </c>
      <c r="AV24" s="542" t="e">
        <f t="shared" si="42"/>
        <v>#VALUE!</v>
      </c>
      <c r="AW24" s="551" t="e">
        <f t="shared" si="31"/>
        <v>#VALUE!</v>
      </c>
      <c r="AX24" s="551" t="e">
        <f t="shared" si="32"/>
        <v>#VALUE!</v>
      </c>
      <c r="AY24" s="9"/>
      <c r="AZ24" s="4" t="e">
        <f t="shared" si="43"/>
        <v>#VALUE!</v>
      </c>
      <c r="BA24" s="360" t="e">
        <f t="shared" si="33"/>
        <v>#VALUE!</v>
      </c>
      <c r="BB24" s="360" t="e">
        <f t="shared" si="44"/>
        <v>#VALUE!</v>
      </c>
      <c r="BC24" s="360" t="e">
        <f t="shared" si="45"/>
        <v>#VALUE!</v>
      </c>
      <c r="BD24" s="360" t="e">
        <f t="shared" si="46"/>
        <v>#VALUE!</v>
      </c>
      <c r="BE24" s="360">
        <f t="shared" si="47"/>
        <v>1.2050296298113114E-2</v>
      </c>
      <c r="BK24" s="18"/>
      <c r="BL24" s="19"/>
    </row>
    <row r="25" spans="1:65" x14ac:dyDescent="0.2">
      <c r="A25" s="35" t="s">
        <v>85</v>
      </c>
      <c r="B25" s="40">
        <f>Cout2_ESR*1000</f>
        <v>2</v>
      </c>
      <c r="C25" s="442" t="s">
        <v>466</v>
      </c>
      <c r="D25" s="440" t="s">
        <v>482</v>
      </c>
      <c r="G25">
        <v>16</v>
      </c>
      <c r="H25" s="548">
        <f t="shared" si="0"/>
        <v>60</v>
      </c>
      <c r="I25" s="4">
        <f t="shared" si="1"/>
        <v>1</v>
      </c>
      <c r="J25" s="360">
        <f t="shared" si="34"/>
        <v>1.6</v>
      </c>
      <c r="K25" s="4">
        <f t="shared" si="2"/>
        <v>1.4814814814814814</v>
      </c>
      <c r="L25" s="4"/>
      <c r="M25" s="360">
        <f t="shared" si="3"/>
        <v>0.83381998053411188</v>
      </c>
      <c r="N25" s="4">
        <f t="shared" si="4"/>
        <v>1.3856976316502896</v>
      </c>
      <c r="O25" s="4">
        <f t="shared" si="35"/>
        <v>2.292848815825145</v>
      </c>
      <c r="P25" s="4">
        <f t="shared" si="36"/>
        <v>0.9071511841748553</v>
      </c>
      <c r="Q25" s="4">
        <f t="shared" si="5"/>
        <v>0</v>
      </c>
      <c r="R25" s="4">
        <f t="shared" si="6"/>
        <v>1.6492462401139807</v>
      </c>
      <c r="S25" s="360">
        <f t="shared" si="7"/>
        <v>3.2640157926361227E-2</v>
      </c>
      <c r="T25" s="360">
        <f t="shared" si="8"/>
        <v>0.3</v>
      </c>
      <c r="U25" s="360" t="e">
        <f t="shared" si="9"/>
        <v>#VALUE!</v>
      </c>
      <c r="V25" s="4">
        <f t="shared" si="37"/>
        <v>0.40001645032436084</v>
      </c>
      <c r="W25" s="360">
        <f t="shared" si="10"/>
        <v>3.2002632106020371E-4</v>
      </c>
      <c r="X25" s="360">
        <f t="shared" si="38"/>
        <v>3.2002632106020371E-4</v>
      </c>
      <c r="Y25" s="4">
        <f t="shared" si="11"/>
        <v>0.61391897152659669</v>
      </c>
      <c r="Z25" s="360">
        <f t="shared" si="12"/>
        <v>3.7689650360027421E-4</v>
      </c>
      <c r="AA25" s="541">
        <f t="shared" si="39"/>
        <v>3.7689650360027421E-4</v>
      </c>
      <c r="AB25" s="360">
        <f t="shared" si="13"/>
        <v>1.5059884861995916</v>
      </c>
      <c r="AC25" s="360">
        <f t="shared" si="14"/>
        <v>1.3608007923394425E-2</v>
      </c>
      <c r="AD25" s="360">
        <f t="shared" si="15"/>
        <v>0.10443969778864931</v>
      </c>
      <c r="AE25" s="360">
        <f t="shared" si="16"/>
        <v>-0.52595999999999998</v>
      </c>
      <c r="AF25" s="360">
        <f t="shared" si="17"/>
        <v>0</v>
      </c>
      <c r="AG25" s="360" t="e">
        <f t="shared" si="18"/>
        <v>#VALUE!</v>
      </c>
      <c r="AH25" s="360">
        <f t="shared" si="19"/>
        <v>0.67231825794363498</v>
      </c>
      <c r="AI25" s="360">
        <f t="shared" si="20"/>
        <v>1.1300295999109103E-3</v>
      </c>
      <c r="AJ25" s="360">
        <f t="shared" si="21"/>
        <v>1.8815999999999999E-2</v>
      </c>
      <c r="AK25" s="360" t="e">
        <f t="shared" si="22"/>
        <v>#VALUE!</v>
      </c>
      <c r="AL25" s="360">
        <f t="shared" si="23"/>
        <v>1.8815999999999999E-2</v>
      </c>
      <c r="AM25" s="360">
        <f t="shared" si="24"/>
        <v>0.34560000000000002</v>
      </c>
      <c r="AN25" s="360">
        <f t="shared" si="25"/>
        <v>1.360006580265051E-2</v>
      </c>
      <c r="AO25" s="360">
        <f t="shared" si="26"/>
        <v>2.0999999999999999E-3</v>
      </c>
      <c r="AP25" s="360">
        <f t="shared" si="27"/>
        <v>9.8999999999999991E-2</v>
      </c>
      <c r="AQ25" s="360">
        <f t="shared" si="28"/>
        <v>1.1483999999999999</v>
      </c>
      <c r="AR25" s="360">
        <f t="shared" si="29"/>
        <v>1.089</v>
      </c>
      <c r="AS25" s="360">
        <f t="shared" si="48"/>
        <v>0.1011</v>
      </c>
      <c r="AT25" s="360" t="e">
        <f t="shared" si="41"/>
        <v>#VALUE!</v>
      </c>
      <c r="AU25">
        <f t="shared" si="30"/>
        <v>80</v>
      </c>
      <c r="AV25" s="542" t="e">
        <f t="shared" si="42"/>
        <v>#VALUE!</v>
      </c>
      <c r="AW25" s="551" t="e">
        <f t="shared" si="31"/>
        <v>#VALUE!</v>
      </c>
      <c r="AX25" s="551" t="e">
        <f t="shared" si="32"/>
        <v>#VALUE!</v>
      </c>
      <c r="AY25" s="9"/>
      <c r="AZ25" s="4" t="e">
        <f t="shared" si="43"/>
        <v>#VALUE!</v>
      </c>
      <c r="BA25" s="360" t="e">
        <f t="shared" si="33"/>
        <v>#VALUE!</v>
      </c>
      <c r="BB25" s="360" t="e">
        <f t="shared" si="44"/>
        <v>#VALUE!</v>
      </c>
      <c r="BC25" s="360" t="e">
        <f t="shared" si="45"/>
        <v>#VALUE!</v>
      </c>
      <c r="BD25" s="360" t="e">
        <f t="shared" si="46"/>
        <v>#VALUE!</v>
      </c>
      <c r="BE25" s="360">
        <f t="shared" si="47"/>
        <v>1.360006580265051E-2</v>
      </c>
    </row>
    <row r="26" spans="1:65" x14ac:dyDescent="0.2">
      <c r="A26" s="24" t="s">
        <v>112</v>
      </c>
      <c r="B26" s="37" t="s">
        <v>111</v>
      </c>
      <c r="C26" s="24" t="s">
        <v>76</v>
      </c>
      <c r="D26" s="17" t="s">
        <v>107</v>
      </c>
      <c r="G26">
        <v>17</v>
      </c>
      <c r="H26" s="548">
        <f t="shared" si="0"/>
        <v>60</v>
      </c>
      <c r="I26" s="4">
        <f t="shared" si="1"/>
        <v>1</v>
      </c>
      <c r="J26" s="360">
        <f t="shared" si="34"/>
        <v>1.7</v>
      </c>
      <c r="K26" s="4">
        <f t="shared" si="2"/>
        <v>1.5740740740740742</v>
      </c>
      <c r="L26" s="4"/>
      <c r="M26" s="360">
        <f t="shared" si="3"/>
        <v>0.83385039469155897</v>
      </c>
      <c r="N26" s="4">
        <f t="shared" si="4"/>
        <v>1.3854980208063379</v>
      </c>
      <c r="O26" s="4">
        <f t="shared" si="35"/>
        <v>2.3927490104031688</v>
      </c>
      <c r="P26" s="4">
        <f t="shared" si="36"/>
        <v>1.0072509895968311</v>
      </c>
      <c r="Q26" s="4">
        <f t="shared" si="5"/>
        <v>0</v>
      </c>
      <c r="R26" s="4">
        <f t="shared" si="6"/>
        <v>1.746415490026602</v>
      </c>
      <c r="S26" s="360">
        <f t="shared" si="7"/>
        <v>3.6599604765658281E-2</v>
      </c>
      <c r="T26" s="360">
        <f t="shared" si="8"/>
        <v>0.3</v>
      </c>
      <c r="U26" s="360" t="e">
        <f t="shared" si="9"/>
        <v>#VALUE!</v>
      </c>
      <c r="V26" s="4">
        <f t="shared" si="37"/>
        <v>0.39995882763711649</v>
      </c>
      <c r="W26" s="360">
        <f t="shared" si="10"/>
        <v>3.1993412760971329E-4</v>
      </c>
      <c r="X26" s="360">
        <f t="shared" si="38"/>
        <v>3.1993412760971329E-4</v>
      </c>
      <c r="Y26" s="4">
        <f t="shared" si="11"/>
        <v>0.65004182517873343</v>
      </c>
      <c r="Z26" s="360">
        <f t="shared" si="12"/>
        <v>4.2255437448169902E-4</v>
      </c>
      <c r="AA26" s="541">
        <f t="shared" si="39"/>
        <v>4.2255437448169902E-4</v>
      </c>
      <c r="AB26" s="360">
        <f t="shared" si="13"/>
        <v>1.5947464500508961</v>
      </c>
      <c r="AC26" s="360">
        <f t="shared" si="14"/>
        <v>1.5259297439699612E-2</v>
      </c>
      <c r="AD26" s="360">
        <f t="shared" si="15"/>
        <v>0.11096717890043989</v>
      </c>
      <c r="AE26" s="360">
        <f t="shared" si="16"/>
        <v>-0.52595999999999998</v>
      </c>
      <c r="AF26" s="360">
        <f t="shared" si="17"/>
        <v>0</v>
      </c>
      <c r="AG26" s="360" t="e">
        <f t="shared" si="18"/>
        <v>#VALUE!</v>
      </c>
      <c r="AH26" s="360">
        <f t="shared" si="19"/>
        <v>0.71186432966887847</v>
      </c>
      <c r="AI26" s="360">
        <f t="shared" si="20"/>
        <v>1.2668770596373042E-3</v>
      </c>
      <c r="AJ26" s="360">
        <f t="shared" si="21"/>
        <v>1.9991999999999996E-2</v>
      </c>
      <c r="AK26" s="360" t="e">
        <f t="shared" si="22"/>
        <v>#VALUE!</v>
      </c>
      <c r="AL26" s="360">
        <f t="shared" si="23"/>
        <v>1.9991999999999996E-2</v>
      </c>
      <c r="AM26" s="360">
        <f t="shared" si="24"/>
        <v>0.36719999999999997</v>
      </c>
      <c r="AN26" s="360">
        <f t="shared" si="25"/>
        <v>1.5249835319024284E-2</v>
      </c>
      <c r="AO26" s="360">
        <f t="shared" si="26"/>
        <v>2.0999999999999999E-3</v>
      </c>
      <c r="AP26" s="360">
        <f t="shared" si="27"/>
        <v>9.8999999999999991E-2</v>
      </c>
      <c r="AQ26" s="360">
        <f t="shared" si="28"/>
        <v>1.1483999999999999</v>
      </c>
      <c r="AR26" s="360">
        <f t="shared" si="29"/>
        <v>1.089</v>
      </c>
      <c r="AS26" s="360">
        <f t="shared" si="48"/>
        <v>0.1011</v>
      </c>
      <c r="AT26" s="360" t="e">
        <f t="shared" si="41"/>
        <v>#VALUE!</v>
      </c>
      <c r="AU26">
        <f t="shared" si="30"/>
        <v>85</v>
      </c>
      <c r="AV26" s="542" t="e">
        <f t="shared" si="42"/>
        <v>#VALUE!</v>
      </c>
      <c r="AW26" s="551" t="e">
        <f t="shared" si="31"/>
        <v>#VALUE!</v>
      </c>
      <c r="AX26" s="551" t="e">
        <f t="shared" si="32"/>
        <v>#VALUE!</v>
      </c>
      <c r="AY26" s="9"/>
      <c r="AZ26" s="4" t="e">
        <f t="shared" si="43"/>
        <v>#VALUE!</v>
      </c>
      <c r="BA26" s="360" t="e">
        <f t="shared" si="33"/>
        <v>#VALUE!</v>
      </c>
      <c r="BB26" s="360" t="e">
        <f t="shared" si="44"/>
        <v>#VALUE!</v>
      </c>
      <c r="BC26" s="360" t="e">
        <f t="shared" si="45"/>
        <v>#VALUE!</v>
      </c>
      <c r="BD26" s="360" t="e">
        <f t="shared" si="46"/>
        <v>#VALUE!</v>
      </c>
      <c r="BE26" s="360">
        <f t="shared" si="47"/>
        <v>1.5249835319024284E-2</v>
      </c>
    </row>
    <row r="27" spans="1:65" x14ac:dyDescent="0.2">
      <c r="A27" s="22" t="s">
        <v>61</v>
      </c>
      <c r="B27" s="5">
        <f>RdsonDRT</f>
        <v>1</v>
      </c>
      <c r="C27" s="444" t="s">
        <v>116</v>
      </c>
      <c r="D27" s="440" t="s">
        <v>507</v>
      </c>
      <c r="G27">
        <v>18</v>
      </c>
      <c r="H27" s="548">
        <f t="shared" si="0"/>
        <v>60</v>
      </c>
      <c r="I27" s="4">
        <f t="shared" si="1"/>
        <v>1</v>
      </c>
      <c r="J27" s="360">
        <f t="shared" si="34"/>
        <v>1.8</v>
      </c>
      <c r="K27" s="4">
        <f t="shared" si="2"/>
        <v>1.6666666666666667</v>
      </c>
      <c r="L27" s="4"/>
      <c r="M27" s="360">
        <f t="shared" si="3"/>
        <v>0.83388080869694203</v>
      </c>
      <c r="N27" s="4">
        <f t="shared" si="4"/>
        <v>1.3852983914612726</v>
      </c>
      <c r="O27" s="4">
        <f t="shared" si="35"/>
        <v>2.4926491957306363</v>
      </c>
      <c r="P27" s="4">
        <f t="shared" si="36"/>
        <v>1.1073508042693638</v>
      </c>
      <c r="Q27" s="4">
        <f t="shared" si="5"/>
        <v>0</v>
      </c>
      <c r="R27" s="4">
        <f t="shared" si="6"/>
        <v>1.8438874611669678</v>
      </c>
      <c r="S27" s="360">
        <f t="shared" si="7"/>
        <v>4.0799051633385194E-2</v>
      </c>
      <c r="T27" s="360">
        <f t="shared" si="8"/>
        <v>0.3</v>
      </c>
      <c r="U27" s="360" t="e">
        <f t="shared" si="9"/>
        <v>#VALUE!</v>
      </c>
      <c r="V27" s="4">
        <f t="shared" si="37"/>
        <v>0.39990119960906068</v>
      </c>
      <c r="W27" s="360">
        <f t="shared" si="10"/>
        <v>3.1984193889753162E-4</v>
      </c>
      <c r="X27" s="360">
        <f t="shared" si="38"/>
        <v>3.1984193889753162E-4</v>
      </c>
      <c r="Y27" s="4">
        <f t="shared" si="11"/>
        <v>0.6862720389089666</v>
      </c>
      <c r="Z27" s="360">
        <f t="shared" si="12"/>
        <v>4.7096931138827016E-4</v>
      </c>
      <c r="AA27" s="541">
        <f t="shared" si="39"/>
        <v>4.7096931138827016E-4</v>
      </c>
      <c r="AB27" s="360">
        <f t="shared" si="13"/>
        <v>1.6837840857751412</v>
      </c>
      <c r="AC27" s="360">
        <f t="shared" si="14"/>
        <v>1.7010773085057766E-2</v>
      </c>
      <c r="AD27" s="360">
        <f t="shared" si="15"/>
        <v>0.11749466001223048</v>
      </c>
      <c r="AE27" s="360">
        <f t="shared" si="16"/>
        <v>-0.52595999999999998</v>
      </c>
      <c r="AF27" s="360">
        <f t="shared" si="17"/>
        <v>0</v>
      </c>
      <c r="AG27" s="360" t="e">
        <f t="shared" si="18"/>
        <v>#VALUE!</v>
      </c>
      <c r="AH27" s="360">
        <f t="shared" si="19"/>
        <v>0.75152652776807405</v>
      </c>
      <c r="AI27" s="360">
        <f t="shared" si="20"/>
        <v>1.4119803048478444E-3</v>
      </c>
      <c r="AJ27" s="360">
        <f t="shared" si="21"/>
        <v>2.1167999999999996E-2</v>
      </c>
      <c r="AK27" s="360" t="e">
        <f t="shared" si="22"/>
        <v>#VALUE!</v>
      </c>
      <c r="AL27" s="360">
        <f t="shared" si="23"/>
        <v>2.1167999999999996E-2</v>
      </c>
      <c r="AM27" s="360">
        <f t="shared" si="24"/>
        <v>0.38879999999999998</v>
      </c>
      <c r="AN27" s="360">
        <f t="shared" si="25"/>
        <v>1.6999604847243829E-2</v>
      </c>
      <c r="AO27" s="360">
        <f t="shared" si="26"/>
        <v>2.0999999999999999E-3</v>
      </c>
      <c r="AP27" s="360">
        <f t="shared" si="27"/>
        <v>9.8999999999999991E-2</v>
      </c>
      <c r="AQ27" s="360">
        <f t="shared" si="28"/>
        <v>1.1483999999999999</v>
      </c>
      <c r="AR27" s="360">
        <f t="shared" si="29"/>
        <v>1.089</v>
      </c>
      <c r="AS27" s="360">
        <f t="shared" si="48"/>
        <v>0.1011</v>
      </c>
      <c r="AT27" s="360" t="e">
        <f t="shared" si="41"/>
        <v>#VALUE!</v>
      </c>
      <c r="AU27">
        <f t="shared" si="30"/>
        <v>90</v>
      </c>
      <c r="AV27" s="542" t="e">
        <f t="shared" si="42"/>
        <v>#VALUE!</v>
      </c>
      <c r="AW27" s="551" t="e">
        <f t="shared" si="31"/>
        <v>#VALUE!</v>
      </c>
      <c r="AX27" s="551" t="e">
        <f t="shared" si="32"/>
        <v>#VALUE!</v>
      </c>
      <c r="AY27" s="9"/>
      <c r="AZ27" s="4" t="e">
        <f t="shared" si="43"/>
        <v>#VALUE!</v>
      </c>
      <c r="BA27" s="360" t="e">
        <f t="shared" si="33"/>
        <v>#VALUE!</v>
      </c>
      <c r="BB27" s="360" t="e">
        <f t="shared" si="44"/>
        <v>#VALUE!</v>
      </c>
      <c r="BC27" s="360" t="e">
        <f t="shared" si="45"/>
        <v>#VALUE!</v>
      </c>
      <c r="BD27" s="360" t="e">
        <f t="shared" si="46"/>
        <v>#VALUE!</v>
      </c>
      <c r="BE27" s="360">
        <f t="shared" si="47"/>
        <v>1.6999604847243829E-2</v>
      </c>
    </row>
    <row r="28" spans="1:65" x14ac:dyDescent="0.2">
      <c r="A28" s="22" t="s">
        <v>126</v>
      </c>
      <c r="B28" s="5">
        <f>RdsonDRT2</f>
        <v>0.5</v>
      </c>
      <c r="C28" s="444" t="s">
        <v>116</v>
      </c>
      <c r="D28" s="440" t="s">
        <v>506</v>
      </c>
      <c r="G28">
        <v>19</v>
      </c>
      <c r="H28" s="548">
        <f t="shared" si="0"/>
        <v>60</v>
      </c>
      <c r="I28" s="4">
        <f t="shared" si="1"/>
        <v>1</v>
      </c>
      <c r="J28" s="360">
        <f t="shared" si="34"/>
        <v>1.9</v>
      </c>
      <c r="K28" s="4">
        <f t="shared" si="2"/>
        <v>1.7592592592592593</v>
      </c>
      <c r="L28" s="4"/>
      <c r="M28" s="360">
        <f t="shared" si="3"/>
        <v>0.83391122255026218</v>
      </c>
      <c r="N28" s="4">
        <f t="shared" si="4"/>
        <v>1.385098743615234</v>
      </c>
      <c r="O28" s="4">
        <f t="shared" si="35"/>
        <v>2.5925493718076167</v>
      </c>
      <c r="P28" s="4">
        <f t="shared" si="36"/>
        <v>1.2074506281923829</v>
      </c>
      <c r="Q28" s="4">
        <f t="shared" si="5"/>
        <v>0</v>
      </c>
      <c r="R28" s="4">
        <f t="shared" si="6"/>
        <v>1.9416165629350477</v>
      </c>
      <c r="S28" s="360">
        <f t="shared" si="7"/>
        <v>4.5238498529564498E-2</v>
      </c>
      <c r="T28" s="360">
        <f t="shared" si="8"/>
        <v>0.3</v>
      </c>
      <c r="U28" s="360" t="e">
        <f t="shared" si="9"/>
        <v>#VALUE!</v>
      </c>
      <c r="V28" s="4">
        <f t="shared" si="37"/>
        <v>0.39984356624023393</v>
      </c>
      <c r="W28" s="360">
        <f t="shared" si="10"/>
        <v>3.1974975492741673E-4</v>
      </c>
      <c r="X28" s="360">
        <f t="shared" si="38"/>
        <v>3.1974975492741673E-4</v>
      </c>
      <c r="Y28" s="4">
        <f t="shared" si="11"/>
        <v>0.72259261965626076</v>
      </c>
      <c r="Z28" s="360">
        <f t="shared" si="12"/>
        <v>5.2214009398169746E-4</v>
      </c>
      <c r="AA28" s="541">
        <f t="shared" si="39"/>
        <v>5.2214009398169746E-4</v>
      </c>
      <c r="AB28" s="360">
        <f t="shared" si="13"/>
        <v>1.7730597756215893</v>
      </c>
      <c r="AC28" s="360">
        <f t="shared" si="14"/>
        <v>1.8862445807563685E-2</v>
      </c>
      <c r="AD28" s="360">
        <f t="shared" si="15"/>
        <v>0.12402214112402106</v>
      </c>
      <c r="AE28" s="360">
        <f t="shared" si="16"/>
        <v>-0.52595999999999998</v>
      </c>
      <c r="AF28" s="360">
        <f t="shared" si="17"/>
        <v>0</v>
      </c>
      <c r="AG28" s="360" t="e">
        <f t="shared" si="18"/>
        <v>#VALUE!</v>
      </c>
      <c r="AH28" s="360">
        <f t="shared" si="19"/>
        <v>0.7912862374238715</v>
      </c>
      <c r="AI28" s="360">
        <f t="shared" si="20"/>
        <v>1.565334773841069E-3</v>
      </c>
      <c r="AJ28" s="360">
        <f t="shared" si="21"/>
        <v>2.2343999999999996E-2</v>
      </c>
      <c r="AK28" s="360" t="e">
        <f t="shared" si="22"/>
        <v>#VALUE!</v>
      </c>
      <c r="AL28" s="360">
        <f t="shared" si="23"/>
        <v>2.2343999999999996E-2</v>
      </c>
      <c r="AM28" s="360">
        <f t="shared" si="24"/>
        <v>0.41039999999999999</v>
      </c>
      <c r="AN28" s="360">
        <f t="shared" si="25"/>
        <v>1.884937438731854E-2</v>
      </c>
      <c r="AO28" s="360">
        <f t="shared" si="26"/>
        <v>2.0999999999999999E-3</v>
      </c>
      <c r="AP28" s="360">
        <f t="shared" si="27"/>
        <v>9.8999999999999991E-2</v>
      </c>
      <c r="AQ28" s="360">
        <f t="shared" si="28"/>
        <v>1.1483999999999999</v>
      </c>
      <c r="AR28" s="360">
        <f t="shared" si="29"/>
        <v>1.089</v>
      </c>
      <c r="AS28" s="360">
        <f t="shared" si="48"/>
        <v>0.1011</v>
      </c>
      <c r="AT28" s="360" t="e">
        <f t="shared" si="41"/>
        <v>#VALUE!</v>
      </c>
      <c r="AU28">
        <f t="shared" si="30"/>
        <v>95</v>
      </c>
      <c r="AV28" s="542" t="e">
        <f t="shared" si="42"/>
        <v>#VALUE!</v>
      </c>
      <c r="AW28" s="551" t="e">
        <f t="shared" si="31"/>
        <v>#VALUE!</v>
      </c>
      <c r="AX28" s="551" t="e">
        <f t="shared" si="32"/>
        <v>#VALUE!</v>
      </c>
      <c r="AY28" s="9"/>
      <c r="AZ28" s="4" t="e">
        <f t="shared" si="43"/>
        <v>#VALUE!</v>
      </c>
      <c r="BA28" s="360" t="e">
        <f t="shared" si="33"/>
        <v>#VALUE!</v>
      </c>
      <c r="BB28" s="360" t="e">
        <f t="shared" si="44"/>
        <v>#VALUE!</v>
      </c>
      <c r="BC28" s="360" t="e">
        <f t="shared" si="45"/>
        <v>#VALUE!</v>
      </c>
      <c r="BD28" s="360" t="e">
        <f t="shared" si="46"/>
        <v>#VALUE!</v>
      </c>
      <c r="BE28" s="360">
        <f t="shared" si="47"/>
        <v>1.884937438731854E-2</v>
      </c>
    </row>
    <row r="29" spans="1:65" x14ac:dyDescent="0.2">
      <c r="A29" s="24" t="s">
        <v>113</v>
      </c>
      <c r="B29" s="15" t="s">
        <v>111</v>
      </c>
      <c r="C29" s="24" t="s">
        <v>76</v>
      </c>
      <c r="D29" s="17" t="s">
        <v>107</v>
      </c>
      <c r="G29">
        <v>20</v>
      </c>
      <c r="H29" s="548">
        <f t="shared" si="0"/>
        <v>60</v>
      </c>
      <c r="I29" s="4">
        <f t="shared" si="1"/>
        <v>1</v>
      </c>
      <c r="J29" s="360">
        <f t="shared" si="34"/>
        <v>2</v>
      </c>
      <c r="K29" s="4">
        <f t="shared" si="2"/>
        <v>1.8518518518518519</v>
      </c>
      <c r="L29" s="4"/>
      <c r="M29" s="360">
        <f t="shared" si="3"/>
        <v>0.83394163625152073</v>
      </c>
      <c r="N29" s="4">
        <f t="shared" si="4"/>
        <v>1.3848990772683585</v>
      </c>
      <c r="O29" s="4">
        <f t="shared" si="35"/>
        <v>2.6924495386341794</v>
      </c>
      <c r="P29" s="4">
        <f t="shared" si="36"/>
        <v>1.3075504613658206</v>
      </c>
      <c r="Q29" s="4">
        <f t="shared" si="5"/>
        <v>0</v>
      </c>
      <c r="R29" s="4">
        <f t="shared" si="6"/>
        <v>2.0395658331741986</v>
      </c>
      <c r="S29" s="360">
        <f t="shared" si="7"/>
        <v>4.9917945454218751E-2</v>
      </c>
      <c r="T29" s="360">
        <f t="shared" si="8"/>
        <v>0.3</v>
      </c>
      <c r="U29" s="360" t="e">
        <f t="shared" si="9"/>
        <v>#VALUE!</v>
      </c>
      <c r="V29" s="4">
        <f t="shared" si="37"/>
        <v>0.3997859275306756</v>
      </c>
      <c r="W29" s="360">
        <f t="shared" si="10"/>
        <v>3.1965757570312519E-4</v>
      </c>
      <c r="X29" s="360">
        <f t="shared" si="38"/>
        <v>3.1965757570312519E-4</v>
      </c>
      <c r="Y29" s="4">
        <f t="shared" si="11"/>
        <v>0.75898979025670221</v>
      </c>
      <c r="Z29" s="360">
        <f t="shared" si="12"/>
        <v>5.7606550171391277E-4</v>
      </c>
      <c r="AA29" s="541">
        <f t="shared" si="39"/>
        <v>5.7606550171391277E-4</v>
      </c>
      <c r="AB29" s="360">
        <f t="shared" si="13"/>
        <v>1.8625397783314892</v>
      </c>
      <c r="AC29" s="360">
        <f t="shared" si="14"/>
        <v>2.081432655520268E-2</v>
      </c>
      <c r="AD29" s="360">
        <f t="shared" si="15"/>
        <v>0.13054962223581165</v>
      </c>
      <c r="AE29" s="360">
        <f t="shared" si="16"/>
        <v>-0.52595999999999998</v>
      </c>
      <c r="AF29" s="360">
        <f t="shared" si="17"/>
        <v>0</v>
      </c>
      <c r="AG29" s="360" t="e">
        <f t="shared" si="18"/>
        <v>#VALUE!</v>
      </c>
      <c r="AH29" s="360">
        <f t="shared" si="19"/>
        <v>0.83112836673070578</v>
      </c>
      <c r="AI29" s="360">
        <f t="shared" si="20"/>
        <v>1.7269359049611264E-3</v>
      </c>
      <c r="AJ29" s="360">
        <f t="shared" si="21"/>
        <v>2.3519999999999996E-2</v>
      </c>
      <c r="AK29" s="360" t="e">
        <f t="shared" si="22"/>
        <v>#VALUE!</v>
      </c>
      <c r="AL29" s="360">
        <f t="shared" si="23"/>
        <v>2.3519999999999996E-2</v>
      </c>
      <c r="AM29" s="360">
        <f t="shared" si="24"/>
        <v>0.43199999999999994</v>
      </c>
      <c r="AN29" s="360">
        <f t="shared" si="25"/>
        <v>2.0799143939257813E-2</v>
      </c>
      <c r="AO29" s="360">
        <f t="shared" si="26"/>
        <v>2.0999999999999999E-3</v>
      </c>
      <c r="AP29" s="360">
        <f t="shared" si="27"/>
        <v>9.8999999999999991E-2</v>
      </c>
      <c r="AQ29" s="360">
        <f t="shared" si="28"/>
        <v>1.1483999999999999</v>
      </c>
      <c r="AR29" s="360">
        <f t="shared" si="29"/>
        <v>1.089</v>
      </c>
      <c r="AS29" s="360">
        <f t="shared" si="48"/>
        <v>0.1011</v>
      </c>
      <c r="AT29" s="360" t="e">
        <f t="shared" si="41"/>
        <v>#VALUE!</v>
      </c>
      <c r="AU29">
        <f t="shared" si="30"/>
        <v>100</v>
      </c>
      <c r="AV29" s="542" t="e">
        <f t="shared" si="42"/>
        <v>#VALUE!</v>
      </c>
      <c r="AW29" s="551" t="e">
        <f t="shared" si="31"/>
        <v>#VALUE!</v>
      </c>
      <c r="AX29" s="551" t="e">
        <f t="shared" si="32"/>
        <v>#VALUE!</v>
      </c>
      <c r="AY29" s="9"/>
      <c r="AZ29" s="4" t="e">
        <f t="shared" si="43"/>
        <v>#VALUE!</v>
      </c>
      <c r="BA29" s="360" t="e">
        <f t="shared" si="33"/>
        <v>#VALUE!</v>
      </c>
      <c r="BB29" s="360" t="e">
        <f t="shared" si="44"/>
        <v>#VALUE!</v>
      </c>
      <c r="BC29" s="360" t="e">
        <f t="shared" si="45"/>
        <v>#VALUE!</v>
      </c>
      <c r="BD29" s="360" t="e">
        <f t="shared" si="46"/>
        <v>#VALUE!</v>
      </c>
      <c r="BE29" s="360">
        <f t="shared" si="47"/>
        <v>2.0799143939257813E-2</v>
      </c>
    </row>
    <row r="30" spans="1:65" x14ac:dyDescent="0.2">
      <c r="A30" s="22" t="s">
        <v>60</v>
      </c>
      <c r="B30" s="27">
        <f>RdsonDRB</f>
        <v>1</v>
      </c>
      <c r="C30" s="444" t="s">
        <v>116</v>
      </c>
      <c r="D30" s="440" t="s">
        <v>505</v>
      </c>
      <c r="G30">
        <v>21</v>
      </c>
      <c r="H30" s="548">
        <f t="shared" si="0"/>
        <v>60</v>
      </c>
      <c r="I30" s="4">
        <f t="shared" si="1"/>
        <v>1</v>
      </c>
      <c r="J30" s="360">
        <f t="shared" si="34"/>
        <v>2.1</v>
      </c>
      <c r="K30" s="4">
        <f t="shared" si="2"/>
        <v>1.9444444444444444</v>
      </c>
      <c r="L30" s="4"/>
      <c r="M30" s="360">
        <f t="shared" si="3"/>
        <v>0.83397204980071882</v>
      </c>
      <c r="N30" s="4">
        <f t="shared" si="4"/>
        <v>1.3846993924207869</v>
      </c>
      <c r="O30" s="4">
        <f t="shared" si="35"/>
        <v>2.7923496962103935</v>
      </c>
      <c r="P30" s="4">
        <f t="shared" si="36"/>
        <v>1.4076503037896066</v>
      </c>
      <c r="Q30" s="4">
        <f t="shared" si="5"/>
        <v>0</v>
      </c>
      <c r="R30" s="4">
        <f t="shared" si="6"/>
        <v>2.1377050078563711</v>
      </c>
      <c r="S30" s="360">
        <f t="shared" si="7"/>
        <v>5.483739240737049E-2</v>
      </c>
      <c r="T30" s="360">
        <f t="shared" si="8"/>
        <v>0.3</v>
      </c>
      <c r="U30" s="360" t="e">
        <f t="shared" si="9"/>
        <v>#VALUE!</v>
      </c>
      <c r="V30" s="4">
        <f t="shared" si="37"/>
        <v>0.39972828348042627</v>
      </c>
      <c r="W30" s="360">
        <f t="shared" si="10"/>
        <v>3.1956540122841606E-4</v>
      </c>
      <c r="X30" s="360">
        <f t="shared" si="38"/>
        <v>3.1956540122841606E-4</v>
      </c>
      <c r="Y30" s="4">
        <f t="shared" si="11"/>
        <v>0.79545226998675134</v>
      </c>
      <c r="Z30" s="360">
        <f t="shared" si="12"/>
        <v>6.3274431382707552E-4</v>
      </c>
      <c r="AA30" s="541">
        <f t="shared" si="39"/>
        <v>6.3274431382707552E-4</v>
      </c>
      <c r="AB30" s="360">
        <f t="shared" si="13"/>
        <v>1.9521964670532255</v>
      </c>
      <c r="AC30" s="360">
        <f t="shared" si="14"/>
        <v>2.2866426275850574E-2</v>
      </c>
      <c r="AD30" s="360">
        <f t="shared" si="15"/>
        <v>0.13707710334760223</v>
      </c>
      <c r="AE30" s="360">
        <f t="shared" si="16"/>
        <v>-0.52595999999999998</v>
      </c>
      <c r="AF30" s="360">
        <f t="shared" si="17"/>
        <v>0</v>
      </c>
      <c r="AG30" s="360" t="e">
        <f t="shared" si="18"/>
        <v>#VALUE!</v>
      </c>
      <c r="AH30" s="360">
        <f t="shared" si="19"/>
        <v>0.87104055855000939</v>
      </c>
      <c r="AI30" s="360">
        <f t="shared" si="20"/>
        <v>1.896779136597781E-3</v>
      </c>
      <c r="AJ30" s="360">
        <f t="shared" si="21"/>
        <v>2.4695999999999996E-2</v>
      </c>
      <c r="AK30" s="360" t="e">
        <f t="shared" si="22"/>
        <v>#VALUE!</v>
      </c>
      <c r="AL30" s="360">
        <f t="shared" si="23"/>
        <v>2.4695999999999996E-2</v>
      </c>
      <c r="AM30" s="360">
        <f t="shared" si="24"/>
        <v>0.45359999999999995</v>
      </c>
      <c r="AN30" s="360">
        <f t="shared" si="25"/>
        <v>2.2848913503071038E-2</v>
      </c>
      <c r="AO30" s="360">
        <f t="shared" si="26"/>
        <v>2.0999999999999999E-3</v>
      </c>
      <c r="AP30" s="360">
        <f t="shared" si="27"/>
        <v>9.8999999999999991E-2</v>
      </c>
      <c r="AQ30" s="360">
        <f t="shared" si="28"/>
        <v>1.1483999999999999</v>
      </c>
      <c r="AR30" s="360">
        <f t="shared" si="29"/>
        <v>1.089</v>
      </c>
      <c r="AS30" s="360">
        <f t="shared" si="48"/>
        <v>0.1011</v>
      </c>
      <c r="AT30" s="360" t="e">
        <f t="shared" si="41"/>
        <v>#VALUE!</v>
      </c>
      <c r="AU30">
        <f t="shared" si="30"/>
        <v>105</v>
      </c>
      <c r="AV30" s="542" t="e">
        <f t="shared" si="42"/>
        <v>#VALUE!</v>
      </c>
      <c r="AW30" s="551" t="e">
        <f t="shared" si="31"/>
        <v>#VALUE!</v>
      </c>
      <c r="AX30" s="551" t="e">
        <f t="shared" si="32"/>
        <v>#VALUE!</v>
      </c>
      <c r="AY30" s="9"/>
      <c r="AZ30" s="4" t="e">
        <f t="shared" si="43"/>
        <v>#VALUE!</v>
      </c>
      <c r="BA30" s="360" t="e">
        <f t="shared" si="33"/>
        <v>#VALUE!</v>
      </c>
      <c r="BB30" s="360" t="e">
        <f t="shared" si="44"/>
        <v>#VALUE!</v>
      </c>
      <c r="BC30" s="360" t="e">
        <f t="shared" si="45"/>
        <v>#VALUE!</v>
      </c>
      <c r="BD30" s="360" t="e">
        <f t="shared" si="46"/>
        <v>#VALUE!</v>
      </c>
      <c r="BE30" s="360">
        <f t="shared" si="47"/>
        <v>2.2848913503071038E-2</v>
      </c>
    </row>
    <row r="31" spans="1:65" x14ac:dyDescent="0.2">
      <c r="A31" s="22" t="s">
        <v>125</v>
      </c>
      <c r="B31" s="27">
        <v>1</v>
      </c>
      <c r="C31" s="444" t="s">
        <v>116</v>
      </c>
      <c r="D31" s="440" t="s">
        <v>504</v>
      </c>
      <c r="G31">
        <v>22</v>
      </c>
      <c r="H31" s="548">
        <f t="shared" si="0"/>
        <v>60</v>
      </c>
      <c r="I31" s="4">
        <f t="shared" si="1"/>
        <v>1</v>
      </c>
      <c r="J31" s="360">
        <f t="shared" si="34"/>
        <v>2.2000000000000002</v>
      </c>
      <c r="K31" s="4">
        <f t="shared" si="2"/>
        <v>2.0370370370370372</v>
      </c>
      <c r="L31" s="4"/>
      <c r="M31" s="360">
        <f t="shared" si="3"/>
        <v>0.83400246319785742</v>
      </c>
      <c r="N31" s="4">
        <f t="shared" si="4"/>
        <v>1.3844996890726564</v>
      </c>
      <c r="O31" s="4">
        <f t="shared" si="35"/>
        <v>2.8922498445363285</v>
      </c>
      <c r="P31" s="4">
        <f t="shared" si="36"/>
        <v>1.5077501554636719</v>
      </c>
      <c r="Q31" s="4">
        <f t="shared" si="5"/>
        <v>0</v>
      </c>
      <c r="R31" s="4">
        <f t="shared" si="6"/>
        <v>2.2360090822162428</v>
      </c>
      <c r="S31" s="360">
        <f t="shared" si="7"/>
        <v>5.9996839389042302E-2</v>
      </c>
      <c r="T31" s="360">
        <f t="shared" si="8"/>
        <v>0.3</v>
      </c>
      <c r="U31" s="360" t="e">
        <f t="shared" si="9"/>
        <v>#VALUE!</v>
      </c>
      <c r="V31" s="4">
        <f t="shared" si="37"/>
        <v>0.39967063408952569</v>
      </c>
      <c r="W31" s="360">
        <f t="shared" si="10"/>
        <v>3.1947323150704712E-4</v>
      </c>
      <c r="X31" s="360">
        <f t="shared" si="38"/>
        <v>3.1947323150704712E-4</v>
      </c>
      <c r="Y31" s="4">
        <f t="shared" si="11"/>
        <v>0.83197073827964574</v>
      </c>
      <c r="Z31" s="360">
        <f t="shared" si="12"/>
        <v>6.9217530935357873E-4</v>
      </c>
      <c r="AA31" s="541">
        <f t="shared" si="39"/>
        <v>6.9217530935357873E-4</v>
      </c>
      <c r="AB31" s="360">
        <f t="shared" si="13"/>
        <v>2.0420070158740784</v>
      </c>
      <c r="AC31" s="360">
        <f t="shared" si="14"/>
        <v>2.5018755917273754E-2</v>
      </c>
      <c r="AD31" s="360">
        <f t="shared" si="15"/>
        <v>0.14360458445939281</v>
      </c>
      <c r="AE31" s="360">
        <f t="shared" si="16"/>
        <v>-0.52595999999999998</v>
      </c>
      <c r="AF31" s="360">
        <f t="shared" si="17"/>
        <v>0</v>
      </c>
      <c r="AG31" s="360" t="e">
        <f t="shared" si="18"/>
        <v>#VALUE!</v>
      </c>
      <c r="AH31" s="360">
        <f t="shared" si="19"/>
        <v>0.9110126030272937</v>
      </c>
      <c r="AI31" s="360">
        <f t="shared" si="20"/>
        <v>2.0748599071864137E-3</v>
      </c>
      <c r="AJ31" s="360">
        <f t="shared" si="21"/>
        <v>2.5871999999999999E-2</v>
      </c>
      <c r="AK31" s="360" t="e">
        <f t="shared" si="22"/>
        <v>#VALUE!</v>
      </c>
      <c r="AL31" s="360">
        <f t="shared" si="23"/>
        <v>2.5871999999999999E-2</v>
      </c>
      <c r="AM31" s="360">
        <f t="shared" si="24"/>
        <v>0.47520000000000001</v>
      </c>
      <c r="AN31" s="360">
        <f t="shared" si="25"/>
        <v>2.4998683078767625E-2</v>
      </c>
      <c r="AO31" s="360">
        <f t="shared" si="26"/>
        <v>2.0999999999999999E-3</v>
      </c>
      <c r="AP31" s="360">
        <f t="shared" si="27"/>
        <v>9.8999999999999991E-2</v>
      </c>
      <c r="AQ31" s="360">
        <f t="shared" si="28"/>
        <v>1.1483999999999999</v>
      </c>
      <c r="AR31" s="360">
        <f t="shared" si="29"/>
        <v>1.089</v>
      </c>
      <c r="AS31" s="360">
        <f t="shared" si="48"/>
        <v>0.1011</v>
      </c>
      <c r="AT31" s="360" t="e">
        <f t="shared" si="41"/>
        <v>#VALUE!</v>
      </c>
      <c r="AU31">
        <f t="shared" si="30"/>
        <v>110.00000000000001</v>
      </c>
      <c r="AV31" s="542" t="e">
        <f t="shared" si="42"/>
        <v>#VALUE!</v>
      </c>
      <c r="AW31" s="551" t="e">
        <f t="shared" si="31"/>
        <v>#VALUE!</v>
      </c>
      <c r="AX31" s="551" t="e">
        <f t="shared" si="32"/>
        <v>#VALUE!</v>
      </c>
      <c r="AY31" s="9"/>
      <c r="AZ31" s="4" t="e">
        <f t="shared" si="43"/>
        <v>#VALUE!</v>
      </c>
      <c r="BA31" s="360" t="e">
        <f t="shared" si="33"/>
        <v>#VALUE!</v>
      </c>
      <c r="BB31" s="360" t="e">
        <f t="shared" si="44"/>
        <v>#VALUE!</v>
      </c>
      <c r="BC31" s="360" t="e">
        <f t="shared" si="45"/>
        <v>#VALUE!</v>
      </c>
      <c r="BD31" s="360" t="e">
        <f t="shared" si="46"/>
        <v>#VALUE!</v>
      </c>
      <c r="BE31" s="360">
        <f t="shared" si="47"/>
        <v>2.4998683078767625E-2</v>
      </c>
    </row>
    <row r="32" spans="1:65" x14ac:dyDescent="0.2">
      <c r="A32" s="24" t="s">
        <v>62</v>
      </c>
      <c r="B32" s="15" t="s">
        <v>111</v>
      </c>
      <c r="C32" s="24" t="s">
        <v>76</v>
      </c>
      <c r="D32" s="17" t="s">
        <v>107</v>
      </c>
      <c r="G32">
        <v>23</v>
      </c>
      <c r="H32" s="548">
        <f t="shared" si="0"/>
        <v>60</v>
      </c>
      <c r="I32" s="4">
        <f t="shared" si="1"/>
        <v>1</v>
      </c>
      <c r="J32" s="360">
        <f t="shared" si="34"/>
        <v>2.2999999999999998</v>
      </c>
      <c r="K32" s="4">
        <f t="shared" si="2"/>
        <v>2.1296296296296293</v>
      </c>
      <c r="L32" s="4"/>
      <c r="M32" s="360">
        <f t="shared" si="3"/>
        <v>0.83403287644293778</v>
      </c>
      <c r="N32" s="4">
        <f t="shared" si="4"/>
        <v>1.3842999672241061</v>
      </c>
      <c r="O32" s="4">
        <f t="shared" si="35"/>
        <v>2.9921499836120526</v>
      </c>
      <c r="P32" s="4">
        <f t="shared" si="36"/>
        <v>1.6078500163879468</v>
      </c>
      <c r="Q32" s="4">
        <f t="shared" si="5"/>
        <v>0</v>
      </c>
      <c r="R32" s="4">
        <f t="shared" si="6"/>
        <v>2.3344572245537907</v>
      </c>
      <c r="S32" s="360">
        <f t="shared" si="7"/>
        <v>6.5396286399256653E-2</v>
      </c>
      <c r="T32" s="360">
        <f t="shared" si="8"/>
        <v>0.3</v>
      </c>
      <c r="U32" s="360" t="e">
        <f t="shared" si="9"/>
        <v>#VALUE!</v>
      </c>
      <c r="V32" s="4">
        <f t="shared" si="37"/>
        <v>0.39961297935801393</v>
      </c>
      <c r="W32" s="360">
        <f t="shared" si="10"/>
        <v>3.1938106654277691E-4</v>
      </c>
      <c r="X32" s="360">
        <f t="shared" si="38"/>
        <v>3.1938106654277691E-4</v>
      </c>
      <c r="Y32" s="4">
        <f t="shared" si="11"/>
        <v>0.86853742988776927</v>
      </c>
      <c r="Z32" s="360">
        <f t="shared" si="12"/>
        <v>7.5435726711605181E-4</v>
      </c>
      <c r="AA32" s="541">
        <f t="shared" si="39"/>
        <v>7.5435726711605181E-4</v>
      </c>
      <c r="AB32" s="360">
        <f t="shared" si="13"/>
        <v>2.1319524082840551</v>
      </c>
      <c r="AC32" s="360">
        <f t="shared" si="14"/>
        <v>2.7271326427129094E-2</v>
      </c>
      <c r="AD32" s="360">
        <f t="shared" si="15"/>
        <v>0.15013206557118339</v>
      </c>
      <c r="AE32" s="360">
        <f t="shared" si="16"/>
        <v>-0.52595999999999998</v>
      </c>
      <c r="AF32" s="360">
        <f t="shared" si="17"/>
        <v>0</v>
      </c>
      <c r="AG32" s="360" t="e">
        <f t="shared" si="18"/>
        <v>#VALUE!</v>
      </c>
      <c r="AH32" s="360">
        <f t="shared" si="19"/>
        <v>0.95103599410495754</v>
      </c>
      <c r="AI32" s="360">
        <f t="shared" si="20"/>
        <v>2.261173655208012E-3</v>
      </c>
      <c r="AJ32" s="360">
        <f t="shared" si="21"/>
        <v>2.7047999999999992E-2</v>
      </c>
      <c r="AK32" s="360" t="e">
        <f t="shared" si="22"/>
        <v>#VALUE!</v>
      </c>
      <c r="AL32" s="360">
        <f t="shared" si="23"/>
        <v>2.7047999999999992E-2</v>
      </c>
      <c r="AM32" s="360">
        <f t="shared" si="24"/>
        <v>0.49679999999999985</v>
      </c>
      <c r="AN32" s="360">
        <f t="shared" si="25"/>
        <v>2.7248452666356938E-2</v>
      </c>
      <c r="AO32" s="360">
        <f t="shared" si="26"/>
        <v>2.0999999999999999E-3</v>
      </c>
      <c r="AP32" s="360">
        <f t="shared" si="27"/>
        <v>9.8999999999999991E-2</v>
      </c>
      <c r="AQ32" s="360">
        <f t="shared" si="28"/>
        <v>1.1483999999999999</v>
      </c>
      <c r="AR32" s="360">
        <f t="shared" si="29"/>
        <v>1.089</v>
      </c>
      <c r="AS32" s="360">
        <f t="shared" si="48"/>
        <v>0.1011</v>
      </c>
      <c r="AT32" s="360" t="e">
        <f t="shared" si="41"/>
        <v>#VALUE!</v>
      </c>
      <c r="AU32">
        <f t="shared" si="30"/>
        <v>114.99999999999999</v>
      </c>
      <c r="AV32" s="542" t="e">
        <f t="shared" si="42"/>
        <v>#VALUE!</v>
      </c>
      <c r="AW32" s="551" t="e">
        <f t="shared" si="31"/>
        <v>#VALUE!</v>
      </c>
      <c r="AX32" s="551" t="e">
        <f t="shared" si="32"/>
        <v>#VALUE!</v>
      </c>
      <c r="AY32" s="9"/>
      <c r="AZ32" s="4" t="e">
        <f t="shared" si="43"/>
        <v>#VALUE!</v>
      </c>
      <c r="BA32" s="360" t="e">
        <f t="shared" si="33"/>
        <v>#VALUE!</v>
      </c>
      <c r="BB32" s="360" t="e">
        <f t="shared" si="44"/>
        <v>#VALUE!</v>
      </c>
      <c r="BC32" s="360" t="e">
        <f t="shared" si="45"/>
        <v>#VALUE!</v>
      </c>
      <c r="BD32" s="360" t="e">
        <f t="shared" si="46"/>
        <v>#VALUE!</v>
      </c>
      <c r="BE32" s="360">
        <f t="shared" si="47"/>
        <v>2.7248452666356938E-2</v>
      </c>
    </row>
    <row r="33" spans="1:57" x14ac:dyDescent="0.2">
      <c r="A33" s="22" t="s">
        <v>62</v>
      </c>
      <c r="B33" s="5">
        <f>Deadtime*1000000000</f>
        <v>14</v>
      </c>
      <c r="C33" s="440" t="s">
        <v>75</v>
      </c>
      <c r="D33" s="21" t="s">
        <v>98</v>
      </c>
      <c r="G33">
        <v>24</v>
      </c>
      <c r="H33" s="548">
        <f t="shared" si="0"/>
        <v>60</v>
      </c>
      <c r="I33" s="4">
        <f t="shared" si="1"/>
        <v>1</v>
      </c>
      <c r="J33" s="360">
        <f t="shared" si="34"/>
        <v>2.4</v>
      </c>
      <c r="K33" s="4">
        <f t="shared" si="2"/>
        <v>2.2222222222222223</v>
      </c>
      <c r="L33" s="4"/>
      <c r="M33" s="360">
        <f t="shared" si="3"/>
        <v>0.83406328953596121</v>
      </c>
      <c r="N33" s="4">
        <f t="shared" si="4"/>
        <v>1.3841002268752765</v>
      </c>
      <c r="O33" s="4">
        <f t="shared" si="35"/>
        <v>3.0920501134376384</v>
      </c>
      <c r="P33" s="4">
        <f t="shared" si="36"/>
        <v>1.7079498865623617</v>
      </c>
      <c r="Q33" s="4">
        <f t="shared" si="5"/>
        <v>0</v>
      </c>
      <c r="R33" s="4">
        <f t="shared" si="6"/>
        <v>2.4330319465986636</v>
      </c>
      <c r="S33" s="360">
        <f t="shared" si="7"/>
        <v>7.103573343803618E-2</v>
      </c>
      <c r="T33" s="360">
        <f t="shared" si="8"/>
        <v>0.3</v>
      </c>
      <c r="U33" s="360" t="e">
        <f t="shared" si="9"/>
        <v>#VALUE!</v>
      </c>
      <c r="V33" s="4">
        <f t="shared" si="37"/>
        <v>0.39955531928593152</v>
      </c>
      <c r="W33" s="360">
        <f t="shared" si="10"/>
        <v>3.1928890633936536E-4</v>
      </c>
      <c r="X33" s="360">
        <f t="shared" si="38"/>
        <v>3.1928890633936536E-4</v>
      </c>
      <c r="Y33" s="4">
        <f t="shared" si="11"/>
        <v>0.90514582566974755</v>
      </c>
      <c r="Z33" s="360">
        <f t="shared" si="12"/>
        <v>8.19288965727369E-4</v>
      </c>
      <c r="AA33" s="541">
        <f t="shared" si="39"/>
        <v>8.19288965727369E-4</v>
      </c>
      <c r="AB33" s="360">
        <f t="shared" si="13"/>
        <v>2.2220166798415377</v>
      </c>
      <c r="AC33" s="360">
        <f t="shared" si="14"/>
        <v>2.9624148752964062E-2</v>
      </c>
      <c r="AD33" s="360">
        <f t="shared" si="15"/>
        <v>0.15665954668297397</v>
      </c>
      <c r="AE33" s="360">
        <f t="shared" si="16"/>
        <v>-0.52595999999999998</v>
      </c>
      <c r="AF33" s="360">
        <f t="shared" si="17"/>
        <v>0</v>
      </c>
      <c r="AG33" s="360" t="e">
        <f t="shared" si="18"/>
        <v>#VALUE!</v>
      </c>
      <c r="AH33" s="360">
        <f t="shared" si="19"/>
        <v>0.99110359078941435</v>
      </c>
      <c r="AI33" s="360">
        <f t="shared" si="20"/>
        <v>2.4557158191891772E-3</v>
      </c>
      <c r="AJ33" s="360">
        <f t="shared" si="21"/>
        <v>2.8223999999999992E-2</v>
      </c>
      <c r="AK33" s="360" t="e">
        <f t="shared" si="22"/>
        <v>#VALUE!</v>
      </c>
      <c r="AL33" s="360">
        <f t="shared" si="23"/>
        <v>2.8223999999999992E-2</v>
      </c>
      <c r="AM33" s="360">
        <f t="shared" si="24"/>
        <v>0.51839999999999997</v>
      </c>
      <c r="AN33" s="360">
        <f t="shared" si="25"/>
        <v>2.959822226584841E-2</v>
      </c>
      <c r="AO33" s="360">
        <f t="shared" si="26"/>
        <v>2.0999999999999999E-3</v>
      </c>
      <c r="AP33" s="360">
        <f t="shared" si="27"/>
        <v>9.8999999999999991E-2</v>
      </c>
      <c r="AQ33" s="360">
        <f t="shared" si="28"/>
        <v>1.1483999999999999</v>
      </c>
      <c r="AR33" s="360">
        <f t="shared" si="29"/>
        <v>1.089</v>
      </c>
      <c r="AS33" s="360">
        <f t="shared" si="48"/>
        <v>0.1011</v>
      </c>
      <c r="AT33" s="360" t="e">
        <f t="shared" si="41"/>
        <v>#VALUE!</v>
      </c>
      <c r="AU33">
        <f t="shared" si="30"/>
        <v>120</v>
      </c>
      <c r="AV33" s="542" t="e">
        <f t="shared" si="42"/>
        <v>#VALUE!</v>
      </c>
      <c r="AW33" s="551" t="e">
        <f t="shared" si="31"/>
        <v>#VALUE!</v>
      </c>
      <c r="AX33" s="551" t="e">
        <f t="shared" si="32"/>
        <v>#VALUE!</v>
      </c>
      <c r="AY33" s="9"/>
      <c r="AZ33" s="4" t="e">
        <f t="shared" si="43"/>
        <v>#VALUE!</v>
      </c>
      <c r="BA33" s="360" t="e">
        <f t="shared" si="33"/>
        <v>#VALUE!</v>
      </c>
      <c r="BB33" s="360" t="e">
        <f t="shared" si="44"/>
        <v>#VALUE!</v>
      </c>
      <c r="BC33" s="360" t="e">
        <f t="shared" si="45"/>
        <v>#VALUE!</v>
      </c>
      <c r="BD33" s="360" t="e">
        <f t="shared" si="46"/>
        <v>#VALUE!</v>
      </c>
      <c r="BE33" s="360">
        <f t="shared" si="47"/>
        <v>2.959822226584841E-2</v>
      </c>
    </row>
    <row r="34" spans="1:57" x14ac:dyDescent="0.2">
      <c r="A34" s="24" t="s">
        <v>52</v>
      </c>
      <c r="B34" s="15" t="s">
        <v>111</v>
      </c>
      <c r="C34" s="24" t="s">
        <v>76</v>
      </c>
      <c r="D34" s="17" t="s">
        <v>107</v>
      </c>
      <c r="G34">
        <v>25</v>
      </c>
      <c r="H34" s="548">
        <f t="shared" si="0"/>
        <v>60</v>
      </c>
      <c r="I34" s="4">
        <f t="shared" si="1"/>
        <v>1</v>
      </c>
      <c r="J34" s="360">
        <f t="shared" si="34"/>
        <v>2.5</v>
      </c>
      <c r="K34" s="4">
        <f t="shared" si="2"/>
        <v>2.3148148148148149</v>
      </c>
      <c r="L34" s="4"/>
      <c r="M34" s="360">
        <f t="shared" si="3"/>
        <v>0.83409370247692849</v>
      </c>
      <c r="N34" s="4">
        <f t="shared" si="4"/>
        <v>1.3839004680263034</v>
      </c>
      <c r="O34" s="4">
        <f t="shared" si="35"/>
        <v>3.1919502340131518</v>
      </c>
      <c r="P34" s="4">
        <f t="shared" si="36"/>
        <v>1.8080497659868482</v>
      </c>
      <c r="Q34" s="4">
        <f t="shared" si="5"/>
        <v>0</v>
      </c>
      <c r="R34" s="4">
        <f t="shared" si="6"/>
        <v>2.531718462912155</v>
      </c>
      <c r="S34" s="360">
        <f t="shared" si="7"/>
        <v>7.6915180505403427E-2</v>
      </c>
      <c r="T34" s="360">
        <f t="shared" si="8"/>
        <v>0.3</v>
      </c>
      <c r="U34" s="360" t="e">
        <f t="shared" si="9"/>
        <v>#VALUE!</v>
      </c>
      <c r="V34" s="4">
        <f t="shared" si="37"/>
        <v>0.3994976538733177</v>
      </c>
      <c r="W34" s="360">
        <f t="shared" si="10"/>
        <v>3.1919675090057035E-4</v>
      </c>
      <c r="X34" s="360">
        <f t="shared" si="38"/>
        <v>3.1919675090057035E-4</v>
      </c>
      <c r="Y34" s="4">
        <f t="shared" si="11"/>
        <v>0.94179041383455064</v>
      </c>
      <c r="Z34" s="360">
        <f t="shared" si="12"/>
        <v>8.8696918359065411E-4</v>
      </c>
      <c r="AA34" s="541">
        <f t="shared" si="39"/>
        <v>8.8696918359065411E-4</v>
      </c>
      <c r="AB34" s="360">
        <f t="shared" si="13"/>
        <v>2.3121863334016646</v>
      </c>
      <c r="AC34" s="360">
        <f t="shared" si="14"/>
        <v>3.2077233842216599E-2</v>
      </c>
      <c r="AD34" s="360">
        <f t="shared" si="15"/>
        <v>0.16318702779476454</v>
      </c>
      <c r="AE34" s="360">
        <f t="shared" si="16"/>
        <v>-0.52595999999999998</v>
      </c>
      <c r="AF34" s="360">
        <f t="shared" si="17"/>
        <v>0</v>
      </c>
      <c r="AG34" s="360" t="e">
        <f t="shared" si="18"/>
        <v>#VALUE!</v>
      </c>
      <c r="AH34" s="360">
        <f t="shared" si="19"/>
        <v>1.0312093556018831</v>
      </c>
      <c r="AI34" s="360">
        <f t="shared" si="20"/>
        <v>2.6584818377021276E-3</v>
      </c>
      <c r="AJ34" s="360">
        <f t="shared" si="21"/>
        <v>2.9399999999999996E-2</v>
      </c>
      <c r="AK34" s="360" t="e">
        <f t="shared" si="22"/>
        <v>#VALUE!</v>
      </c>
      <c r="AL34" s="360">
        <f t="shared" si="23"/>
        <v>2.9399999999999996E-2</v>
      </c>
      <c r="AM34" s="360">
        <f t="shared" si="24"/>
        <v>0.53999999999999992</v>
      </c>
      <c r="AN34" s="360">
        <f t="shared" si="25"/>
        <v>3.2047991877251422E-2</v>
      </c>
      <c r="AO34" s="360">
        <f t="shared" si="26"/>
        <v>2.0999999999999999E-3</v>
      </c>
      <c r="AP34" s="360">
        <f t="shared" si="27"/>
        <v>9.8999999999999991E-2</v>
      </c>
      <c r="AQ34" s="360">
        <f t="shared" si="28"/>
        <v>1.1483999999999999</v>
      </c>
      <c r="AR34" s="360">
        <f t="shared" si="29"/>
        <v>1.089</v>
      </c>
      <c r="AS34" s="360">
        <f t="shared" si="48"/>
        <v>0.1011</v>
      </c>
      <c r="AT34" s="360" t="e">
        <f t="shared" si="41"/>
        <v>#VALUE!</v>
      </c>
      <c r="AU34">
        <f t="shared" si="30"/>
        <v>125</v>
      </c>
      <c r="AV34" s="542" t="e">
        <f t="shared" si="42"/>
        <v>#VALUE!</v>
      </c>
      <c r="AW34" s="551" t="e">
        <f t="shared" si="31"/>
        <v>#VALUE!</v>
      </c>
      <c r="AX34" s="551" t="e">
        <f t="shared" si="32"/>
        <v>#VALUE!</v>
      </c>
      <c r="AY34" s="9"/>
      <c r="AZ34" s="4" t="e">
        <f t="shared" si="43"/>
        <v>#VALUE!</v>
      </c>
      <c r="BA34" s="360" t="e">
        <f t="shared" si="33"/>
        <v>#VALUE!</v>
      </c>
      <c r="BB34" s="360" t="e">
        <f t="shared" si="44"/>
        <v>#VALUE!</v>
      </c>
      <c r="BC34" s="360" t="e">
        <f t="shared" si="45"/>
        <v>#VALUE!</v>
      </c>
      <c r="BD34" s="360" t="e">
        <f t="shared" si="46"/>
        <v>#VALUE!</v>
      </c>
      <c r="BE34" s="360">
        <f t="shared" si="47"/>
        <v>3.2047991877251422E-2</v>
      </c>
    </row>
    <row r="35" spans="1:57" x14ac:dyDescent="0.2">
      <c r="A35" s="22" t="s">
        <v>128</v>
      </c>
      <c r="B35" s="5">
        <f>Iq*1000</f>
        <v>3.4999999999999996E-2</v>
      </c>
      <c r="C35" s="440" t="s">
        <v>64</v>
      </c>
      <c r="D35" s="21" t="s">
        <v>131</v>
      </c>
      <c r="G35">
        <v>26</v>
      </c>
      <c r="H35" s="548">
        <f t="shared" si="0"/>
        <v>60</v>
      </c>
      <c r="I35" s="4">
        <f t="shared" si="1"/>
        <v>1</v>
      </c>
      <c r="J35" s="360">
        <f t="shared" si="34"/>
        <v>2.6</v>
      </c>
      <c r="K35" s="4">
        <f t="shared" si="2"/>
        <v>2.4074074074074074</v>
      </c>
      <c r="L35" s="4"/>
      <c r="M35" s="360">
        <f t="shared" si="3"/>
        <v>0.83412411526584107</v>
      </c>
      <c r="N35" s="4">
        <f t="shared" si="4"/>
        <v>1.3837006906773284</v>
      </c>
      <c r="O35" s="4">
        <f t="shared" si="35"/>
        <v>3.2918503453386645</v>
      </c>
      <c r="P35" s="4">
        <f t="shared" si="36"/>
        <v>1.9081496546613359</v>
      </c>
      <c r="Q35" s="4">
        <f t="shared" si="5"/>
        <v>0</v>
      </c>
      <c r="R35" s="4">
        <f t="shared" si="6"/>
        <v>2.630504191236934</v>
      </c>
      <c r="S35" s="360">
        <f t="shared" si="7"/>
        <v>8.3034627601380917E-2</v>
      </c>
      <c r="T35" s="360">
        <f t="shared" si="8"/>
        <v>0.3</v>
      </c>
      <c r="U35" s="360" t="e">
        <f t="shared" si="9"/>
        <v>#VALUE!</v>
      </c>
      <c r="V35" s="4">
        <f t="shared" si="37"/>
        <v>0.39943998312021334</v>
      </c>
      <c r="W35" s="360">
        <f t="shared" si="10"/>
        <v>3.1910460023015265E-4</v>
      </c>
      <c r="X35" s="360">
        <f t="shared" si="38"/>
        <v>3.1910460023015265E-4</v>
      </c>
      <c r="Y35" s="4">
        <f t="shared" si="11"/>
        <v>0.97846650371859134</v>
      </c>
      <c r="Z35" s="360">
        <f t="shared" si="12"/>
        <v>9.5739669889928416E-4</v>
      </c>
      <c r="AA35" s="541">
        <f t="shared" si="39"/>
        <v>9.5739669889928416E-4</v>
      </c>
      <c r="AB35" s="360">
        <f t="shared" si="13"/>
        <v>2.4024498830088432</v>
      </c>
      <c r="AC35" s="360">
        <f t="shared" si="14"/>
        <v>3.4630592642215227E-2</v>
      </c>
      <c r="AD35" s="360">
        <f t="shared" si="15"/>
        <v>0.16971450890655512</v>
      </c>
      <c r="AE35" s="360">
        <f t="shared" si="16"/>
        <v>-0.52595999999999998</v>
      </c>
      <c r="AF35" s="360">
        <f t="shared" si="17"/>
        <v>0</v>
      </c>
      <c r="AG35" s="360" t="e">
        <f t="shared" si="18"/>
        <v>#VALUE!</v>
      </c>
      <c r="AH35" s="360">
        <f t="shared" si="19"/>
        <v>1.0713481505775202</v>
      </c>
      <c r="AI35" s="360">
        <f t="shared" si="20"/>
        <v>2.8694671493646822E-3</v>
      </c>
      <c r="AJ35" s="360">
        <f t="shared" si="21"/>
        <v>3.0575999999999996E-2</v>
      </c>
      <c r="AK35" s="360" t="e">
        <f t="shared" si="22"/>
        <v>#VALUE!</v>
      </c>
      <c r="AL35" s="360">
        <f t="shared" si="23"/>
        <v>3.0575999999999996E-2</v>
      </c>
      <c r="AM35" s="360">
        <f t="shared" si="24"/>
        <v>0.56159999999999999</v>
      </c>
      <c r="AN35" s="360">
        <f t="shared" si="25"/>
        <v>3.4597761500575384E-2</v>
      </c>
      <c r="AO35" s="360">
        <f t="shared" si="26"/>
        <v>2.0999999999999999E-3</v>
      </c>
      <c r="AP35" s="360">
        <f t="shared" si="27"/>
        <v>9.8999999999999991E-2</v>
      </c>
      <c r="AQ35" s="360">
        <f t="shared" si="28"/>
        <v>1.1483999999999999</v>
      </c>
      <c r="AR35" s="360">
        <f t="shared" si="29"/>
        <v>1.089</v>
      </c>
      <c r="AS35" s="360">
        <f t="shared" si="48"/>
        <v>0.1011</v>
      </c>
      <c r="AT35" s="360" t="e">
        <f t="shared" si="41"/>
        <v>#VALUE!</v>
      </c>
      <c r="AU35">
        <f t="shared" si="30"/>
        <v>130</v>
      </c>
      <c r="AV35" s="542" t="e">
        <f t="shared" si="42"/>
        <v>#VALUE!</v>
      </c>
      <c r="AW35" s="551" t="e">
        <f t="shared" si="31"/>
        <v>#VALUE!</v>
      </c>
      <c r="AX35" s="551" t="e">
        <f t="shared" si="32"/>
        <v>#VALUE!</v>
      </c>
      <c r="AY35" s="9"/>
      <c r="AZ35" s="4" t="e">
        <f t="shared" si="43"/>
        <v>#VALUE!</v>
      </c>
      <c r="BA35" s="360" t="e">
        <f t="shared" si="33"/>
        <v>#VALUE!</v>
      </c>
      <c r="BB35" s="360" t="e">
        <f t="shared" si="44"/>
        <v>#VALUE!</v>
      </c>
      <c r="BC35" s="360" t="e">
        <f t="shared" si="45"/>
        <v>#VALUE!</v>
      </c>
      <c r="BD35" s="360" t="e">
        <f t="shared" si="46"/>
        <v>#VALUE!</v>
      </c>
      <c r="BE35" s="360">
        <f t="shared" si="47"/>
        <v>3.4597761500575384E-2</v>
      </c>
    </row>
    <row r="36" spans="1:57" x14ac:dyDescent="0.2">
      <c r="A36" s="24" t="s">
        <v>525</v>
      </c>
      <c r="B36" s="15" t="s">
        <v>111</v>
      </c>
      <c r="C36" s="24" t="s">
        <v>76</v>
      </c>
      <c r="D36" s="17" t="s">
        <v>107</v>
      </c>
      <c r="G36">
        <v>27</v>
      </c>
      <c r="H36" s="548">
        <f t="shared" si="0"/>
        <v>60</v>
      </c>
      <c r="I36" s="4">
        <f t="shared" si="1"/>
        <v>1</v>
      </c>
      <c r="J36" s="360">
        <f t="shared" si="34"/>
        <v>2.7</v>
      </c>
      <c r="K36" s="4">
        <f t="shared" si="2"/>
        <v>2.5</v>
      </c>
      <c r="L36" s="4"/>
      <c r="M36" s="360">
        <f t="shared" si="3"/>
        <v>0.83415452790269995</v>
      </c>
      <c r="N36" s="4">
        <f t="shared" si="4"/>
        <v>1.3835008948284879</v>
      </c>
      <c r="O36" s="4">
        <f t="shared" si="35"/>
        <v>3.3917504474142444</v>
      </c>
      <c r="P36" s="4">
        <f t="shared" si="36"/>
        <v>2.008249552585756</v>
      </c>
      <c r="Q36" s="4">
        <f t="shared" si="5"/>
        <v>0</v>
      </c>
      <c r="R36" s="4">
        <f t="shared" si="6"/>
        <v>2.7293783591077907</v>
      </c>
      <c r="S36" s="360">
        <f t="shared" si="7"/>
        <v>8.9394074725991243E-2</v>
      </c>
      <c r="T36" s="360">
        <f t="shared" si="8"/>
        <v>0.3</v>
      </c>
      <c r="U36" s="360" t="e">
        <f t="shared" si="9"/>
        <v>#VALUE!</v>
      </c>
      <c r="V36" s="4">
        <f t="shared" si="37"/>
        <v>0.39938230702665783</v>
      </c>
      <c r="W36" s="360">
        <f t="shared" si="10"/>
        <v>3.1901245433187114E-4</v>
      </c>
      <c r="X36" s="360">
        <f t="shared" si="38"/>
        <v>3.1901245433187114E-4</v>
      </c>
      <c r="Y36" s="4">
        <f t="shared" si="11"/>
        <v>1.0151700791674743</v>
      </c>
      <c r="Z36" s="360">
        <f t="shared" si="12"/>
        <v>1.030570289636896E-3</v>
      </c>
      <c r="AA36" s="541">
        <f t="shared" si="39"/>
        <v>1.030570289636896E-3</v>
      </c>
      <c r="AB36" s="360">
        <f t="shared" si="13"/>
        <v>2.4927974947897042</v>
      </c>
      <c r="AC36" s="360">
        <f t="shared" si="14"/>
        <v>3.7284236100178954E-2</v>
      </c>
      <c r="AD36" s="360">
        <f t="shared" si="15"/>
        <v>0.17624199001834573</v>
      </c>
      <c r="AE36" s="360">
        <f t="shared" si="16"/>
        <v>-0.52595999999999998</v>
      </c>
      <c r="AF36" s="360">
        <f t="shared" si="17"/>
        <v>0</v>
      </c>
      <c r="AG36" s="360" t="e">
        <f t="shared" si="18"/>
        <v>#VALUE!</v>
      </c>
      <c r="AH36" s="360">
        <f t="shared" si="19"/>
        <v>1.111515576650238</v>
      </c>
      <c r="AI36" s="360">
        <f t="shared" si="20"/>
        <v>3.0886671928402783E-3</v>
      </c>
      <c r="AJ36" s="360">
        <f t="shared" si="21"/>
        <v>3.1751999999999996E-2</v>
      </c>
      <c r="AK36" s="360" t="e">
        <f t="shared" si="22"/>
        <v>#VALUE!</v>
      </c>
      <c r="AL36" s="360">
        <f t="shared" si="23"/>
        <v>3.1751999999999996E-2</v>
      </c>
      <c r="AM36" s="360">
        <f t="shared" si="24"/>
        <v>0.58319999999999994</v>
      </c>
      <c r="AN36" s="360">
        <f t="shared" si="25"/>
        <v>3.7247531135829681E-2</v>
      </c>
      <c r="AO36" s="360">
        <f t="shared" si="26"/>
        <v>2.0999999999999999E-3</v>
      </c>
      <c r="AP36" s="360">
        <f t="shared" si="27"/>
        <v>9.8999999999999991E-2</v>
      </c>
      <c r="AQ36" s="360">
        <f t="shared" si="28"/>
        <v>1.1483999999999999</v>
      </c>
      <c r="AR36" s="360">
        <f t="shared" si="29"/>
        <v>1.089</v>
      </c>
      <c r="AS36" s="360">
        <f t="shared" si="48"/>
        <v>0.1011</v>
      </c>
      <c r="AT36" s="360" t="e">
        <f t="shared" si="41"/>
        <v>#VALUE!</v>
      </c>
      <c r="AU36">
        <f t="shared" si="30"/>
        <v>135</v>
      </c>
      <c r="AV36" s="542" t="e">
        <f t="shared" si="42"/>
        <v>#VALUE!</v>
      </c>
      <c r="AW36" s="551" t="e">
        <f t="shared" si="31"/>
        <v>#VALUE!</v>
      </c>
      <c r="AX36" s="551" t="e">
        <f t="shared" si="32"/>
        <v>#VALUE!</v>
      </c>
      <c r="AY36" s="9"/>
      <c r="AZ36" s="4" t="e">
        <f t="shared" si="43"/>
        <v>#VALUE!</v>
      </c>
      <c r="BA36" s="360" t="e">
        <f t="shared" si="33"/>
        <v>#VALUE!</v>
      </c>
      <c r="BB36" s="360" t="e">
        <f t="shared" si="44"/>
        <v>#VALUE!</v>
      </c>
      <c r="BC36" s="360" t="e">
        <f t="shared" si="45"/>
        <v>#VALUE!</v>
      </c>
      <c r="BD36" s="360" t="e">
        <f t="shared" si="46"/>
        <v>#VALUE!</v>
      </c>
      <c r="BE36" s="360">
        <f t="shared" si="47"/>
        <v>3.7247531135829681E-2</v>
      </c>
    </row>
    <row r="37" spans="1:57" x14ac:dyDescent="0.2">
      <c r="A37" s="23" t="s">
        <v>71</v>
      </c>
      <c r="B37" s="5">
        <f>Rdson3*1000</f>
        <v>6</v>
      </c>
      <c r="C37" s="442" t="s">
        <v>466</v>
      </c>
      <c r="D37" s="440" t="s">
        <v>528</v>
      </c>
      <c r="G37">
        <v>28</v>
      </c>
      <c r="H37" s="548">
        <f t="shared" si="0"/>
        <v>60</v>
      </c>
      <c r="I37" s="4">
        <f t="shared" si="1"/>
        <v>1</v>
      </c>
      <c r="J37" s="360">
        <f t="shared" si="34"/>
        <v>2.8</v>
      </c>
      <c r="K37" s="4">
        <f t="shared" si="2"/>
        <v>2.5925925925925926</v>
      </c>
      <c r="L37" s="4"/>
      <c r="M37" s="360">
        <f t="shared" si="3"/>
        <v>0.83418494038750624</v>
      </c>
      <c r="N37" s="4">
        <f t="shared" si="4"/>
        <v>1.3833010804799213</v>
      </c>
      <c r="O37" s="4">
        <f t="shared" si="35"/>
        <v>3.4916505402399602</v>
      </c>
      <c r="P37" s="4">
        <f t="shared" si="36"/>
        <v>2.1083494597600394</v>
      </c>
      <c r="Q37" s="4">
        <f t="shared" si="5"/>
        <v>0</v>
      </c>
      <c r="R37" s="4">
        <f t="shared" si="6"/>
        <v>2.8283316914048009</v>
      </c>
      <c r="S37" s="360">
        <f t="shared" si="7"/>
        <v>9.5993521879256902E-2</v>
      </c>
      <c r="T37" s="360">
        <f t="shared" si="8"/>
        <v>0.3</v>
      </c>
      <c r="U37" s="360" t="e">
        <f t="shared" si="9"/>
        <v>#VALUE!</v>
      </c>
      <c r="V37" s="4">
        <f t="shared" si="37"/>
        <v>0.39932462559269138</v>
      </c>
      <c r="W37" s="360">
        <f t="shared" si="10"/>
        <v>3.1892031320948633E-4</v>
      </c>
      <c r="X37" s="360">
        <f t="shared" si="38"/>
        <v>3.1892031320948633E-4</v>
      </c>
      <c r="Y37" s="4">
        <f t="shared" si="11"/>
        <v>1.0518976820857588</v>
      </c>
      <c r="Z37" s="360">
        <f t="shared" si="12"/>
        <v>1.1064887335773921E-3</v>
      </c>
      <c r="AA37" s="541">
        <f t="shared" si="39"/>
        <v>1.1064887335773921E-3</v>
      </c>
      <c r="AB37" s="360">
        <f t="shared" si="13"/>
        <v>2.5832207017344757</v>
      </c>
      <c r="AC37" s="360">
        <f t="shared" si="14"/>
        <v>4.0038175163217345E-2</v>
      </c>
      <c r="AD37" s="360">
        <f t="shared" si="15"/>
        <v>0.18276947113013631</v>
      </c>
      <c r="AE37" s="360">
        <f t="shared" si="16"/>
        <v>-0.52595999999999998</v>
      </c>
      <c r="AF37" s="360">
        <f t="shared" si="17"/>
        <v>0</v>
      </c>
      <c r="AG37" s="360" t="e">
        <f t="shared" si="18"/>
        <v>#VALUE!</v>
      </c>
      <c r="AH37" s="360">
        <f t="shared" si="19"/>
        <v>1.1517078460856225</v>
      </c>
      <c r="AI37" s="360">
        <f t="shared" si="20"/>
        <v>3.3160774068379598E-3</v>
      </c>
      <c r="AJ37" s="360">
        <f t="shared" si="21"/>
        <v>3.2927999999999992E-2</v>
      </c>
      <c r="AK37" s="360" t="e">
        <f t="shared" si="22"/>
        <v>#VALUE!</v>
      </c>
      <c r="AL37" s="360">
        <f t="shared" si="23"/>
        <v>3.2927999999999992E-2</v>
      </c>
      <c r="AM37" s="360">
        <f t="shared" si="24"/>
        <v>0.60479999999999989</v>
      </c>
      <c r="AN37" s="360">
        <f t="shared" si="25"/>
        <v>3.9997300783023708E-2</v>
      </c>
      <c r="AO37" s="360">
        <f t="shared" si="26"/>
        <v>2.0999999999999999E-3</v>
      </c>
      <c r="AP37" s="360">
        <f t="shared" si="27"/>
        <v>9.8999999999999991E-2</v>
      </c>
      <c r="AQ37" s="360">
        <f t="shared" si="28"/>
        <v>1.1483999999999999</v>
      </c>
      <c r="AR37" s="360">
        <f t="shared" si="29"/>
        <v>1.089</v>
      </c>
      <c r="AS37" s="360">
        <f t="shared" si="48"/>
        <v>0.1011</v>
      </c>
      <c r="AT37" s="360" t="e">
        <f t="shared" si="41"/>
        <v>#VALUE!</v>
      </c>
      <c r="AU37">
        <f t="shared" si="30"/>
        <v>140</v>
      </c>
      <c r="AV37" s="542" t="e">
        <f t="shared" si="42"/>
        <v>#VALUE!</v>
      </c>
      <c r="AW37" s="551" t="e">
        <f t="shared" si="31"/>
        <v>#VALUE!</v>
      </c>
      <c r="AX37" s="551" t="e">
        <f t="shared" si="32"/>
        <v>#VALUE!</v>
      </c>
      <c r="AY37" s="9"/>
      <c r="AZ37" s="4" t="e">
        <f t="shared" si="43"/>
        <v>#VALUE!</v>
      </c>
      <c r="BA37" s="360" t="e">
        <f t="shared" si="33"/>
        <v>#VALUE!</v>
      </c>
      <c r="BB37" s="360" t="e">
        <f t="shared" si="44"/>
        <v>#VALUE!</v>
      </c>
      <c r="BC37" s="360" t="e">
        <f t="shared" si="45"/>
        <v>#VALUE!</v>
      </c>
      <c r="BD37" s="360" t="e">
        <f t="shared" si="46"/>
        <v>#VALUE!</v>
      </c>
      <c r="BE37" s="360">
        <f t="shared" si="47"/>
        <v>3.9997300783023708E-2</v>
      </c>
    </row>
    <row r="38" spans="1:57" x14ac:dyDescent="0.2">
      <c r="A38" s="22" t="s">
        <v>79</v>
      </c>
      <c r="B38" s="5">
        <f>RdsonTopTc*1000000</f>
        <v>4000</v>
      </c>
      <c r="C38" s="440" t="s">
        <v>81</v>
      </c>
      <c r="D38" s="21" t="s">
        <v>109</v>
      </c>
      <c r="G38">
        <v>29</v>
      </c>
      <c r="H38" s="548">
        <f t="shared" si="0"/>
        <v>60</v>
      </c>
      <c r="I38" s="4">
        <f t="shared" si="1"/>
        <v>1</v>
      </c>
      <c r="J38" s="360">
        <f t="shared" si="34"/>
        <v>2.9</v>
      </c>
      <c r="K38" s="4">
        <f t="shared" si="2"/>
        <v>2.6851851851851851</v>
      </c>
      <c r="L38" s="4"/>
      <c r="M38" s="360">
        <f t="shared" si="3"/>
        <v>0.83421535272026115</v>
      </c>
      <c r="N38" s="4">
        <f t="shared" si="4"/>
        <v>1.383101247631769</v>
      </c>
      <c r="O38" s="4">
        <f t="shared" si="35"/>
        <v>3.5915506238158845</v>
      </c>
      <c r="P38" s="4">
        <f t="shared" si="36"/>
        <v>2.2084493761841153</v>
      </c>
      <c r="Q38" s="4">
        <f t="shared" si="5"/>
        <v>0</v>
      </c>
      <c r="R38" s="4">
        <f t="shared" si="6"/>
        <v>2.9273561601611409</v>
      </c>
      <c r="S38" s="360">
        <f t="shared" si="7"/>
        <v>0.10283296906120055</v>
      </c>
      <c r="T38" s="360">
        <f t="shared" si="8"/>
        <v>0.3</v>
      </c>
      <c r="U38" s="360" t="e">
        <f t="shared" si="9"/>
        <v>#VALUE!</v>
      </c>
      <c r="V38" s="4">
        <f t="shared" si="37"/>
        <v>0.39926693881835457</v>
      </c>
      <c r="W38" s="360">
        <f t="shared" si="10"/>
        <v>3.1882817686675936E-4</v>
      </c>
      <c r="X38" s="360">
        <f t="shared" si="38"/>
        <v>3.1882817686675936E-4</v>
      </c>
      <c r="Y38" s="4">
        <f t="shared" si="11"/>
        <v>1.0886463191895455</v>
      </c>
      <c r="Z38" s="360">
        <f t="shared" si="12"/>
        <v>1.1851508082849458E-3</v>
      </c>
      <c r="AA38" s="541">
        <f t="shared" si="39"/>
        <v>1.1851508082849458E-3</v>
      </c>
      <c r="AB38" s="360">
        <f t="shared" si="13"/>
        <v>2.6737121753076614</v>
      </c>
      <c r="AC38" s="360">
        <f t="shared" si="14"/>
        <v>4.289242077833056E-2</v>
      </c>
      <c r="AD38" s="360">
        <f t="shared" si="15"/>
        <v>0.18929695224192689</v>
      </c>
      <c r="AE38" s="360">
        <f t="shared" si="16"/>
        <v>-0.52595999999999998</v>
      </c>
      <c r="AF38" s="360">
        <f t="shared" si="17"/>
        <v>0</v>
      </c>
      <c r="AG38" s="360" t="e">
        <f t="shared" si="18"/>
        <v>#VALUE!</v>
      </c>
      <c r="AH38" s="360">
        <f t="shared" si="19"/>
        <v>1.1919216803317878</v>
      </c>
      <c r="AI38" s="360">
        <f t="shared" si="20"/>
        <v>3.5516932301123817E-3</v>
      </c>
      <c r="AJ38" s="360">
        <f t="shared" si="21"/>
        <v>3.4103999999999995E-2</v>
      </c>
      <c r="AK38" s="360" t="e">
        <f t="shared" si="22"/>
        <v>#VALUE!</v>
      </c>
      <c r="AL38" s="360">
        <f t="shared" si="23"/>
        <v>3.4103999999999995E-2</v>
      </c>
      <c r="AM38" s="360">
        <f t="shared" si="24"/>
        <v>0.62639999999999985</v>
      </c>
      <c r="AN38" s="360">
        <f t="shared" si="25"/>
        <v>4.2847070442166901E-2</v>
      </c>
      <c r="AO38" s="360">
        <f t="shared" si="26"/>
        <v>2.0999999999999999E-3</v>
      </c>
      <c r="AP38" s="360">
        <f t="shared" si="27"/>
        <v>9.8999999999999991E-2</v>
      </c>
      <c r="AQ38" s="360">
        <f t="shared" si="28"/>
        <v>1.1483999999999999</v>
      </c>
      <c r="AR38" s="360">
        <f t="shared" si="29"/>
        <v>1.089</v>
      </c>
      <c r="AS38" s="360">
        <f t="shared" si="48"/>
        <v>0.1011</v>
      </c>
      <c r="AT38" s="360" t="e">
        <f t="shared" si="41"/>
        <v>#VALUE!</v>
      </c>
      <c r="AU38">
        <f t="shared" si="30"/>
        <v>145</v>
      </c>
      <c r="AV38" s="542" t="e">
        <f t="shared" si="42"/>
        <v>#VALUE!</v>
      </c>
      <c r="AW38" s="551" t="e">
        <f t="shared" si="31"/>
        <v>#VALUE!</v>
      </c>
      <c r="AX38" s="551" t="e">
        <f t="shared" si="32"/>
        <v>#VALUE!</v>
      </c>
      <c r="AY38" s="9"/>
      <c r="AZ38" s="4" t="e">
        <f t="shared" si="43"/>
        <v>#VALUE!</v>
      </c>
      <c r="BA38" s="360" t="e">
        <f t="shared" si="33"/>
        <v>#VALUE!</v>
      </c>
      <c r="BB38" s="360" t="e">
        <f t="shared" si="44"/>
        <v>#VALUE!</v>
      </c>
      <c r="BC38" s="360" t="e">
        <f t="shared" si="45"/>
        <v>#VALUE!</v>
      </c>
      <c r="BD38" s="360" t="e">
        <f t="shared" si="46"/>
        <v>#VALUE!</v>
      </c>
      <c r="BE38" s="360">
        <f t="shared" si="47"/>
        <v>4.2847070442166901E-2</v>
      </c>
    </row>
    <row r="39" spans="1:57" x14ac:dyDescent="0.2">
      <c r="A39" s="23" t="s">
        <v>70</v>
      </c>
      <c r="B39" s="5">
        <f>Qg_Q3*1000000000</f>
        <v>8</v>
      </c>
      <c r="C39" s="440" t="s">
        <v>65</v>
      </c>
      <c r="D39" s="21" t="s">
        <v>99</v>
      </c>
      <c r="G39">
        <v>30</v>
      </c>
      <c r="H39" s="548">
        <f t="shared" si="0"/>
        <v>60</v>
      </c>
      <c r="I39" s="4">
        <f t="shared" si="1"/>
        <v>1</v>
      </c>
      <c r="J39" s="360">
        <f t="shared" si="34"/>
        <v>3</v>
      </c>
      <c r="K39" s="4">
        <f t="shared" si="2"/>
        <v>2.7777777777777777</v>
      </c>
      <c r="L39" s="4"/>
      <c r="M39" s="360">
        <f t="shared" si="3"/>
        <v>0.8342457649009658</v>
      </c>
      <c r="N39" s="4">
        <f t="shared" si="4"/>
        <v>1.3829013962841672</v>
      </c>
      <c r="O39" s="4">
        <f t="shared" si="35"/>
        <v>3.6914506981420834</v>
      </c>
      <c r="P39" s="4">
        <f t="shared" si="36"/>
        <v>2.3085493018579166</v>
      </c>
      <c r="Q39" s="4">
        <f t="shared" si="5"/>
        <v>0</v>
      </c>
      <c r="R39" s="4">
        <f t="shared" si="6"/>
        <v>3.0264447826870597</v>
      </c>
      <c r="S39" s="360">
        <f t="shared" si="7"/>
        <v>0.1099124162718447</v>
      </c>
      <c r="T39" s="360">
        <f t="shared" si="8"/>
        <v>0.3</v>
      </c>
      <c r="U39" s="360" t="e">
        <f t="shared" si="9"/>
        <v>#VALUE!</v>
      </c>
      <c r="V39" s="4">
        <f t="shared" si="37"/>
        <v>0.39920924670368668</v>
      </c>
      <c r="W39" s="360">
        <f t="shared" si="10"/>
        <v>3.1873604530744998E-4</v>
      </c>
      <c r="X39" s="360">
        <f t="shared" si="38"/>
        <v>3.1873604530744998E-4</v>
      </c>
      <c r="Y39" s="4">
        <f t="shared" si="11"/>
        <v>1.1254133867668383</v>
      </c>
      <c r="Z39" s="360">
        <f t="shared" si="12"/>
        <v>1.2665552911140052E-3</v>
      </c>
      <c r="AA39" s="541">
        <f t="shared" si="39"/>
        <v>1.2665552911140052E-3</v>
      </c>
      <c r="AB39" s="360">
        <f t="shared" si="13"/>
        <v>2.7642655411642716</v>
      </c>
      <c r="AC39" s="360">
        <f t="shared" si="14"/>
        <v>4.5846983892409224E-2</v>
      </c>
      <c r="AD39" s="360">
        <f t="shared" si="15"/>
        <v>0.19582443335371746</v>
      </c>
      <c r="AE39" s="360">
        <f t="shared" si="16"/>
        <v>-0.52595999999999998</v>
      </c>
      <c r="AF39" s="360">
        <f t="shared" si="17"/>
        <v>0</v>
      </c>
      <c r="AG39" s="360" t="e">
        <f t="shared" si="18"/>
        <v>#VALUE!</v>
      </c>
      <c r="AH39" s="360">
        <f t="shared" si="19"/>
        <v>1.2321542275971467</v>
      </c>
      <c r="AI39" s="360">
        <f t="shared" si="20"/>
        <v>3.7955101014638028E-3</v>
      </c>
      <c r="AJ39" s="360">
        <f t="shared" si="21"/>
        <v>3.5279999999999992E-2</v>
      </c>
      <c r="AK39" s="360" t="e">
        <f t="shared" si="22"/>
        <v>#VALUE!</v>
      </c>
      <c r="AL39" s="360">
        <f t="shared" si="23"/>
        <v>3.5279999999999992E-2</v>
      </c>
      <c r="AM39" s="360">
        <f t="shared" si="24"/>
        <v>0.6479999999999998</v>
      </c>
      <c r="AN39" s="360">
        <f t="shared" si="25"/>
        <v>4.5796840113268622E-2</v>
      </c>
      <c r="AO39" s="360">
        <f t="shared" si="26"/>
        <v>2.0999999999999999E-3</v>
      </c>
      <c r="AP39" s="360">
        <f t="shared" si="27"/>
        <v>9.8999999999999991E-2</v>
      </c>
      <c r="AQ39" s="360">
        <f t="shared" si="28"/>
        <v>1.1483999999999999</v>
      </c>
      <c r="AR39" s="360">
        <f t="shared" si="29"/>
        <v>1.089</v>
      </c>
      <c r="AS39" s="360">
        <f t="shared" si="48"/>
        <v>0.1011</v>
      </c>
      <c r="AT39" s="360" t="e">
        <f t="shared" si="41"/>
        <v>#VALUE!</v>
      </c>
      <c r="AU39">
        <f t="shared" si="30"/>
        <v>150</v>
      </c>
      <c r="AV39" s="542" t="e">
        <f t="shared" si="42"/>
        <v>#VALUE!</v>
      </c>
      <c r="AW39" s="551" t="e">
        <f t="shared" si="31"/>
        <v>#VALUE!</v>
      </c>
      <c r="AX39" s="551" t="e">
        <f t="shared" si="32"/>
        <v>#VALUE!</v>
      </c>
      <c r="AY39" s="9"/>
      <c r="AZ39" s="4" t="e">
        <f t="shared" si="43"/>
        <v>#VALUE!</v>
      </c>
      <c r="BA39" s="360" t="e">
        <f t="shared" si="33"/>
        <v>#VALUE!</v>
      </c>
      <c r="BB39" s="360" t="e">
        <f t="shared" si="44"/>
        <v>#VALUE!</v>
      </c>
      <c r="BC39" s="360" t="e">
        <f t="shared" si="45"/>
        <v>#VALUE!</v>
      </c>
      <c r="BD39" s="360" t="e">
        <f t="shared" si="46"/>
        <v>#VALUE!</v>
      </c>
      <c r="BE39" s="360">
        <f t="shared" si="47"/>
        <v>4.5796840113268622E-2</v>
      </c>
    </row>
    <row r="40" spans="1:57" x14ac:dyDescent="0.2">
      <c r="A40" s="23" t="s">
        <v>120</v>
      </c>
      <c r="B40" s="5">
        <f>Qgd_Q3*1000000000</f>
        <v>1.4</v>
      </c>
      <c r="C40" s="440" t="s">
        <v>65</v>
      </c>
      <c r="D40" s="21" t="s">
        <v>121</v>
      </c>
      <c r="G40">
        <v>31</v>
      </c>
      <c r="H40" s="548">
        <f t="shared" si="0"/>
        <v>60</v>
      </c>
      <c r="I40" s="4">
        <f t="shared" si="1"/>
        <v>1</v>
      </c>
      <c r="J40" s="360">
        <f t="shared" si="34"/>
        <v>3.1</v>
      </c>
      <c r="K40" s="4">
        <f t="shared" si="2"/>
        <v>2.8703703703703702</v>
      </c>
      <c r="L40" s="4"/>
      <c r="M40" s="360">
        <f t="shared" si="3"/>
        <v>0.83427617692962142</v>
      </c>
      <c r="N40" s="4">
        <f t="shared" si="4"/>
        <v>1.3827015264372571</v>
      </c>
      <c r="O40" s="4">
        <f t="shared" si="35"/>
        <v>3.7913507632186287</v>
      </c>
      <c r="P40" s="4">
        <f t="shared" si="36"/>
        <v>2.4086492367813714</v>
      </c>
      <c r="Q40" s="4">
        <f t="shared" si="5"/>
        <v>0</v>
      </c>
      <c r="R40" s="4">
        <f t="shared" si="6"/>
        <v>3.1255914575113075</v>
      </c>
      <c r="S40" s="360">
        <f t="shared" si="7"/>
        <v>0.11723186351121191</v>
      </c>
      <c r="T40" s="360">
        <f t="shared" si="8"/>
        <v>0.3</v>
      </c>
      <c r="U40" s="360" t="e">
        <f t="shared" si="9"/>
        <v>#VALUE!</v>
      </c>
      <c r="V40" s="4">
        <f t="shared" si="37"/>
        <v>0.39915154924872842</v>
      </c>
      <c r="W40" s="360">
        <f t="shared" si="10"/>
        <v>3.1864391853532014E-4</v>
      </c>
      <c r="X40" s="360">
        <f t="shared" si="38"/>
        <v>3.1864391853532014E-4</v>
      </c>
      <c r="Y40" s="4">
        <f t="shared" si="11"/>
        <v>1.162196609532699</v>
      </c>
      <c r="Z40" s="360">
        <f t="shared" si="12"/>
        <v>1.350700959209301E-3</v>
      </c>
      <c r="AA40" s="541">
        <f t="shared" si="39"/>
        <v>1.350700959209301E-3</v>
      </c>
      <c r="AB40" s="360">
        <f t="shared" si="13"/>
        <v>2.8548752293878663</v>
      </c>
      <c r="AC40" s="360">
        <f t="shared" si="14"/>
        <v>4.8901875452234539E-2</v>
      </c>
      <c r="AD40" s="360">
        <f t="shared" si="15"/>
        <v>0.20235191446550804</v>
      </c>
      <c r="AE40" s="360">
        <f t="shared" si="16"/>
        <v>-0.52595999999999998</v>
      </c>
      <c r="AF40" s="360">
        <f t="shared" si="17"/>
        <v>0</v>
      </c>
      <c r="AG40" s="360" t="e">
        <f t="shared" si="18"/>
        <v>#VALUE!</v>
      </c>
      <c r="AH40" s="360">
        <f t="shared" si="19"/>
        <v>1.2724029958685408</v>
      </c>
      <c r="AI40" s="360">
        <f t="shared" si="20"/>
        <v>4.0475234597380947E-3</v>
      </c>
      <c r="AJ40" s="360">
        <f t="shared" si="21"/>
        <v>3.6455999999999995E-2</v>
      </c>
      <c r="AK40" s="360" t="e">
        <f t="shared" si="22"/>
        <v>#VALUE!</v>
      </c>
      <c r="AL40" s="360">
        <f t="shared" si="23"/>
        <v>3.6455999999999995E-2</v>
      </c>
      <c r="AM40" s="360">
        <f t="shared" si="24"/>
        <v>0.66960000000000008</v>
      </c>
      <c r="AN40" s="360">
        <f t="shared" si="25"/>
        <v>4.8846609796338293E-2</v>
      </c>
      <c r="AO40" s="360">
        <f t="shared" si="26"/>
        <v>2.0999999999999999E-3</v>
      </c>
      <c r="AP40" s="360">
        <f t="shared" si="27"/>
        <v>9.8999999999999991E-2</v>
      </c>
      <c r="AQ40" s="360">
        <f t="shared" si="28"/>
        <v>1.1483999999999999</v>
      </c>
      <c r="AR40" s="360">
        <f t="shared" si="29"/>
        <v>1.089</v>
      </c>
      <c r="AS40" s="360">
        <f t="shared" si="48"/>
        <v>0.1011</v>
      </c>
      <c r="AT40" s="360" t="e">
        <f t="shared" si="41"/>
        <v>#VALUE!</v>
      </c>
      <c r="AU40">
        <f t="shared" si="30"/>
        <v>155</v>
      </c>
      <c r="AV40" s="542" t="e">
        <f t="shared" si="42"/>
        <v>#VALUE!</v>
      </c>
      <c r="AW40" s="551" t="e">
        <f t="shared" si="31"/>
        <v>#VALUE!</v>
      </c>
      <c r="AX40" s="551" t="e">
        <f t="shared" si="32"/>
        <v>#VALUE!</v>
      </c>
      <c r="AY40" s="9"/>
      <c r="AZ40" s="4" t="e">
        <f t="shared" si="43"/>
        <v>#VALUE!</v>
      </c>
      <c r="BA40" s="360" t="e">
        <f t="shared" si="33"/>
        <v>#VALUE!</v>
      </c>
      <c r="BB40" s="360" t="e">
        <f t="shared" si="44"/>
        <v>#VALUE!</v>
      </c>
      <c r="BC40" s="360" t="e">
        <f t="shared" si="45"/>
        <v>#VALUE!</v>
      </c>
      <c r="BD40" s="360" t="e">
        <f t="shared" si="46"/>
        <v>#VALUE!</v>
      </c>
      <c r="BE40" s="360">
        <f t="shared" si="47"/>
        <v>4.8846609796338293E-2</v>
      </c>
    </row>
    <row r="41" spans="1:57" x14ac:dyDescent="0.2">
      <c r="A41" s="23" t="s">
        <v>124</v>
      </c>
      <c r="B41" s="5">
        <f>Qgs_Q3*1000000000</f>
        <v>3.8000000000000003</v>
      </c>
      <c r="C41" s="440" t="s">
        <v>65</v>
      </c>
      <c r="D41" s="21"/>
      <c r="G41">
        <v>32</v>
      </c>
      <c r="H41" s="548">
        <f t="shared" si="0"/>
        <v>60</v>
      </c>
      <c r="I41" s="4">
        <f t="shared" ref="I41:I72" si="49">MODE</f>
        <v>1</v>
      </c>
      <c r="J41" s="360">
        <f t="shared" si="34"/>
        <v>3.2</v>
      </c>
      <c r="K41" s="4">
        <f t="shared" ref="K41:K72" si="50">Vout2*J41/(Vin*Efficiency)</f>
        <v>2.9629629629629628</v>
      </c>
      <c r="L41" s="4"/>
      <c r="M41" s="360">
        <f t="shared" ref="M41:M72" si="51">(Vout2+(Rdson4+Rs+Rdcr)*J41)/(Vin+(Rs+Rdson2-Rdson1)*J41)</f>
        <v>0.83430658880622877</v>
      </c>
      <c r="N41" s="4">
        <f t="shared" ref="N41:N72" si="52">(Vin-(Rdson3+Rdcr2)*J41-Vout2)*M41/(Fsw*Lo_2)</f>
        <v>1.3825016380911745</v>
      </c>
      <c r="O41" s="4">
        <f t="shared" si="35"/>
        <v>3.8912508190455872</v>
      </c>
      <c r="P41" s="4">
        <f t="shared" si="36"/>
        <v>2.5087491809544131</v>
      </c>
      <c r="Q41" s="4">
        <f t="shared" ref="Q41:Q72" si="53">IF(MIN(Vin, -P41/(Coss_Q3+Coss_Q4)*0.00000002)&lt;0, 0, MIN(Vin, -P41/(Coss_Q3+Coss_Q4)*0.00000002))</f>
        <v>0</v>
      </c>
      <c r="R41" s="4">
        <f t="shared" ref="R41:R72" si="54">SQRT(J41^2+(N41^2)/12)</f>
        <v>3.2247908301589217</v>
      </c>
      <c r="S41" s="360">
        <f t="shared" ref="S41:S72" si="55">R41^2*Rdcr2</f>
        <v>0.1247913107793248</v>
      </c>
      <c r="T41" s="360">
        <f t="shared" ref="T41:T72" si="56">Core_Loss_Ch1</f>
        <v>0.3</v>
      </c>
      <c r="U41" s="360" t="e">
        <f t="shared" ref="U41:U72" si="57">(T41+S41*(1+Ltc*(Ta-25)))/(1-S41*Ltc*ThetaCa)</f>
        <v>#VALUE!</v>
      </c>
      <c r="V41" s="4">
        <f t="shared" si="37"/>
        <v>0.39909384645351914</v>
      </c>
      <c r="W41" s="360">
        <f t="shared" ref="W41:W72" si="58">Cout2_ESR*V41^2</f>
        <v>3.1855179655413025E-4</v>
      </c>
      <c r="X41" s="360">
        <f t="shared" si="38"/>
        <v>3.1855179655413025E-4</v>
      </c>
      <c r="Y41" s="4">
        <f t="shared" ref="Y41:Y72" si="59">SQRT(M41*(1-M41))*SQRT(J41^2+(N41^2)/12)</f>
        <v>1.1989939906045619</v>
      </c>
      <c r="Z41" s="360">
        <f t="shared" si="12"/>
        <v>1.4375865895058524E-3</v>
      </c>
      <c r="AA41" s="541">
        <f t="shared" si="39"/>
        <v>1.4375865895058524E-3</v>
      </c>
      <c r="AB41" s="360">
        <f t="shared" ref="AB41:AB72" si="60">SQRT(M41)*SQRT(J41^2+(N41^2)/12)</f>
        <v>2.9455363519648454</v>
      </c>
      <c r="AC41" s="360">
        <f t="shared" ref="AC41:AC72" si="61">Rdson3*AB41^2</f>
        <v>5.2057106404478221E-2</v>
      </c>
      <c r="AD41" s="360">
        <f t="shared" ref="AD41:AD72" si="62">(Vin*J41/2)*Fsw*(Tr_Ch2+Tf_Ch2)</f>
        <v>0.20887939557729862</v>
      </c>
      <c r="AE41" s="360">
        <f t="shared" ref="AE41:AE72" si="63">(0.5*Coss_Q3*(Vin-Q41)^2-0.5*Coss_Q4*(Vin-Q41)^2+(Qoss_Q4*(Vin-Q41)/Vin)*Vin)*Fsw</f>
        <v>-0.52595999999999998</v>
      </c>
      <c r="AF41" s="360">
        <f t="shared" ref="AF41:AF72" si="64">IF(J41&gt;N41/2,0,ABS(J41-N41/2)*Vsd_Q3*Deadtime*Fsw)</f>
        <v>0</v>
      </c>
      <c r="AG41" s="360" t="e">
        <f t="shared" ref="AG41:AG72" si="65">(AF41+AE41+AD41+AC41*(1+RdsonTopTc*Ta-RdsonTopTc*25))/(1-AC41*RdsonTopTc*ThetaJA_Q2)</f>
        <v>#VALUE!</v>
      </c>
      <c r="AH41" s="360">
        <f t="shared" ref="AH41:AH72" si="66">SQRT((1-M41))*SQRT(J41^2+(N41^2)/12)</f>
        <v>1.3126657981111174</v>
      </c>
      <c r="AI41" s="360">
        <f t="shared" ref="AI41:AI72" si="67">Rdson4*AH41^2</f>
        <v>4.3077287438267418E-3</v>
      </c>
      <c r="AJ41" s="360">
        <f t="shared" ref="AJ41:AJ72" si="68">IF(J41&lt;N41/2,Deadtime*Fsw*IF(VfdSky_Q4&gt;0,0,Vsd_Q4)*(J41+N41/2),2*Deadtime*Fsw*IF(VfdSky_Q4&gt;0,0,Vsd_Q4)*J41)</f>
        <v>3.7631999999999999E-2</v>
      </c>
      <c r="AK41" s="360" t="e">
        <f t="shared" ref="AK41:AK72" si="69">(AJ41+AI41*(1+RdsonBotTc*Ta-RdsonBotTc*25))/(1-AI41*RdsonBotTc*ThetaJA_Q3)</f>
        <v>#VALUE!</v>
      </c>
      <c r="AL41" s="360">
        <f t="shared" ref="AL41:AL72" si="70">2*Deadtime*Fsw*IF(VfdSky_Q4&gt;0,VfdSky_Q4,Vsd_Q4)*J41</f>
        <v>3.7631999999999999E-2</v>
      </c>
      <c r="AM41" s="360">
        <f t="shared" ref="AM41:AM72" si="71">IF(QrrSky_Q4&gt;0,QrrSky_Q4,Qrr_Q4*J41/Iout2)*Fsw*Vin</f>
        <v>0.69120000000000004</v>
      </c>
      <c r="AN41" s="360">
        <f t="shared" ref="AN41:AN72" si="72">CHOOSE(SENSING_TYPE, Rs_Ch2*R41^2, 0)</f>
        <v>5.1996379491385331E-2</v>
      </c>
      <c r="AO41" s="360">
        <f t="shared" ref="AO41:AO72" si="73">Iq*Vin</f>
        <v>2.0999999999999999E-3</v>
      </c>
      <c r="AP41" s="360">
        <f t="shared" ref="AP41:AP72" si="74">IF(Ext_VCC=1,  (Qg_Q3+Qg_Q4)*Fsw*VCC, (Qg_Q3+Qg_Q4)*Fsw*Vin)</f>
        <v>9.8999999999999991E-2</v>
      </c>
      <c r="AQ41" s="360">
        <f t="shared" ref="AQ41:AQ72" si="75">(Vin-VCC)*Fsw*(Qg_Q3+Qg_Q4)+(RdsonDRT+RdsonDRT2)*Fsw*Qg_Q3*VCC/(RdsonDRT+2*Rgate3+RdsonDRT2)+(RdsonDRB+RdsonDRB2)*Fsw*Qg_Q4*VCC/(RdsonDRB+2*Rgate4+RdsonDRB2)</f>
        <v>1.1483999999999999</v>
      </c>
      <c r="AR41" s="360">
        <f t="shared" ref="AR41:AR72" si="76">(Qg_Q3+Qg_Q4)*Fsw*(Vin-VCC)</f>
        <v>1.089</v>
      </c>
      <c r="AS41" s="360">
        <f t="shared" si="48"/>
        <v>0.1011</v>
      </c>
      <c r="AT41" s="360" t="e">
        <f t="shared" si="41"/>
        <v>#VALUE!</v>
      </c>
      <c r="AU41">
        <f t="shared" ref="AU41:AU72" si="77">Vout2*J41</f>
        <v>160</v>
      </c>
      <c r="AV41" s="542" t="e">
        <f t="shared" si="42"/>
        <v>#VALUE!</v>
      </c>
      <c r="AW41" s="551" t="e">
        <f t="shared" ref="AW41:AW72" si="78">ThetaJA_Q1*BC41</f>
        <v>#VALUE!</v>
      </c>
      <c r="AX41" s="551" t="e">
        <f t="shared" ref="AX41:AX72" si="79">ThetaJA_Q2*BD41</f>
        <v>#VALUE!</v>
      </c>
      <c r="AY41" s="9"/>
      <c r="AZ41" s="4" t="e">
        <f t="shared" si="43"/>
        <v>#VALUE!</v>
      </c>
      <c r="BA41" s="360" t="e">
        <f t="shared" ref="BA41:BA72" si="80">U41</f>
        <v>#VALUE!</v>
      </c>
      <c r="BB41" s="360" t="e">
        <f t="shared" si="44"/>
        <v>#VALUE!</v>
      </c>
      <c r="BC41" s="360" t="e">
        <f t="shared" si="45"/>
        <v>#VALUE!</v>
      </c>
      <c r="BD41" s="360" t="e">
        <f t="shared" si="46"/>
        <v>#VALUE!</v>
      </c>
      <c r="BE41" s="360">
        <f t="shared" si="47"/>
        <v>5.1996379491385331E-2</v>
      </c>
    </row>
    <row r="42" spans="1:57" x14ac:dyDescent="0.2">
      <c r="A42" s="23" t="s">
        <v>90</v>
      </c>
      <c r="B42" s="5">
        <f>Rgate3</f>
        <v>0.5</v>
      </c>
      <c r="C42" s="444" t="s">
        <v>116</v>
      </c>
      <c r="D42" s="21" t="s">
        <v>100</v>
      </c>
      <c r="G42">
        <v>33</v>
      </c>
      <c r="H42" s="548">
        <f t="shared" si="0"/>
        <v>60</v>
      </c>
      <c r="I42" s="4">
        <f t="shared" si="49"/>
        <v>1</v>
      </c>
      <c r="J42" s="360">
        <f t="shared" ref="J42:J73" si="81">Iout2*G42/100</f>
        <v>3.3</v>
      </c>
      <c r="K42" s="4">
        <f t="shared" si="50"/>
        <v>3.0555555555555554</v>
      </c>
      <c r="L42" s="4"/>
      <c r="M42" s="360">
        <f t="shared" si="51"/>
        <v>0.83433700053078952</v>
      </c>
      <c r="N42" s="4">
        <f t="shared" si="52"/>
        <v>1.3823017312460615</v>
      </c>
      <c r="O42" s="4">
        <f t="shared" si="35"/>
        <v>3.9911508656230303</v>
      </c>
      <c r="P42" s="4">
        <f t="shared" si="36"/>
        <v>2.6088491343769693</v>
      </c>
      <c r="Q42" s="4">
        <f t="shared" si="53"/>
        <v>0</v>
      </c>
      <c r="R42" s="4">
        <f t="shared" si="54"/>
        <v>3.3240381826452925</v>
      </c>
      <c r="S42" s="360">
        <f t="shared" si="55"/>
        <v>0.13259075807620585</v>
      </c>
      <c r="T42" s="360">
        <f t="shared" si="56"/>
        <v>0.3</v>
      </c>
      <c r="U42" s="360" t="e">
        <f t="shared" si="57"/>
        <v>#VALUE!</v>
      </c>
      <c r="V42" s="4">
        <f t="shared" si="37"/>
        <v>0.3990361383180997</v>
      </c>
      <c r="W42" s="360">
        <f t="shared" si="58"/>
        <v>3.1845967936764319E-4</v>
      </c>
      <c r="X42" s="360">
        <f t="shared" si="38"/>
        <v>3.1845967936764319E-4</v>
      </c>
      <c r="Y42" s="4">
        <f t="shared" si="59"/>
        <v>1.2358037703166969</v>
      </c>
      <c r="Z42" s="360">
        <f t="shared" si="12"/>
        <v>1.5272109587289634E-3</v>
      </c>
      <c r="AA42" s="541">
        <f t="shared" si="39"/>
        <v>1.5272109587289634E-3</v>
      </c>
      <c r="AB42" s="360">
        <f t="shared" si="60"/>
        <v>3.0362446019082676</v>
      </c>
      <c r="AC42" s="360">
        <f t="shared" si="61"/>
        <v>5.5312687695702564E-2</v>
      </c>
      <c r="AD42" s="360">
        <f t="shared" si="62"/>
        <v>0.2154068766890892</v>
      </c>
      <c r="AE42" s="360">
        <f t="shared" si="63"/>
        <v>-0.52595999999999998</v>
      </c>
      <c r="AF42" s="360">
        <f t="shared" si="64"/>
        <v>0</v>
      </c>
      <c r="AG42" s="360" t="e">
        <f t="shared" si="65"/>
        <v>#VALUE!</v>
      </c>
      <c r="AH42" s="360">
        <f t="shared" si="66"/>
        <v>1.3529407071511763</v>
      </c>
      <c r="AI42" s="360">
        <f t="shared" si="67"/>
        <v>4.576121392666813E-3</v>
      </c>
      <c r="AJ42" s="360">
        <f t="shared" si="68"/>
        <v>3.8807999999999988E-2</v>
      </c>
      <c r="AK42" s="360" t="e">
        <f t="shared" si="69"/>
        <v>#VALUE!</v>
      </c>
      <c r="AL42" s="360">
        <f t="shared" si="70"/>
        <v>3.8807999999999988E-2</v>
      </c>
      <c r="AM42" s="360">
        <f t="shared" si="71"/>
        <v>0.71279999999999999</v>
      </c>
      <c r="AN42" s="360">
        <f t="shared" si="72"/>
        <v>5.5246149198419102E-2</v>
      </c>
      <c r="AO42" s="360">
        <f t="shared" si="73"/>
        <v>2.0999999999999999E-3</v>
      </c>
      <c r="AP42" s="360">
        <f t="shared" si="74"/>
        <v>9.8999999999999991E-2</v>
      </c>
      <c r="AQ42" s="360">
        <f t="shared" si="75"/>
        <v>1.1483999999999999</v>
      </c>
      <c r="AR42" s="360">
        <f t="shared" si="76"/>
        <v>1.089</v>
      </c>
      <c r="AS42" s="360">
        <f t="shared" si="48"/>
        <v>0.1011</v>
      </c>
      <c r="AT42" s="360" t="e">
        <f t="shared" si="41"/>
        <v>#VALUE!</v>
      </c>
      <c r="AU42">
        <f t="shared" si="77"/>
        <v>165</v>
      </c>
      <c r="AV42" s="542" t="e">
        <f t="shared" si="42"/>
        <v>#VALUE!</v>
      </c>
      <c r="AW42" s="551" t="e">
        <f t="shared" si="78"/>
        <v>#VALUE!</v>
      </c>
      <c r="AX42" s="551" t="e">
        <f t="shared" si="79"/>
        <v>#VALUE!</v>
      </c>
      <c r="AY42" s="9"/>
      <c r="AZ42" s="4" t="e">
        <f t="shared" si="43"/>
        <v>#VALUE!</v>
      </c>
      <c r="BA42" s="360" t="e">
        <f t="shared" si="80"/>
        <v>#VALUE!</v>
      </c>
      <c r="BB42" s="360" t="e">
        <f t="shared" si="44"/>
        <v>#VALUE!</v>
      </c>
      <c r="BC42" s="360" t="e">
        <f t="shared" si="45"/>
        <v>#VALUE!</v>
      </c>
      <c r="BD42" s="360" t="e">
        <f t="shared" si="46"/>
        <v>#VALUE!</v>
      </c>
      <c r="BE42" s="360">
        <f t="shared" si="47"/>
        <v>5.5246149198419102E-2</v>
      </c>
    </row>
    <row r="43" spans="1:57" x14ac:dyDescent="0.2">
      <c r="A43" s="23" t="s">
        <v>69</v>
      </c>
      <c r="B43" s="5">
        <f>Gfs_Q3</f>
        <v>64</v>
      </c>
      <c r="C43" s="440" t="s">
        <v>66</v>
      </c>
      <c r="D43" s="21" t="s">
        <v>101</v>
      </c>
      <c r="G43">
        <v>34</v>
      </c>
      <c r="H43" s="548">
        <f t="shared" si="0"/>
        <v>60</v>
      </c>
      <c r="I43" s="4">
        <f t="shared" si="49"/>
        <v>1</v>
      </c>
      <c r="J43" s="360">
        <f t="shared" si="81"/>
        <v>3.4</v>
      </c>
      <c r="K43" s="4">
        <f t="shared" si="50"/>
        <v>3.1481481481481484</v>
      </c>
      <c r="L43" s="4"/>
      <c r="M43" s="360">
        <f t="shared" si="51"/>
        <v>0.83436741210330456</v>
      </c>
      <c r="N43" s="4">
        <f t="shared" si="52"/>
        <v>1.3821018059020538</v>
      </c>
      <c r="O43" s="4">
        <f t="shared" si="35"/>
        <v>4.0910509029510269</v>
      </c>
      <c r="P43" s="4">
        <f t="shared" si="36"/>
        <v>2.7089490970489729</v>
      </c>
      <c r="Q43" s="4">
        <f t="shared" si="53"/>
        <v>0</v>
      </c>
      <c r="R43" s="4">
        <f t="shared" si="54"/>
        <v>3.4233293419549642</v>
      </c>
      <c r="S43" s="360">
        <f t="shared" si="55"/>
        <v>0.14063020540187768</v>
      </c>
      <c r="T43" s="360">
        <f t="shared" si="56"/>
        <v>0.3</v>
      </c>
      <c r="U43" s="360" t="e">
        <f t="shared" si="57"/>
        <v>#VALUE!</v>
      </c>
      <c r="V43" s="4">
        <f t="shared" si="37"/>
        <v>0.39897842484250934</v>
      </c>
      <c r="W43" s="360">
        <f t="shared" si="58"/>
        <v>3.1836756697961978E-4</v>
      </c>
      <c r="X43" s="360">
        <f t="shared" si="38"/>
        <v>3.1836756697961978E-4</v>
      </c>
      <c r="Y43" s="4">
        <f t="shared" si="59"/>
        <v>1.2726243921103524</v>
      </c>
      <c r="Z43" s="360">
        <f t="shared" si="12"/>
        <v>1.6195728433942441E-3</v>
      </c>
      <c r="AA43" s="541">
        <f t="shared" si="39"/>
        <v>1.6195728433942441E-3</v>
      </c>
      <c r="AB43" s="360">
        <f t="shared" si="60"/>
        <v>3.1269961697119819</v>
      </c>
      <c r="AC43" s="360">
        <f t="shared" si="61"/>
        <v>5.8668630272360439E-2</v>
      </c>
      <c r="AD43" s="360">
        <f t="shared" si="62"/>
        <v>0.22193435780087978</v>
      </c>
      <c r="AE43" s="360">
        <f t="shared" si="63"/>
        <v>-0.52595999999999998</v>
      </c>
      <c r="AF43" s="360">
        <f t="shared" si="64"/>
        <v>0</v>
      </c>
      <c r="AG43" s="360" t="e">
        <f t="shared" si="65"/>
        <v>#VALUE!</v>
      </c>
      <c r="AH43" s="360">
        <f t="shared" si="66"/>
        <v>1.3932260183101675</v>
      </c>
      <c r="AI43" s="360">
        <f t="shared" si="67"/>
        <v>4.8526968452410075E-3</v>
      </c>
      <c r="AJ43" s="360">
        <f t="shared" si="68"/>
        <v>3.9983999999999992E-2</v>
      </c>
      <c r="AK43" s="360" t="e">
        <f t="shared" si="69"/>
        <v>#VALUE!</v>
      </c>
      <c r="AL43" s="360">
        <f t="shared" si="70"/>
        <v>3.9983999999999992E-2</v>
      </c>
      <c r="AM43" s="360">
        <f t="shared" si="71"/>
        <v>0.73439999999999994</v>
      </c>
      <c r="AN43" s="360">
        <f t="shared" si="72"/>
        <v>5.8595918917449037E-2</v>
      </c>
      <c r="AO43" s="360">
        <f t="shared" si="73"/>
        <v>2.0999999999999999E-3</v>
      </c>
      <c r="AP43" s="360">
        <f t="shared" si="74"/>
        <v>9.8999999999999991E-2</v>
      </c>
      <c r="AQ43" s="360">
        <f t="shared" si="75"/>
        <v>1.1483999999999999</v>
      </c>
      <c r="AR43" s="360">
        <f t="shared" si="76"/>
        <v>1.089</v>
      </c>
      <c r="AS43" s="360">
        <f t="shared" si="48"/>
        <v>0.1011</v>
      </c>
      <c r="AT43" s="360" t="e">
        <f t="shared" si="41"/>
        <v>#VALUE!</v>
      </c>
      <c r="AU43">
        <f t="shared" si="77"/>
        <v>170</v>
      </c>
      <c r="AV43" s="542" t="e">
        <f t="shared" si="42"/>
        <v>#VALUE!</v>
      </c>
      <c r="AW43" s="551" t="e">
        <f t="shared" si="78"/>
        <v>#VALUE!</v>
      </c>
      <c r="AX43" s="551" t="e">
        <f t="shared" si="79"/>
        <v>#VALUE!</v>
      </c>
      <c r="AY43" s="9"/>
      <c r="AZ43" s="4" t="e">
        <f t="shared" si="43"/>
        <v>#VALUE!</v>
      </c>
      <c r="BA43" s="360" t="e">
        <f t="shared" si="80"/>
        <v>#VALUE!</v>
      </c>
      <c r="BB43" s="360" t="e">
        <f t="shared" si="44"/>
        <v>#VALUE!</v>
      </c>
      <c r="BC43" s="360" t="e">
        <f t="shared" si="45"/>
        <v>#VALUE!</v>
      </c>
      <c r="BD43" s="360" t="e">
        <f t="shared" si="46"/>
        <v>#VALUE!</v>
      </c>
      <c r="BE43" s="360">
        <f t="shared" si="47"/>
        <v>5.8595918917449037E-2</v>
      </c>
    </row>
    <row r="44" spans="1:57" x14ac:dyDescent="0.2">
      <c r="A44" s="23" t="s">
        <v>92</v>
      </c>
      <c r="B44" s="5">
        <f>Vth_Q3</f>
        <v>2.9</v>
      </c>
      <c r="C44" s="440" t="s">
        <v>0</v>
      </c>
      <c r="D44" s="21" t="s">
        <v>102</v>
      </c>
      <c r="G44">
        <v>35</v>
      </c>
      <c r="H44" s="548">
        <f t="shared" si="0"/>
        <v>60</v>
      </c>
      <c r="I44" s="4">
        <f t="shared" si="49"/>
        <v>1</v>
      </c>
      <c r="J44" s="360">
        <f t="shared" si="81"/>
        <v>3.5</v>
      </c>
      <c r="K44" s="4">
        <f t="shared" si="50"/>
        <v>3.2407407407407409</v>
      </c>
      <c r="L44" s="4"/>
      <c r="M44" s="360">
        <f t="shared" si="51"/>
        <v>0.83439782352377501</v>
      </c>
      <c r="N44" s="4">
        <f t="shared" si="52"/>
        <v>1.3819018620592916</v>
      </c>
      <c r="O44" s="4">
        <f t="shared" si="35"/>
        <v>4.1909509310296453</v>
      </c>
      <c r="P44" s="4">
        <f t="shared" si="36"/>
        <v>2.8090490689703542</v>
      </c>
      <c r="Q44" s="4">
        <f t="shared" si="53"/>
        <v>0</v>
      </c>
      <c r="R44" s="4">
        <f t="shared" si="54"/>
        <v>3.5226606038187831</v>
      </c>
      <c r="S44" s="360">
        <f t="shared" si="55"/>
        <v>0.14890965275636298</v>
      </c>
      <c r="T44" s="360">
        <f t="shared" si="56"/>
        <v>0.3</v>
      </c>
      <c r="U44" s="360" t="e">
        <f t="shared" si="57"/>
        <v>#VALUE!</v>
      </c>
      <c r="V44" s="4">
        <f t="shared" si="37"/>
        <v>0.39892070602678859</v>
      </c>
      <c r="W44" s="360">
        <f t="shared" si="58"/>
        <v>3.1827545939382297E-4</v>
      </c>
      <c r="X44" s="360">
        <f t="shared" si="38"/>
        <v>3.1827545939382297E-4</v>
      </c>
      <c r="Y44" s="4">
        <f t="shared" si="59"/>
        <v>1.3094544741256204</v>
      </c>
      <c r="Z44" s="360">
        <f t="shared" si="12"/>
        <v>1.7146710198076053E-3</v>
      </c>
      <c r="AA44" s="541">
        <f t="shared" si="39"/>
        <v>1.7146710198076053E-3</v>
      </c>
      <c r="AB44" s="360">
        <f t="shared" si="60"/>
        <v>3.2177876737699558</v>
      </c>
      <c r="AC44" s="360">
        <f t="shared" si="61"/>
        <v>6.2124945080795177E-2</v>
      </c>
      <c r="AD44" s="360">
        <f t="shared" si="62"/>
        <v>0.22846183891267038</v>
      </c>
      <c r="AE44" s="360">
        <f t="shared" si="63"/>
        <v>-0.52595999999999998</v>
      </c>
      <c r="AF44" s="360">
        <f t="shared" si="64"/>
        <v>0</v>
      </c>
      <c r="AG44" s="360" t="e">
        <f t="shared" si="65"/>
        <v>#VALUE!</v>
      </c>
      <c r="AH44" s="360">
        <f t="shared" si="66"/>
        <v>1.4335202182847127</v>
      </c>
      <c r="AI44" s="360">
        <f t="shared" si="67"/>
        <v>5.1374505405776261E-3</v>
      </c>
      <c r="AJ44" s="360">
        <f t="shared" si="68"/>
        <v>4.1159999999999995E-2</v>
      </c>
      <c r="AK44" s="360" t="e">
        <f t="shared" si="69"/>
        <v>#VALUE!</v>
      </c>
      <c r="AL44" s="360">
        <f t="shared" si="70"/>
        <v>4.1159999999999995E-2</v>
      </c>
      <c r="AM44" s="360">
        <f t="shared" si="71"/>
        <v>0.75599999999999989</v>
      </c>
      <c r="AN44" s="360">
        <f t="shared" si="72"/>
        <v>6.2045688648484573E-2</v>
      </c>
      <c r="AO44" s="360">
        <f t="shared" si="73"/>
        <v>2.0999999999999999E-3</v>
      </c>
      <c r="AP44" s="360">
        <f t="shared" si="74"/>
        <v>9.8999999999999991E-2</v>
      </c>
      <c r="AQ44" s="360">
        <f t="shared" si="75"/>
        <v>1.1483999999999999</v>
      </c>
      <c r="AR44" s="360">
        <f t="shared" si="76"/>
        <v>1.089</v>
      </c>
      <c r="AS44" s="360">
        <f t="shared" si="48"/>
        <v>0.1011</v>
      </c>
      <c r="AT44" s="360" t="e">
        <f t="shared" si="41"/>
        <v>#VALUE!</v>
      </c>
      <c r="AU44">
        <f t="shared" si="77"/>
        <v>175</v>
      </c>
      <c r="AV44" s="542" t="e">
        <f t="shared" si="42"/>
        <v>#VALUE!</v>
      </c>
      <c r="AW44" s="551" t="e">
        <f t="shared" si="78"/>
        <v>#VALUE!</v>
      </c>
      <c r="AX44" s="551" t="e">
        <f t="shared" si="79"/>
        <v>#VALUE!</v>
      </c>
      <c r="AY44" s="9"/>
      <c r="AZ44" s="4" t="e">
        <f t="shared" si="43"/>
        <v>#VALUE!</v>
      </c>
      <c r="BA44" s="360" t="e">
        <f t="shared" si="80"/>
        <v>#VALUE!</v>
      </c>
      <c r="BB44" s="360" t="e">
        <f t="shared" si="44"/>
        <v>#VALUE!</v>
      </c>
      <c r="BC44" s="360" t="e">
        <f t="shared" si="45"/>
        <v>#VALUE!</v>
      </c>
      <c r="BD44" s="360" t="e">
        <f t="shared" si="46"/>
        <v>#VALUE!</v>
      </c>
      <c r="BE44" s="360">
        <f t="shared" si="47"/>
        <v>6.2045688648484573E-2</v>
      </c>
    </row>
    <row r="45" spans="1:57" x14ac:dyDescent="0.2">
      <c r="A45" s="28" t="s">
        <v>123</v>
      </c>
      <c r="B45" s="447">
        <f>Vsp_Q3</f>
        <v>3.0562499999999999</v>
      </c>
      <c r="C45" s="445" t="s">
        <v>0</v>
      </c>
      <c r="G45">
        <v>36</v>
      </c>
      <c r="H45" s="548">
        <f t="shared" si="0"/>
        <v>60</v>
      </c>
      <c r="I45" s="4">
        <f t="shared" si="49"/>
        <v>1</v>
      </c>
      <c r="J45" s="360">
        <f t="shared" si="81"/>
        <v>3.6</v>
      </c>
      <c r="K45" s="4">
        <f t="shared" si="50"/>
        <v>3.3333333333333335</v>
      </c>
      <c r="L45" s="4"/>
      <c r="M45" s="360">
        <f t="shared" si="51"/>
        <v>0.83442823479220196</v>
      </c>
      <c r="N45" s="4">
        <f t="shared" si="52"/>
        <v>1.381701899717914</v>
      </c>
      <c r="O45" s="4">
        <f t="shared" si="35"/>
        <v>4.2908509498589567</v>
      </c>
      <c r="P45" s="4">
        <f t="shared" si="36"/>
        <v>2.9091490501410431</v>
      </c>
      <c r="Q45" s="4">
        <f t="shared" si="53"/>
        <v>0</v>
      </c>
      <c r="R45" s="4">
        <f t="shared" si="54"/>
        <v>3.6220286688963421</v>
      </c>
      <c r="S45" s="360">
        <f t="shared" si="55"/>
        <v>0.15742910013968409</v>
      </c>
      <c r="T45" s="360">
        <f t="shared" si="56"/>
        <v>0.3</v>
      </c>
      <c r="U45" s="360" t="e">
        <f t="shared" si="57"/>
        <v>#VALUE!</v>
      </c>
      <c r="V45" s="4">
        <f t="shared" si="37"/>
        <v>0.39886298187097752</v>
      </c>
      <c r="W45" s="360">
        <f t="shared" si="58"/>
        <v>3.1818335661401548E-4</v>
      </c>
      <c r="X45" s="360">
        <f t="shared" si="38"/>
        <v>3.1818335661401548E-4</v>
      </c>
      <c r="Y45" s="4">
        <f t="shared" si="59"/>
        <v>1.3462927854167763</v>
      </c>
      <c r="Z45" s="360">
        <f t="shared" si="12"/>
        <v>1.8125042640652622E-3</v>
      </c>
      <c r="AA45" s="541">
        <f t="shared" si="39"/>
        <v>1.8125042640652622E-3</v>
      </c>
      <c r="AB45" s="360">
        <f t="shared" si="60"/>
        <v>3.308616102119855</v>
      </c>
      <c r="AC45" s="360">
        <f t="shared" si="61"/>
        <v>6.5681643067240697E-2</v>
      </c>
      <c r="AD45" s="360">
        <f t="shared" si="62"/>
        <v>0.23498932002446096</v>
      </c>
      <c r="AE45" s="360">
        <f t="shared" si="63"/>
        <v>-0.52595999999999998</v>
      </c>
      <c r="AF45" s="360">
        <f t="shared" si="64"/>
        <v>0</v>
      </c>
      <c r="AG45" s="360" t="e">
        <f t="shared" si="65"/>
        <v>#VALUE!</v>
      </c>
      <c r="AH45" s="360">
        <f t="shared" si="66"/>
        <v>1.4738219590914723</v>
      </c>
      <c r="AI45" s="360">
        <f t="shared" si="67"/>
        <v>5.430377917750564E-3</v>
      </c>
      <c r="AJ45" s="360">
        <f t="shared" si="68"/>
        <v>4.2335999999999992E-2</v>
      </c>
      <c r="AK45" s="360" t="e">
        <f t="shared" si="69"/>
        <v>#VALUE!</v>
      </c>
      <c r="AL45" s="360">
        <f t="shared" si="70"/>
        <v>4.2335999999999992E-2</v>
      </c>
      <c r="AM45" s="360">
        <f t="shared" si="71"/>
        <v>0.77759999999999996</v>
      </c>
      <c r="AN45" s="360">
        <f t="shared" si="72"/>
        <v>6.5595458391535036E-2</v>
      </c>
      <c r="AO45" s="360">
        <f t="shared" si="73"/>
        <v>2.0999999999999999E-3</v>
      </c>
      <c r="AP45" s="360">
        <f t="shared" si="74"/>
        <v>9.8999999999999991E-2</v>
      </c>
      <c r="AQ45" s="360">
        <f t="shared" si="75"/>
        <v>1.1483999999999999</v>
      </c>
      <c r="AR45" s="360">
        <f t="shared" si="76"/>
        <v>1.089</v>
      </c>
      <c r="AS45" s="360">
        <f t="shared" si="48"/>
        <v>0.1011</v>
      </c>
      <c r="AT45" s="360" t="e">
        <f t="shared" si="41"/>
        <v>#VALUE!</v>
      </c>
      <c r="AU45">
        <f t="shared" si="77"/>
        <v>180</v>
      </c>
      <c r="AV45" s="542" t="e">
        <f t="shared" si="42"/>
        <v>#VALUE!</v>
      </c>
      <c r="AW45" s="551" t="e">
        <f t="shared" si="78"/>
        <v>#VALUE!</v>
      </c>
      <c r="AX45" s="551" t="e">
        <f t="shared" si="79"/>
        <v>#VALUE!</v>
      </c>
      <c r="AY45" s="9"/>
      <c r="AZ45" s="4" t="e">
        <f t="shared" si="43"/>
        <v>#VALUE!</v>
      </c>
      <c r="BA45" s="360" t="e">
        <f t="shared" si="80"/>
        <v>#VALUE!</v>
      </c>
      <c r="BB45" s="360" t="e">
        <f t="shared" si="44"/>
        <v>#VALUE!</v>
      </c>
      <c r="BC45" s="360" t="e">
        <f t="shared" si="45"/>
        <v>#VALUE!</v>
      </c>
      <c r="BD45" s="360" t="e">
        <f t="shared" si="46"/>
        <v>#VALUE!</v>
      </c>
      <c r="BE45" s="360">
        <f t="shared" si="47"/>
        <v>6.5595458391535036E-2</v>
      </c>
    </row>
    <row r="46" spans="1:57" x14ac:dyDescent="0.2">
      <c r="A46" s="77" t="s">
        <v>203</v>
      </c>
      <c r="B46" s="5">
        <f>Vsd_Q3</f>
        <v>0.7</v>
      </c>
      <c r="C46" s="445" t="s">
        <v>0</v>
      </c>
      <c r="G46">
        <v>37</v>
      </c>
      <c r="H46" s="548">
        <f t="shared" si="0"/>
        <v>60</v>
      </c>
      <c r="I46" s="4">
        <f t="shared" si="49"/>
        <v>1</v>
      </c>
      <c r="J46" s="360">
        <f t="shared" si="81"/>
        <v>3.7</v>
      </c>
      <c r="K46" s="4">
        <f t="shared" si="50"/>
        <v>3.425925925925926</v>
      </c>
      <c r="L46" s="4"/>
      <c r="M46" s="360">
        <f t="shared" si="51"/>
        <v>0.83445864590858676</v>
      </c>
      <c r="N46" s="4">
        <f t="shared" si="52"/>
        <v>1.3815019188780588</v>
      </c>
      <c r="O46" s="4">
        <f t="shared" si="35"/>
        <v>4.3907509594390293</v>
      </c>
      <c r="P46" s="4">
        <f t="shared" si="36"/>
        <v>3.0092490405609706</v>
      </c>
      <c r="Q46" s="4">
        <f t="shared" si="53"/>
        <v>0</v>
      </c>
      <c r="R46" s="4">
        <f t="shared" si="54"/>
        <v>3.7214305890775368</v>
      </c>
      <c r="S46" s="360">
        <f t="shared" si="55"/>
        <v>0.16618854755186377</v>
      </c>
      <c r="T46" s="360">
        <f t="shared" si="56"/>
        <v>0.3</v>
      </c>
      <c r="U46" s="360" t="e">
        <f t="shared" si="57"/>
        <v>#VALUE!</v>
      </c>
      <c r="V46" s="4">
        <f t="shared" si="37"/>
        <v>0.39880525237511594</v>
      </c>
      <c r="W46" s="360">
        <f t="shared" si="58"/>
        <v>3.1809125864395982E-4</v>
      </c>
      <c r="X46" s="360">
        <f t="shared" si="38"/>
        <v>3.1809125864395982E-4</v>
      </c>
      <c r="Y46" s="4">
        <f t="shared" si="59"/>
        <v>1.3831382259390228</v>
      </c>
      <c r="Z46" s="360">
        <f t="shared" si="12"/>
        <v>1.9130713520537472E-3</v>
      </c>
      <c r="AA46" s="541">
        <f t="shared" si="39"/>
        <v>1.9130713520537472E-3</v>
      </c>
      <c r="AB46" s="360">
        <f t="shared" si="60"/>
        <v>3.3994787634239239</v>
      </c>
      <c r="AC46" s="360">
        <f t="shared" si="61"/>
        <v>6.9338735177821506E-2</v>
      </c>
      <c r="AD46" s="360">
        <f t="shared" si="62"/>
        <v>0.24151680113625154</v>
      </c>
      <c r="AE46" s="360">
        <f t="shared" si="63"/>
        <v>-0.52595999999999998</v>
      </c>
      <c r="AF46" s="360">
        <f t="shared" si="64"/>
        <v>0</v>
      </c>
      <c r="AG46" s="360" t="e">
        <f t="shared" si="65"/>
        <v>#VALUE!</v>
      </c>
      <c r="AH46" s="360">
        <f t="shared" si="66"/>
        <v>1.5141300361434382</v>
      </c>
      <c r="AI46" s="360">
        <f t="shared" si="67"/>
        <v>5.7314744158793243E-3</v>
      </c>
      <c r="AJ46" s="360">
        <f t="shared" si="68"/>
        <v>4.3511999999999995E-2</v>
      </c>
      <c r="AK46" s="360" t="e">
        <f t="shared" si="69"/>
        <v>#VALUE!</v>
      </c>
      <c r="AL46" s="360">
        <f t="shared" si="70"/>
        <v>4.3511999999999995E-2</v>
      </c>
      <c r="AM46" s="360">
        <f t="shared" si="71"/>
        <v>0.79920000000000002</v>
      </c>
      <c r="AN46" s="360">
        <f t="shared" si="72"/>
        <v>6.9245228146609911E-2</v>
      </c>
      <c r="AO46" s="360">
        <f t="shared" si="73"/>
        <v>2.0999999999999999E-3</v>
      </c>
      <c r="AP46" s="360">
        <f t="shared" si="74"/>
        <v>9.8999999999999991E-2</v>
      </c>
      <c r="AQ46" s="360">
        <f t="shared" si="75"/>
        <v>1.1483999999999999</v>
      </c>
      <c r="AR46" s="360">
        <f t="shared" si="76"/>
        <v>1.089</v>
      </c>
      <c r="AS46" s="360">
        <f t="shared" si="48"/>
        <v>0.1011</v>
      </c>
      <c r="AT46" s="360" t="e">
        <f t="shared" si="41"/>
        <v>#VALUE!</v>
      </c>
      <c r="AU46">
        <f t="shared" si="77"/>
        <v>185</v>
      </c>
      <c r="AV46" s="542" t="e">
        <f t="shared" si="42"/>
        <v>#VALUE!</v>
      </c>
      <c r="AW46" s="551" t="e">
        <f t="shared" si="78"/>
        <v>#VALUE!</v>
      </c>
      <c r="AX46" s="551" t="e">
        <f t="shared" si="79"/>
        <v>#VALUE!</v>
      </c>
      <c r="AY46" s="9"/>
      <c r="AZ46" s="4" t="e">
        <f t="shared" si="43"/>
        <v>#VALUE!</v>
      </c>
      <c r="BA46" s="360" t="e">
        <f t="shared" si="80"/>
        <v>#VALUE!</v>
      </c>
      <c r="BB46" s="360" t="e">
        <f t="shared" si="44"/>
        <v>#VALUE!</v>
      </c>
      <c r="BC46" s="360" t="e">
        <f t="shared" si="45"/>
        <v>#VALUE!</v>
      </c>
      <c r="BD46" s="360" t="e">
        <f t="shared" si="46"/>
        <v>#VALUE!</v>
      </c>
      <c r="BE46" s="360">
        <f t="shared" si="47"/>
        <v>6.9245228146609911E-2</v>
      </c>
    </row>
    <row r="47" spans="1:57" ht="15.75" x14ac:dyDescent="0.3">
      <c r="A47" s="446" t="s">
        <v>472</v>
      </c>
      <c r="B47" s="5">
        <f>ThetaJA_Q3</f>
        <v>50</v>
      </c>
      <c r="C47" s="441" t="s">
        <v>205</v>
      </c>
      <c r="D47" s="21" t="s">
        <v>103</v>
      </c>
      <c r="G47">
        <v>38</v>
      </c>
      <c r="H47" s="548">
        <f t="shared" si="0"/>
        <v>60</v>
      </c>
      <c r="I47" s="4">
        <f t="shared" si="49"/>
        <v>1</v>
      </c>
      <c r="J47" s="360">
        <f t="shared" si="81"/>
        <v>3.8</v>
      </c>
      <c r="K47" s="4">
        <f t="shared" si="50"/>
        <v>3.5185185185185186</v>
      </c>
      <c r="L47" s="4"/>
      <c r="M47" s="360">
        <f t="shared" si="51"/>
        <v>0.83448905687293051</v>
      </c>
      <c r="N47" s="4">
        <f t="shared" si="52"/>
        <v>1.3813019195398661</v>
      </c>
      <c r="O47" s="4">
        <f t="shared" si="35"/>
        <v>4.4906509597699333</v>
      </c>
      <c r="P47" s="4">
        <f t="shared" si="36"/>
        <v>3.1093490402300668</v>
      </c>
      <c r="Q47" s="4">
        <f t="shared" si="53"/>
        <v>0</v>
      </c>
      <c r="R47" s="4">
        <f t="shared" si="54"/>
        <v>3.8208637220847996</v>
      </c>
      <c r="S47" s="360">
        <f t="shared" si="55"/>
        <v>0.17518799499292451</v>
      </c>
      <c r="T47" s="360">
        <f t="shared" si="56"/>
        <v>0.3</v>
      </c>
      <c r="U47" s="360" t="e">
        <f t="shared" si="57"/>
        <v>#VALUE!</v>
      </c>
      <c r="V47" s="4">
        <f t="shared" si="37"/>
        <v>0.39874751753924426</v>
      </c>
      <c r="W47" s="360">
        <f t="shared" si="58"/>
        <v>3.1799916548741979E-4</v>
      </c>
      <c r="X47" s="360">
        <f t="shared" si="38"/>
        <v>3.1799916548741979E-4</v>
      </c>
      <c r="Y47" s="4">
        <f t="shared" si="59"/>
        <v>1.4199898096288965</v>
      </c>
      <c r="Z47" s="360">
        <f t="shared" si="12"/>
        <v>2.0163710594499097E-3</v>
      </c>
      <c r="AA47" s="541">
        <f t="shared" si="39"/>
        <v>2.0163710594499097E-3</v>
      </c>
      <c r="AB47" s="360">
        <f t="shared" si="60"/>
        <v>3.4903732455272038</v>
      </c>
      <c r="AC47" s="360">
        <f t="shared" si="61"/>
        <v>7.3096232358552643E-2</v>
      </c>
      <c r="AD47" s="360">
        <f t="shared" si="62"/>
        <v>0.24804428224804212</v>
      </c>
      <c r="AE47" s="360">
        <f t="shared" si="63"/>
        <v>-0.52595999999999998</v>
      </c>
      <c r="AF47" s="360">
        <f t="shared" si="64"/>
        <v>0</v>
      </c>
      <c r="AG47" s="360" t="e">
        <f t="shared" si="65"/>
        <v>#VALUE!</v>
      </c>
      <c r="AH47" s="360">
        <f t="shared" si="66"/>
        <v>1.5544433697152191</v>
      </c>
      <c r="AI47" s="360">
        <f t="shared" si="67"/>
        <v>6.0407354741290132E-3</v>
      </c>
      <c r="AJ47" s="360">
        <f t="shared" si="68"/>
        <v>4.4687999999999992E-2</v>
      </c>
      <c r="AK47" s="360" t="e">
        <f t="shared" si="69"/>
        <v>#VALUE!</v>
      </c>
      <c r="AL47" s="360">
        <f t="shared" si="70"/>
        <v>4.4687999999999992E-2</v>
      </c>
      <c r="AM47" s="360">
        <f t="shared" si="71"/>
        <v>0.82079999999999997</v>
      </c>
      <c r="AN47" s="360">
        <f t="shared" si="72"/>
        <v>7.2994997913718537E-2</v>
      </c>
      <c r="AO47" s="360">
        <f t="shared" si="73"/>
        <v>2.0999999999999999E-3</v>
      </c>
      <c r="AP47" s="360">
        <f t="shared" si="74"/>
        <v>9.8999999999999991E-2</v>
      </c>
      <c r="AQ47" s="360">
        <f t="shared" si="75"/>
        <v>1.1483999999999999</v>
      </c>
      <c r="AR47" s="360">
        <f t="shared" si="76"/>
        <v>1.089</v>
      </c>
      <c r="AS47" s="360">
        <f t="shared" si="48"/>
        <v>0.1011</v>
      </c>
      <c r="AT47" s="360" t="e">
        <f t="shared" si="41"/>
        <v>#VALUE!</v>
      </c>
      <c r="AU47">
        <f t="shared" si="77"/>
        <v>190</v>
      </c>
      <c r="AV47" s="542" t="e">
        <f t="shared" si="42"/>
        <v>#VALUE!</v>
      </c>
      <c r="AW47" s="551" t="e">
        <f t="shared" si="78"/>
        <v>#VALUE!</v>
      </c>
      <c r="AX47" s="551" t="e">
        <f t="shared" si="79"/>
        <v>#VALUE!</v>
      </c>
      <c r="AY47" s="9"/>
      <c r="AZ47" s="4" t="e">
        <f t="shared" si="43"/>
        <v>#VALUE!</v>
      </c>
      <c r="BA47" s="360" t="e">
        <f t="shared" si="80"/>
        <v>#VALUE!</v>
      </c>
      <c r="BB47" s="360" t="e">
        <f t="shared" si="44"/>
        <v>#VALUE!</v>
      </c>
      <c r="BC47" s="360" t="e">
        <f t="shared" si="45"/>
        <v>#VALUE!</v>
      </c>
      <c r="BD47" s="360" t="e">
        <f t="shared" si="46"/>
        <v>#VALUE!</v>
      </c>
      <c r="BE47" s="360">
        <f t="shared" si="47"/>
        <v>7.2994997913718537E-2</v>
      </c>
    </row>
    <row r="48" spans="1:57" x14ac:dyDescent="0.2">
      <c r="A48" s="24" t="s">
        <v>526</v>
      </c>
      <c r="B48" s="15" t="s">
        <v>111</v>
      </c>
      <c r="C48" s="24" t="s">
        <v>76</v>
      </c>
      <c r="D48" s="17" t="s">
        <v>107</v>
      </c>
      <c r="G48">
        <v>39</v>
      </c>
      <c r="H48" s="548">
        <f t="shared" si="0"/>
        <v>60</v>
      </c>
      <c r="I48" s="4">
        <f t="shared" si="49"/>
        <v>1</v>
      </c>
      <c r="J48" s="360">
        <f t="shared" si="81"/>
        <v>3.9</v>
      </c>
      <c r="K48" s="4">
        <f t="shared" si="50"/>
        <v>3.6111111111111112</v>
      </c>
      <c r="L48" s="4"/>
      <c r="M48" s="360">
        <f t="shared" si="51"/>
        <v>0.834519467685234</v>
      </c>
      <c r="N48" s="4">
        <f t="shared" si="52"/>
        <v>1.3811019017034727</v>
      </c>
      <c r="O48" s="4">
        <f t="shared" si="35"/>
        <v>4.5905509508517364</v>
      </c>
      <c r="P48" s="4">
        <f t="shared" si="36"/>
        <v>3.2094490491482635</v>
      </c>
      <c r="Q48" s="4">
        <f t="shared" si="53"/>
        <v>0</v>
      </c>
      <c r="R48" s="4">
        <f t="shared" si="54"/>
        <v>3.9203256929206889</v>
      </c>
      <c r="S48" s="360">
        <f t="shared" si="55"/>
        <v>0.18442744246288895</v>
      </c>
      <c r="T48" s="360">
        <f t="shared" si="56"/>
        <v>0.3</v>
      </c>
      <c r="U48" s="360" t="e">
        <f t="shared" si="57"/>
        <v>#VALUE!</v>
      </c>
      <c r="V48" s="4">
        <f t="shared" si="37"/>
        <v>0.39868977736340205</v>
      </c>
      <c r="W48" s="360">
        <f t="shared" si="58"/>
        <v>3.1790707714815817E-4</v>
      </c>
      <c r="X48" s="360">
        <f t="shared" si="38"/>
        <v>3.1790707714815817E-4</v>
      </c>
      <c r="Y48" s="4">
        <f t="shared" si="59"/>
        <v>1.4568466500359365</v>
      </c>
      <c r="Z48" s="360">
        <f t="shared" si="12"/>
        <v>2.1224021617209307E-3</v>
      </c>
      <c r="AA48" s="541">
        <f t="shared" si="39"/>
        <v>2.1224021617209307E-3</v>
      </c>
      <c r="AB48" s="360">
        <f t="shared" si="60"/>
        <v>3.5812973802645787</v>
      </c>
      <c r="AC48" s="360">
        <f t="shared" si="61"/>
        <v>7.6954145555339595E-2</v>
      </c>
      <c r="AD48" s="360">
        <f t="shared" si="62"/>
        <v>0.25457176335983273</v>
      </c>
      <c r="AE48" s="360">
        <f t="shared" si="63"/>
        <v>-0.52595999999999998</v>
      </c>
      <c r="AF48" s="360">
        <f t="shared" si="64"/>
        <v>0</v>
      </c>
      <c r="AG48" s="360" t="e">
        <f t="shared" si="65"/>
        <v>#VALUE!</v>
      </c>
      <c r="AH48" s="360">
        <f t="shared" si="66"/>
        <v>1.5947609892031298</v>
      </c>
      <c r="AI48" s="360">
        <f t="shared" si="67"/>
        <v>6.3581565317103626E-3</v>
      </c>
      <c r="AJ48" s="360">
        <f t="shared" si="68"/>
        <v>4.5863999999999988E-2</v>
      </c>
      <c r="AK48" s="360" t="e">
        <f t="shared" si="69"/>
        <v>#VALUE!</v>
      </c>
      <c r="AL48" s="360">
        <f t="shared" si="70"/>
        <v>4.5863999999999988E-2</v>
      </c>
      <c r="AM48" s="360">
        <f t="shared" si="71"/>
        <v>0.84239999999999993</v>
      </c>
      <c r="AN48" s="360">
        <f t="shared" si="72"/>
        <v>7.6844767692870394E-2</v>
      </c>
      <c r="AO48" s="360">
        <f t="shared" si="73"/>
        <v>2.0999999999999999E-3</v>
      </c>
      <c r="AP48" s="360">
        <f t="shared" si="74"/>
        <v>9.8999999999999991E-2</v>
      </c>
      <c r="AQ48" s="360">
        <f t="shared" si="75"/>
        <v>1.1483999999999999</v>
      </c>
      <c r="AR48" s="360">
        <f t="shared" si="76"/>
        <v>1.089</v>
      </c>
      <c r="AS48" s="360">
        <f t="shared" si="48"/>
        <v>0.1011</v>
      </c>
      <c r="AT48" s="360" t="e">
        <f t="shared" si="41"/>
        <v>#VALUE!</v>
      </c>
      <c r="AU48">
        <f t="shared" si="77"/>
        <v>195</v>
      </c>
      <c r="AV48" s="542" t="e">
        <f t="shared" si="42"/>
        <v>#VALUE!</v>
      </c>
      <c r="AW48" s="551" t="e">
        <f t="shared" si="78"/>
        <v>#VALUE!</v>
      </c>
      <c r="AX48" s="551" t="e">
        <f t="shared" si="79"/>
        <v>#VALUE!</v>
      </c>
      <c r="AY48" s="9"/>
      <c r="AZ48" s="4" t="e">
        <f t="shared" si="43"/>
        <v>#VALUE!</v>
      </c>
      <c r="BA48" s="360" t="e">
        <f t="shared" si="80"/>
        <v>#VALUE!</v>
      </c>
      <c r="BB48" s="360" t="e">
        <f t="shared" si="44"/>
        <v>#VALUE!</v>
      </c>
      <c r="BC48" s="360" t="e">
        <f t="shared" si="45"/>
        <v>#VALUE!</v>
      </c>
      <c r="BD48" s="360" t="e">
        <f t="shared" si="46"/>
        <v>#VALUE!</v>
      </c>
      <c r="BE48" s="360">
        <f t="shared" si="47"/>
        <v>7.6844767692870394E-2</v>
      </c>
    </row>
    <row r="49" spans="1:64" x14ac:dyDescent="0.2">
      <c r="A49" s="23" t="s">
        <v>68</v>
      </c>
      <c r="B49" s="5">
        <f>Rdson4*1000</f>
        <v>2.5</v>
      </c>
      <c r="C49" s="442" t="s">
        <v>466</v>
      </c>
      <c r="D49" s="440" t="s">
        <v>527</v>
      </c>
      <c r="G49">
        <v>40</v>
      </c>
      <c r="H49" s="548">
        <f t="shared" si="0"/>
        <v>60</v>
      </c>
      <c r="I49" s="4">
        <f t="shared" si="49"/>
        <v>1</v>
      </c>
      <c r="J49" s="360">
        <f t="shared" si="81"/>
        <v>4</v>
      </c>
      <c r="K49" s="4">
        <f t="shared" si="50"/>
        <v>3.7037037037037037</v>
      </c>
      <c r="L49" s="4"/>
      <c r="M49" s="360">
        <f t="shared" si="51"/>
        <v>0.83454987834549887</v>
      </c>
      <c r="N49" s="4">
        <f t="shared" si="52"/>
        <v>1.3809018653690184</v>
      </c>
      <c r="O49" s="4">
        <f t="shared" si="35"/>
        <v>4.6904509326845094</v>
      </c>
      <c r="P49" s="4">
        <f t="shared" si="36"/>
        <v>3.3095490673154906</v>
      </c>
      <c r="Q49" s="4">
        <f t="shared" si="53"/>
        <v>0</v>
      </c>
      <c r="R49" s="4">
        <f t="shared" si="54"/>
        <v>4.0198143609891952</v>
      </c>
      <c r="S49" s="360">
        <f t="shared" si="55"/>
        <v>0.19390688996177968</v>
      </c>
      <c r="T49" s="360">
        <f t="shared" si="56"/>
        <v>0.3</v>
      </c>
      <c r="U49" s="360" t="e">
        <f t="shared" si="57"/>
        <v>#VALUE!</v>
      </c>
      <c r="V49" s="4">
        <f t="shared" si="37"/>
        <v>0.39863203184762958</v>
      </c>
      <c r="W49" s="360">
        <f t="shared" si="58"/>
        <v>3.1781499362993915E-4</v>
      </c>
      <c r="X49" s="360">
        <f t="shared" si="38"/>
        <v>3.1781499362993915E-4</v>
      </c>
      <c r="Y49" s="4">
        <f t="shared" si="59"/>
        <v>1.4937079480689348</v>
      </c>
      <c r="Z49" s="360">
        <f t="shared" si="12"/>
        <v>2.2311634341243077E-3</v>
      </c>
      <c r="AA49" s="541">
        <f t="shared" si="39"/>
        <v>2.2311634341243077E-3</v>
      </c>
      <c r="AB49" s="360">
        <f t="shared" si="60"/>
        <v>3.6722492134471354</v>
      </c>
      <c r="AC49" s="360">
        <f t="shared" si="61"/>
        <v>8.0912485713978632E-2</v>
      </c>
      <c r="AD49" s="360">
        <f t="shared" si="62"/>
        <v>0.2610992444716233</v>
      </c>
      <c r="AE49" s="360">
        <f t="shared" si="63"/>
        <v>-0.52595999999999998</v>
      </c>
      <c r="AF49" s="360">
        <f t="shared" si="64"/>
        <v>0</v>
      </c>
      <c r="AG49" s="360" t="e">
        <f t="shared" si="65"/>
        <v>#VALUE!</v>
      </c>
      <c r="AH49" s="360">
        <f t="shared" si="66"/>
        <v>1.6350820197017235</v>
      </c>
      <c r="AI49" s="360">
        <f t="shared" si="67"/>
        <v>6.6837330278796681E-3</v>
      </c>
      <c r="AJ49" s="360">
        <f t="shared" si="68"/>
        <v>4.7039999999999992E-2</v>
      </c>
      <c r="AK49" s="360" t="e">
        <f t="shared" si="69"/>
        <v>#VALUE!</v>
      </c>
      <c r="AL49" s="360">
        <f t="shared" si="70"/>
        <v>4.7039999999999992E-2</v>
      </c>
      <c r="AM49" s="360">
        <f t="shared" si="71"/>
        <v>0.86399999999999988</v>
      </c>
      <c r="AN49" s="360">
        <f t="shared" si="72"/>
        <v>8.0794537484074863E-2</v>
      </c>
      <c r="AO49" s="360">
        <f t="shared" si="73"/>
        <v>2.0999999999999999E-3</v>
      </c>
      <c r="AP49" s="360">
        <f t="shared" si="74"/>
        <v>9.8999999999999991E-2</v>
      </c>
      <c r="AQ49" s="360">
        <f t="shared" si="75"/>
        <v>1.1483999999999999</v>
      </c>
      <c r="AR49" s="360">
        <f t="shared" si="76"/>
        <v>1.089</v>
      </c>
      <c r="AS49" s="360">
        <f t="shared" si="48"/>
        <v>0.1011</v>
      </c>
      <c r="AT49" s="360" t="e">
        <f t="shared" si="41"/>
        <v>#VALUE!</v>
      </c>
      <c r="AU49">
        <f t="shared" si="77"/>
        <v>200</v>
      </c>
      <c r="AV49" s="542" t="e">
        <f t="shared" si="42"/>
        <v>#VALUE!</v>
      </c>
      <c r="AW49" s="551" t="e">
        <f t="shared" si="78"/>
        <v>#VALUE!</v>
      </c>
      <c r="AX49" s="551" t="e">
        <f t="shared" si="79"/>
        <v>#VALUE!</v>
      </c>
      <c r="AY49" s="9"/>
      <c r="AZ49" s="4" t="e">
        <f t="shared" si="43"/>
        <v>#VALUE!</v>
      </c>
      <c r="BA49" s="360" t="e">
        <f t="shared" si="80"/>
        <v>#VALUE!</v>
      </c>
      <c r="BB49" s="360" t="e">
        <f t="shared" si="44"/>
        <v>#VALUE!</v>
      </c>
      <c r="BC49" s="360" t="e">
        <f t="shared" si="45"/>
        <v>#VALUE!</v>
      </c>
      <c r="BD49" s="360" t="e">
        <f t="shared" si="46"/>
        <v>#VALUE!</v>
      </c>
      <c r="BE49" s="360">
        <f t="shared" si="47"/>
        <v>8.0794537484074863E-2</v>
      </c>
    </row>
    <row r="50" spans="1:64" x14ac:dyDescent="0.2">
      <c r="A50" s="23" t="s">
        <v>80</v>
      </c>
      <c r="B50" s="5">
        <f>RdsonBotTc*1000000</f>
        <v>4000</v>
      </c>
      <c r="C50" s="440" t="s">
        <v>81</v>
      </c>
      <c r="D50" s="21" t="s">
        <v>104</v>
      </c>
      <c r="G50">
        <v>41</v>
      </c>
      <c r="H50" s="548">
        <f t="shared" si="0"/>
        <v>60</v>
      </c>
      <c r="I50" s="4">
        <f t="shared" si="49"/>
        <v>1</v>
      </c>
      <c r="J50" s="360">
        <f t="shared" si="81"/>
        <v>4.0999999999999996</v>
      </c>
      <c r="K50" s="4">
        <f t="shared" si="50"/>
        <v>3.7962962962962958</v>
      </c>
      <c r="L50" s="4"/>
      <c r="M50" s="360">
        <f t="shared" si="51"/>
        <v>0.83458028885372582</v>
      </c>
      <c r="N50" s="4">
        <f t="shared" si="52"/>
        <v>1.3807018105366422</v>
      </c>
      <c r="O50" s="4">
        <f t="shared" si="35"/>
        <v>4.7903509052683209</v>
      </c>
      <c r="P50" s="4">
        <f t="shared" si="36"/>
        <v>3.4096490947316784</v>
      </c>
      <c r="Q50" s="4">
        <f t="shared" si="53"/>
        <v>0</v>
      </c>
      <c r="R50" s="4">
        <f t="shared" si="54"/>
        <v>4.1193277919423048</v>
      </c>
      <c r="S50" s="360">
        <f t="shared" si="55"/>
        <v>0.20362633748961917</v>
      </c>
      <c r="T50" s="360">
        <f t="shared" si="56"/>
        <v>0.3</v>
      </c>
      <c r="U50" s="360" t="e">
        <f t="shared" si="57"/>
        <v>#VALUE!</v>
      </c>
      <c r="V50" s="4">
        <f t="shared" si="37"/>
        <v>0.39857428099196707</v>
      </c>
      <c r="W50" s="360">
        <f t="shared" si="58"/>
        <v>3.1772291493652703E-4</v>
      </c>
      <c r="X50" s="360">
        <f t="shared" si="38"/>
        <v>3.1772291493652703E-4</v>
      </c>
      <c r="Y50" s="4">
        <f t="shared" si="59"/>
        <v>1.5305729815032958</v>
      </c>
      <c r="Z50" s="360">
        <f t="shared" si="12"/>
        <v>2.3426536517078883E-3</v>
      </c>
      <c r="AA50" s="541">
        <f t="shared" si="39"/>
        <v>2.3426536517078883E-3</v>
      </c>
      <c r="AB50" s="360">
        <f t="shared" si="60"/>
        <v>3.7632269791619954</v>
      </c>
      <c r="AC50" s="360">
        <f t="shared" si="61"/>
        <v>8.4971263780156306E-2</v>
      </c>
      <c r="AD50" s="360">
        <f t="shared" si="62"/>
        <v>0.26762672558341383</v>
      </c>
      <c r="AE50" s="360">
        <f t="shared" si="63"/>
        <v>-0.52595999999999998</v>
      </c>
      <c r="AF50" s="360">
        <f t="shared" si="64"/>
        <v>0</v>
      </c>
      <c r="AG50" s="360" t="e">
        <f t="shared" si="65"/>
        <v>#VALUE!</v>
      </c>
      <c r="AH50" s="360">
        <f t="shared" si="66"/>
        <v>1.675405670509547</v>
      </c>
      <c r="AI50" s="360">
        <f t="shared" si="67"/>
        <v>7.0174604019388621E-3</v>
      </c>
      <c r="AJ50" s="360">
        <f t="shared" si="68"/>
        <v>4.8215999999999988E-2</v>
      </c>
      <c r="AK50" s="360" t="e">
        <f t="shared" si="69"/>
        <v>#VALUE!</v>
      </c>
      <c r="AL50" s="360">
        <f t="shared" si="70"/>
        <v>4.8215999999999988E-2</v>
      </c>
      <c r="AM50" s="360">
        <f t="shared" si="71"/>
        <v>0.88559999999999983</v>
      </c>
      <c r="AN50" s="360">
        <f t="shared" si="72"/>
        <v>8.4844307287341325E-2</v>
      </c>
      <c r="AO50" s="360">
        <f t="shared" si="73"/>
        <v>2.0999999999999999E-3</v>
      </c>
      <c r="AP50" s="360">
        <f t="shared" si="74"/>
        <v>9.8999999999999991E-2</v>
      </c>
      <c r="AQ50" s="360">
        <f t="shared" si="75"/>
        <v>1.1483999999999999</v>
      </c>
      <c r="AR50" s="360">
        <f t="shared" si="76"/>
        <v>1.089</v>
      </c>
      <c r="AS50" s="360">
        <f t="shared" si="48"/>
        <v>0.1011</v>
      </c>
      <c r="AT50" s="360" t="e">
        <f t="shared" si="41"/>
        <v>#VALUE!</v>
      </c>
      <c r="AU50">
        <f t="shared" si="77"/>
        <v>204.99999999999997</v>
      </c>
      <c r="AV50" s="542" t="e">
        <f t="shared" si="42"/>
        <v>#VALUE!</v>
      </c>
      <c r="AW50" s="551" t="e">
        <f t="shared" si="78"/>
        <v>#VALUE!</v>
      </c>
      <c r="AX50" s="551" t="e">
        <f t="shared" si="79"/>
        <v>#VALUE!</v>
      </c>
      <c r="AY50" s="9"/>
      <c r="AZ50" s="4" t="e">
        <f t="shared" si="43"/>
        <v>#VALUE!</v>
      </c>
      <c r="BA50" s="360" t="e">
        <f t="shared" si="80"/>
        <v>#VALUE!</v>
      </c>
      <c r="BB50" s="360" t="e">
        <f t="shared" si="44"/>
        <v>#VALUE!</v>
      </c>
      <c r="BC50" s="360" t="e">
        <f t="shared" si="45"/>
        <v>#VALUE!</v>
      </c>
      <c r="BD50" s="360" t="e">
        <f t="shared" si="46"/>
        <v>#VALUE!</v>
      </c>
      <c r="BE50" s="360">
        <f t="shared" si="47"/>
        <v>8.4844307287341325E-2</v>
      </c>
    </row>
    <row r="51" spans="1:64" x14ac:dyDescent="0.2">
      <c r="A51" s="23" t="s">
        <v>67</v>
      </c>
      <c r="B51" s="5">
        <f>Qg_Q4*1000000000</f>
        <v>25</v>
      </c>
      <c r="C51" s="440" t="s">
        <v>65</v>
      </c>
      <c r="D51" s="21" t="s">
        <v>99</v>
      </c>
      <c r="G51">
        <v>42</v>
      </c>
      <c r="H51" s="548">
        <f t="shared" si="0"/>
        <v>60</v>
      </c>
      <c r="I51" s="4">
        <f t="shared" si="49"/>
        <v>1</v>
      </c>
      <c r="J51" s="360">
        <f t="shared" si="81"/>
        <v>4.2</v>
      </c>
      <c r="K51" s="4">
        <f t="shared" si="50"/>
        <v>3.8888888888888888</v>
      </c>
      <c r="L51" s="4"/>
      <c r="M51" s="360">
        <f t="shared" si="51"/>
        <v>0.83461069920991615</v>
      </c>
      <c r="N51" s="4">
        <f t="shared" si="52"/>
        <v>1.3805017372064814</v>
      </c>
      <c r="O51" s="4">
        <f t="shared" si="35"/>
        <v>4.8902508686032409</v>
      </c>
      <c r="P51" s="4">
        <f t="shared" si="36"/>
        <v>3.5097491313967595</v>
      </c>
      <c r="Q51" s="4">
        <f t="shared" si="53"/>
        <v>0</v>
      </c>
      <c r="R51" s="4">
        <f t="shared" si="54"/>
        <v>4.2188642334798878</v>
      </c>
      <c r="S51" s="360">
        <f t="shared" si="55"/>
        <v>0.21358578504643011</v>
      </c>
      <c r="T51" s="360">
        <f t="shared" si="56"/>
        <v>0.3</v>
      </c>
      <c r="U51" s="360" t="e">
        <f t="shared" si="57"/>
        <v>#VALUE!</v>
      </c>
      <c r="V51" s="4">
        <f t="shared" si="37"/>
        <v>0.39851652479645405</v>
      </c>
      <c r="W51" s="360">
        <f t="shared" si="58"/>
        <v>3.1763084107168556E-4</v>
      </c>
      <c r="X51" s="360">
        <f t="shared" si="38"/>
        <v>3.1763084107168556E-4</v>
      </c>
      <c r="Y51" s="4">
        <f t="shared" si="59"/>
        <v>1.5674410959617748</v>
      </c>
      <c r="Z51" s="360">
        <f t="shared" si="12"/>
        <v>2.4568715893098498E-3</v>
      </c>
      <c r="AA51" s="541">
        <f t="shared" si="39"/>
        <v>2.4568715893098498E-3</v>
      </c>
      <c r="AB51" s="360">
        <f t="shared" si="60"/>
        <v>3.8542290776809902</v>
      </c>
      <c r="AC51" s="360">
        <f t="shared" si="61"/>
        <v>8.9130490699449935E-2</v>
      </c>
      <c r="AD51" s="360">
        <f t="shared" si="62"/>
        <v>0.27415420669520446</v>
      </c>
      <c r="AE51" s="360">
        <f t="shared" si="63"/>
        <v>-0.52595999999999998</v>
      </c>
      <c r="AF51" s="360">
        <f t="shared" si="64"/>
        <v>0</v>
      </c>
      <c r="AG51" s="360" t="e">
        <f t="shared" si="65"/>
        <v>#VALUE!</v>
      </c>
      <c r="AH51" s="360">
        <f t="shared" si="66"/>
        <v>1.7157312252489272</v>
      </c>
      <c r="AI51" s="360">
        <f t="shared" si="67"/>
        <v>7.3593340932354622E-3</v>
      </c>
      <c r="AJ51" s="360">
        <f t="shared" si="68"/>
        <v>4.9391999999999991E-2</v>
      </c>
      <c r="AK51" s="360" t="e">
        <f t="shared" si="69"/>
        <v>#VALUE!</v>
      </c>
      <c r="AL51" s="360">
        <f t="shared" si="70"/>
        <v>4.9391999999999991E-2</v>
      </c>
      <c r="AM51" s="360">
        <f t="shared" si="71"/>
        <v>0.9071999999999999</v>
      </c>
      <c r="AN51" s="360">
        <f t="shared" si="72"/>
        <v>8.8994077102679217E-2</v>
      </c>
      <c r="AO51" s="360">
        <f t="shared" si="73"/>
        <v>2.0999999999999999E-3</v>
      </c>
      <c r="AP51" s="360">
        <f t="shared" si="74"/>
        <v>9.8999999999999991E-2</v>
      </c>
      <c r="AQ51" s="360">
        <f t="shared" si="75"/>
        <v>1.1483999999999999</v>
      </c>
      <c r="AR51" s="360">
        <f t="shared" si="76"/>
        <v>1.089</v>
      </c>
      <c r="AS51" s="360">
        <f t="shared" si="48"/>
        <v>0.1011</v>
      </c>
      <c r="AT51" s="360" t="e">
        <f t="shared" si="41"/>
        <v>#VALUE!</v>
      </c>
      <c r="AU51">
        <f t="shared" si="77"/>
        <v>210</v>
      </c>
      <c r="AV51" s="542" t="e">
        <f t="shared" si="42"/>
        <v>#VALUE!</v>
      </c>
      <c r="AW51" s="551" t="e">
        <f t="shared" si="78"/>
        <v>#VALUE!</v>
      </c>
      <c r="AX51" s="551" t="e">
        <f t="shared" si="79"/>
        <v>#VALUE!</v>
      </c>
      <c r="AY51" s="9"/>
      <c r="AZ51" s="4" t="e">
        <f t="shared" si="43"/>
        <v>#VALUE!</v>
      </c>
      <c r="BA51" s="360" t="e">
        <f t="shared" si="80"/>
        <v>#VALUE!</v>
      </c>
      <c r="BB51" s="360" t="e">
        <f t="shared" si="44"/>
        <v>#VALUE!</v>
      </c>
      <c r="BC51" s="360" t="e">
        <f t="shared" si="45"/>
        <v>#VALUE!</v>
      </c>
      <c r="BD51" s="360" t="e">
        <f t="shared" si="46"/>
        <v>#VALUE!</v>
      </c>
      <c r="BE51" s="360">
        <f t="shared" si="47"/>
        <v>8.8994077102679217E-2</v>
      </c>
    </row>
    <row r="52" spans="1:64" x14ac:dyDescent="0.2">
      <c r="A52" s="23" t="s">
        <v>91</v>
      </c>
      <c r="B52" s="5">
        <f>Rgate4</f>
        <v>0.5</v>
      </c>
      <c r="C52" s="444" t="s">
        <v>116</v>
      </c>
      <c r="D52" s="21" t="s">
        <v>100</v>
      </c>
      <c r="G52">
        <v>43</v>
      </c>
      <c r="H52" s="548">
        <f t="shared" si="0"/>
        <v>60</v>
      </c>
      <c r="I52" s="4">
        <f t="shared" si="49"/>
        <v>1</v>
      </c>
      <c r="J52" s="360">
        <f t="shared" si="81"/>
        <v>4.3</v>
      </c>
      <c r="K52" s="4">
        <f t="shared" si="50"/>
        <v>3.9814814814814814</v>
      </c>
      <c r="L52" s="4"/>
      <c r="M52" s="360">
        <f t="shared" si="51"/>
        <v>0.83464110941407132</v>
      </c>
      <c r="N52" s="4">
        <f t="shared" si="52"/>
        <v>1.3803016453786776</v>
      </c>
      <c r="O52" s="4">
        <f t="shared" si="35"/>
        <v>4.9901508226893387</v>
      </c>
      <c r="P52" s="4">
        <f t="shared" si="36"/>
        <v>3.6098491773106609</v>
      </c>
      <c r="Q52" s="4">
        <f t="shared" si="53"/>
        <v>0</v>
      </c>
      <c r="R52" s="4">
        <f t="shared" si="54"/>
        <v>4.3184220944714964</v>
      </c>
      <c r="S52" s="360">
        <f t="shared" si="55"/>
        <v>0.22378523263223501</v>
      </c>
      <c r="T52" s="360">
        <f t="shared" si="56"/>
        <v>0.3</v>
      </c>
      <c r="U52" s="360" t="e">
        <f t="shared" si="57"/>
        <v>#VALUE!</v>
      </c>
      <c r="V52" s="4">
        <f t="shared" si="37"/>
        <v>0.39845876326113144</v>
      </c>
      <c r="W52" s="360">
        <f t="shared" si="58"/>
        <v>3.1753877203918082E-4</v>
      </c>
      <c r="X52" s="360">
        <f t="shared" si="38"/>
        <v>3.1753877203918082E-4</v>
      </c>
      <c r="Y52" s="4">
        <f t="shared" si="59"/>
        <v>1.604311697133296</v>
      </c>
      <c r="Z52" s="360">
        <f t="shared" si="12"/>
        <v>2.5738160215587167E-3</v>
      </c>
      <c r="AA52" s="541">
        <f t="shared" si="39"/>
        <v>2.5738160215587167E-3</v>
      </c>
      <c r="AB52" s="360">
        <f t="shared" si="60"/>
        <v>3.9452540564017622</v>
      </c>
      <c r="AC52" s="360">
        <f t="shared" si="61"/>
        <v>9.3390177417327358E-2</v>
      </c>
      <c r="AD52" s="360">
        <f t="shared" si="62"/>
        <v>0.28068168780699504</v>
      </c>
      <c r="AE52" s="360">
        <f t="shared" si="63"/>
        <v>-0.52595999999999998</v>
      </c>
      <c r="AF52" s="360">
        <f t="shared" si="64"/>
        <v>0</v>
      </c>
      <c r="AG52" s="360" t="e">
        <f t="shared" si="65"/>
        <v>#VALUE!</v>
      </c>
      <c r="AH52" s="360">
        <f t="shared" si="66"/>
        <v>1.7560580333420159</v>
      </c>
      <c r="AI52" s="360">
        <f t="shared" si="67"/>
        <v>7.7093495411625721E-3</v>
      </c>
      <c r="AJ52" s="360">
        <f t="shared" si="68"/>
        <v>5.0567999999999988E-2</v>
      </c>
      <c r="AK52" s="360" t="e">
        <f t="shared" si="69"/>
        <v>#VALUE!</v>
      </c>
      <c r="AL52" s="360">
        <f t="shared" si="70"/>
        <v>5.0567999999999988E-2</v>
      </c>
      <c r="AM52" s="360">
        <f t="shared" si="71"/>
        <v>0.92879999999999985</v>
      </c>
      <c r="AN52" s="360">
        <f t="shared" si="72"/>
        <v>9.3243846930097921E-2</v>
      </c>
      <c r="AO52" s="360">
        <f t="shared" si="73"/>
        <v>2.0999999999999999E-3</v>
      </c>
      <c r="AP52" s="360">
        <f t="shared" si="74"/>
        <v>9.8999999999999991E-2</v>
      </c>
      <c r="AQ52" s="360">
        <f t="shared" si="75"/>
        <v>1.1483999999999999</v>
      </c>
      <c r="AR52" s="360">
        <f t="shared" si="76"/>
        <v>1.089</v>
      </c>
      <c r="AS52" s="360">
        <f t="shared" si="48"/>
        <v>0.1011</v>
      </c>
      <c r="AT52" s="360" t="e">
        <f t="shared" si="41"/>
        <v>#VALUE!</v>
      </c>
      <c r="AU52">
        <f t="shared" si="77"/>
        <v>215</v>
      </c>
      <c r="AV52" s="542" t="e">
        <f t="shared" si="42"/>
        <v>#VALUE!</v>
      </c>
      <c r="AW52" s="551" t="e">
        <f t="shared" si="78"/>
        <v>#VALUE!</v>
      </c>
      <c r="AX52" s="551" t="e">
        <f t="shared" si="79"/>
        <v>#VALUE!</v>
      </c>
      <c r="AY52" s="9"/>
      <c r="AZ52" s="4" t="e">
        <f t="shared" si="43"/>
        <v>#VALUE!</v>
      </c>
      <c r="BA52" s="360" t="e">
        <f t="shared" si="80"/>
        <v>#VALUE!</v>
      </c>
      <c r="BB52" s="360" t="e">
        <f t="shared" si="44"/>
        <v>#VALUE!</v>
      </c>
      <c r="BC52" s="360" t="e">
        <f t="shared" si="45"/>
        <v>#VALUE!</v>
      </c>
      <c r="BD52" s="360" t="e">
        <f t="shared" si="46"/>
        <v>#VALUE!</v>
      </c>
      <c r="BE52" s="360">
        <f t="shared" si="47"/>
        <v>9.3243846930097921E-2</v>
      </c>
    </row>
    <row r="53" spans="1:64" x14ac:dyDescent="0.2">
      <c r="A53" s="23" t="s">
        <v>72</v>
      </c>
      <c r="B53" s="5">
        <f>Vsd_Q4</f>
        <v>0.7</v>
      </c>
      <c r="C53" s="440" t="s">
        <v>0</v>
      </c>
      <c r="D53" s="21" t="s">
        <v>105</v>
      </c>
      <c r="G53">
        <v>44</v>
      </c>
      <c r="H53" s="548">
        <f t="shared" si="0"/>
        <v>60</v>
      </c>
      <c r="I53" s="4">
        <f t="shared" si="49"/>
        <v>1</v>
      </c>
      <c r="J53" s="360">
        <f t="shared" si="81"/>
        <v>4.4000000000000004</v>
      </c>
      <c r="K53" s="4">
        <f t="shared" si="50"/>
        <v>4.0740740740740744</v>
      </c>
      <c r="L53" s="4"/>
      <c r="M53" s="360">
        <f t="shared" si="51"/>
        <v>0.834671519466192</v>
      </c>
      <c r="N53" s="4">
        <f t="shared" si="52"/>
        <v>1.3801015350533659</v>
      </c>
      <c r="O53" s="4">
        <f t="shared" si="35"/>
        <v>5.0900507675266837</v>
      </c>
      <c r="P53" s="4">
        <f t="shared" si="36"/>
        <v>3.7099492324733174</v>
      </c>
      <c r="Q53" s="4">
        <f t="shared" si="53"/>
        <v>0</v>
      </c>
      <c r="R53" s="4">
        <f t="shared" si="54"/>
        <v>4.4179999268810981</v>
      </c>
      <c r="S53" s="360">
        <f t="shared" si="55"/>
        <v>0.23422468024705667</v>
      </c>
      <c r="T53" s="360">
        <f t="shared" si="56"/>
        <v>0.3</v>
      </c>
      <c r="U53" s="360" t="e">
        <f t="shared" si="57"/>
        <v>#VALUE!</v>
      </c>
      <c r="V53" s="4">
        <f t="shared" si="37"/>
        <v>0.39840099638603826</v>
      </c>
      <c r="W53" s="360">
        <f t="shared" si="58"/>
        <v>3.1744670784277613E-4</v>
      </c>
      <c r="X53" s="360">
        <f t="shared" si="38"/>
        <v>3.1744670784277613E-4</v>
      </c>
      <c r="Y53" s="4">
        <f t="shared" si="59"/>
        <v>1.6411842440364137</v>
      </c>
      <c r="Z53" s="360">
        <f t="shared" si="12"/>
        <v>2.6934857228733751E-3</v>
      </c>
      <c r="AA53" s="541">
        <f t="shared" si="39"/>
        <v>2.6934857228733751E-3</v>
      </c>
      <c r="AB53" s="360">
        <f t="shared" si="60"/>
        <v>4.0363005933475531</v>
      </c>
      <c r="AC53" s="360">
        <f t="shared" si="61"/>
        <v>9.7750334879146861E-2</v>
      </c>
      <c r="AD53" s="360">
        <f t="shared" si="62"/>
        <v>0.28720916891878562</v>
      </c>
      <c r="AE53" s="360">
        <f t="shared" si="63"/>
        <v>-0.52595999999999998</v>
      </c>
      <c r="AF53" s="360">
        <f t="shared" si="64"/>
        <v>0</v>
      </c>
      <c r="AG53" s="360" t="e">
        <f t="shared" si="65"/>
        <v>#VALUE!</v>
      </c>
      <c r="AH53" s="360">
        <f t="shared" si="66"/>
        <v>1.7963855026312072</v>
      </c>
      <c r="AI53" s="360">
        <f t="shared" si="67"/>
        <v>8.0675021851589375E-3</v>
      </c>
      <c r="AJ53" s="360">
        <f t="shared" si="68"/>
        <v>5.1743999999999998E-2</v>
      </c>
      <c r="AK53" s="360" t="e">
        <f t="shared" si="69"/>
        <v>#VALUE!</v>
      </c>
      <c r="AL53" s="360">
        <f t="shared" si="70"/>
        <v>5.1743999999999998E-2</v>
      </c>
      <c r="AM53" s="360">
        <f t="shared" si="71"/>
        <v>0.95040000000000002</v>
      </c>
      <c r="AN53" s="360">
        <f t="shared" si="72"/>
        <v>9.7593616769606942E-2</v>
      </c>
      <c r="AO53" s="360">
        <f t="shared" si="73"/>
        <v>2.0999999999999999E-3</v>
      </c>
      <c r="AP53" s="360">
        <f t="shared" si="74"/>
        <v>9.8999999999999991E-2</v>
      </c>
      <c r="AQ53" s="360">
        <f t="shared" si="75"/>
        <v>1.1483999999999999</v>
      </c>
      <c r="AR53" s="360">
        <f t="shared" si="76"/>
        <v>1.089</v>
      </c>
      <c r="AS53" s="360">
        <f t="shared" si="48"/>
        <v>0.1011</v>
      </c>
      <c r="AT53" s="360" t="e">
        <f t="shared" si="41"/>
        <v>#VALUE!</v>
      </c>
      <c r="AU53">
        <f t="shared" si="77"/>
        <v>220.00000000000003</v>
      </c>
      <c r="AV53" s="542" t="e">
        <f t="shared" si="42"/>
        <v>#VALUE!</v>
      </c>
      <c r="AW53" s="551" t="e">
        <f t="shared" si="78"/>
        <v>#VALUE!</v>
      </c>
      <c r="AX53" s="551" t="e">
        <f t="shared" si="79"/>
        <v>#VALUE!</v>
      </c>
      <c r="AY53" s="9"/>
      <c r="AZ53" s="4" t="e">
        <f t="shared" si="43"/>
        <v>#VALUE!</v>
      </c>
      <c r="BA53" s="360" t="e">
        <f t="shared" si="80"/>
        <v>#VALUE!</v>
      </c>
      <c r="BB53" s="360" t="e">
        <f t="shared" si="44"/>
        <v>#VALUE!</v>
      </c>
      <c r="BC53" s="360" t="e">
        <f t="shared" si="45"/>
        <v>#VALUE!</v>
      </c>
      <c r="BD53" s="360" t="e">
        <f t="shared" si="46"/>
        <v>#VALUE!</v>
      </c>
      <c r="BE53" s="360">
        <f t="shared" si="47"/>
        <v>9.7593616769606942E-2</v>
      </c>
    </row>
    <row r="54" spans="1:64" x14ac:dyDescent="0.2">
      <c r="A54" s="23" t="s">
        <v>73</v>
      </c>
      <c r="B54" s="5">
        <f>Qrr_Q4*1000000000</f>
        <v>59.999999999999993</v>
      </c>
      <c r="C54" s="440" t="s">
        <v>65</v>
      </c>
      <c r="D54" s="21" t="s">
        <v>110</v>
      </c>
      <c r="G54">
        <v>45</v>
      </c>
      <c r="H54" s="548">
        <f t="shared" si="0"/>
        <v>60</v>
      </c>
      <c r="I54" s="4">
        <f t="shared" si="49"/>
        <v>1</v>
      </c>
      <c r="J54" s="360">
        <f t="shared" si="81"/>
        <v>4.5</v>
      </c>
      <c r="K54" s="4">
        <f t="shared" si="50"/>
        <v>4.166666666666667</v>
      </c>
      <c r="L54" s="4"/>
      <c r="M54" s="360">
        <f t="shared" si="51"/>
        <v>0.83470192936627963</v>
      </c>
      <c r="N54" s="4">
        <f t="shared" si="52"/>
        <v>1.3799014062306874</v>
      </c>
      <c r="O54" s="4">
        <f t="shared" si="35"/>
        <v>5.1899507031153433</v>
      </c>
      <c r="P54" s="4">
        <f t="shared" si="36"/>
        <v>3.8100492968846562</v>
      </c>
      <c r="Q54" s="4">
        <f t="shared" si="53"/>
        <v>0</v>
      </c>
      <c r="R54" s="4">
        <f t="shared" si="54"/>
        <v>4.5175964100662114</v>
      </c>
      <c r="S54" s="360">
        <f t="shared" si="55"/>
        <v>0.24490412789091748</v>
      </c>
      <c r="T54" s="360">
        <f t="shared" si="56"/>
        <v>0.3</v>
      </c>
      <c r="U54" s="360" t="e">
        <f t="shared" si="57"/>
        <v>#VALUE!</v>
      </c>
      <c r="V54" s="4">
        <f t="shared" si="37"/>
        <v>0.39834322417121526</v>
      </c>
      <c r="W54" s="360">
        <f t="shared" si="58"/>
        <v>3.1735464848623812E-4</v>
      </c>
      <c r="X54" s="360">
        <f t="shared" si="38"/>
        <v>3.1735464848623812E-4</v>
      </c>
      <c r="Y54" s="4">
        <f t="shared" si="59"/>
        <v>1.6780582431676958</v>
      </c>
      <c r="Z54" s="360">
        <f t="shared" si="12"/>
        <v>2.8158794674630538E-3</v>
      </c>
      <c r="AA54" s="541">
        <f t="shared" si="39"/>
        <v>2.8158794674630538E-3</v>
      </c>
      <c r="AB54" s="360">
        <f t="shared" si="60"/>
        <v>4.1273674828344973</v>
      </c>
      <c r="AC54" s="360">
        <f t="shared" si="61"/>
        <v>0.10221097403015744</v>
      </c>
      <c r="AD54" s="360">
        <f t="shared" si="62"/>
        <v>0.2937366500305762</v>
      </c>
      <c r="AE54" s="360">
        <f t="shared" si="63"/>
        <v>-0.52595999999999998</v>
      </c>
      <c r="AF54" s="360">
        <f t="shared" si="64"/>
        <v>0</v>
      </c>
      <c r="AG54" s="360" t="e">
        <f t="shared" si="65"/>
        <v>#VALUE!</v>
      </c>
      <c r="AH54" s="360">
        <f t="shared" si="66"/>
        <v>1.8367130929689446</v>
      </c>
      <c r="AI54" s="360">
        <f t="shared" si="67"/>
        <v>8.4337874647088668E-3</v>
      </c>
      <c r="AJ54" s="360">
        <f t="shared" si="68"/>
        <v>5.2919999999999988E-2</v>
      </c>
      <c r="AK54" s="360" t="e">
        <f t="shared" si="69"/>
        <v>#VALUE!</v>
      </c>
      <c r="AL54" s="360">
        <f t="shared" si="70"/>
        <v>5.2919999999999988E-2</v>
      </c>
      <c r="AM54" s="360">
        <f t="shared" si="71"/>
        <v>0.97199999999999998</v>
      </c>
      <c r="AN54" s="360">
        <f t="shared" si="72"/>
        <v>0.10204338662121561</v>
      </c>
      <c r="AO54" s="360">
        <f t="shared" si="73"/>
        <v>2.0999999999999999E-3</v>
      </c>
      <c r="AP54" s="360">
        <f t="shared" si="74"/>
        <v>9.8999999999999991E-2</v>
      </c>
      <c r="AQ54" s="360">
        <f t="shared" si="75"/>
        <v>1.1483999999999999</v>
      </c>
      <c r="AR54" s="360">
        <f t="shared" si="76"/>
        <v>1.089</v>
      </c>
      <c r="AS54" s="360">
        <f t="shared" si="48"/>
        <v>0.1011</v>
      </c>
      <c r="AT54" s="360" t="e">
        <f t="shared" si="41"/>
        <v>#VALUE!</v>
      </c>
      <c r="AU54">
        <f t="shared" si="77"/>
        <v>225</v>
      </c>
      <c r="AV54" s="542" t="e">
        <f t="shared" si="42"/>
        <v>#VALUE!</v>
      </c>
      <c r="AW54" s="551" t="e">
        <f t="shared" si="78"/>
        <v>#VALUE!</v>
      </c>
      <c r="AX54" s="551" t="e">
        <f t="shared" si="79"/>
        <v>#VALUE!</v>
      </c>
      <c r="AY54" s="9"/>
      <c r="AZ54" s="4" t="e">
        <f t="shared" si="43"/>
        <v>#VALUE!</v>
      </c>
      <c r="BA54" s="360" t="e">
        <f t="shared" si="80"/>
        <v>#VALUE!</v>
      </c>
      <c r="BB54" s="360" t="e">
        <f t="shared" si="44"/>
        <v>#VALUE!</v>
      </c>
      <c r="BC54" s="360" t="e">
        <f t="shared" si="45"/>
        <v>#VALUE!</v>
      </c>
      <c r="BD54" s="360" t="e">
        <f t="shared" si="46"/>
        <v>#VALUE!</v>
      </c>
      <c r="BE54" s="360">
        <f t="shared" si="47"/>
        <v>0.10204338662121561</v>
      </c>
    </row>
    <row r="55" spans="1:64" x14ac:dyDescent="0.2">
      <c r="A55" s="23" t="s">
        <v>74</v>
      </c>
      <c r="B55" s="5">
        <f>Trr_Q4*1000000000</f>
        <v>40</v>
      </c>
      <c r="C55" s="440" t="s">
        <v>75</v>
      </c>
      <c r="D55" s="76" t="s">
        <v>106</v>
      </c>
      <c r="G55">
        <v>46</v>
      </c>
      <c r="H55" s="548">
        <f t="shared" si="0"/>
        <v>60</v>
      </c>
      <c r="I55" s="4">
        <f t="shared" si="49"/>
        <v>1</v>
      </c>
      <c r="J55" s="360">
        <f t="shared" si="81"/>
        <v>4.5999999999999996</v>
      </c>
      <c r="K55" s="4">
        <f t="shared" si="50"/>
        <v>4.2592592592592586</v>
      </c>
      <c r="L55" s="4"/>
      <c r="M55" s="360">
        <f t="shared" si="51"/>
        <v>0.8347323391143352</v>
      </c>
      <c r="N55" s="4">
        <f t="shared" si="52"/>
        <v>1.3797012589107807</v>
      </c>
      <c r="O55" s="4">
        <f t="shared" si="35"/>
        <v>5.2898506294553904</v>
      </c>
      <c r="P55" s="4">
        <f t="shared" si="36"/>
        <v>3.9101493705446093</v>
      </c>
      <c r="Q55" s="4">
        <f t="shared" si="53"/>
        <v>0</v>
      </c>
      <c r="R55" s="4">
        <f t="shared" si="54"/>
        <v>4.6172103370960542</v>
      </c>
      <c r="S55" s="360">
        <f t="shared" si="55"/>
        <v>0.25582357556383989</v>
      </c>
      <c r="T55" s="360">
        <f t="shared" si="56"/>
        <v>0.3</v>
      </c>
      <c r="U55" s="360" t="e">
        <f t="shared" si="57"/>
        <v>#VALUE!</v>
      </c>
      <c r="V55" s="4">
        <f t="shared" si="37"/>
        <v>0.3982854466167024</v>
      </c>
      <c r="W55" s="360">
        <f t="shared" si="58"/>
        <v>3.1726259397333217E-4</v>
      </c>
      <c r="X55" s="360">
        <f t="shared" si="38"/>
        <v>3.1726259397333217E-4</v>
      </c>
      <c r="Y55" s="4">
        <f t="shared" si="59"/>
        <v>1.7149332434025979</v>
      </c>
      <c r="Z55" s="360">
        <f t="shared" si="12"/>
        <v>2.9409960293273543E-3</v>
      </c>
      <c r="AA55" s="541">
        <f t="shared" si="39"/>
        <v>2.9409960293273543E-3</v>
      </c>
      <c r="AB55" s="360">
        <f t="shared" si="60"/>
        <v>4.2184536229819747</v>
      </c>
      <c r="AC55" s="360">
        <f t="shared" si="61"/>
        <v>0.10677210581549849</v>
      </c>
      <c r="AD55" s="360">
        <f t="shared" si="62"/>
        <v>0.30026413114236677</v>
      </c>
      <c r="AE55" s="360">
        <f t="shared" si="63"/>
        <v>-0.52595999999999998</v>
      </c>
      <c r="AF55" s="360">
        <f t="shared" si="64"/>
        <v>0</v>
      </c>
      <c r="AG55" s="360" t="e">
        <f t="shared" si="65"/>
        <v>#VALUE!</v>
      </c>
      <c r="AH55" s="360">
        <f t="shared" si="66"/>
        <v>1.8770403106318498</v>
      </c>
      <c r="AI55" s="360">
        <f t="shared" si="67"/>
        <v>8.8082008193422785E-3</v>
      </c>
      <c r="AJ55" s="360">
        <f t="shared" si="68"/>
        <v>5.4095999999999984E-2</v>
      </c>
      <c r="AK55" s="360" t="e">
        <f t="shared" si="69"/>
        <v>#VALUE!</v>
      </c>
      <c r="AL55" s="360">
        <f t="shared" si="70"/>
        <v>5.4095999999999984E-2</v>
      </c>
      <c r="AM55" s="360">
        <f t="shared" si="71"/>
        <v>0.99359999999999971</v>
      </c>
      <c r="AN55" s="360">
        <f t="shared" si="72"/>
        <v>0.1065931564849333</v>
      </c>
      <c r="AO55" s="360">
        <f t="shared" si="73"/>
        <v>2.0999999999999999E-3</v>
      </c>
      <c r="AP55" s="360">
        <f t="shared" si="74"/>
        <v>9.8999999999999991E-2</v>
      </c>
      <c r="AQ55" s="360">
        <f t="shared" si="75"/>
        <v>1.1483999999999999</v>
      </c>
      <c r="AR55" s="360">
        <f t="shared" si="76"/>
        <v>1.089</v>
      </c>
      <c r="AS55" s="360">
        <f t="shared" si="48"/>
        <v>0.1011</v>
      </c>
      <c r="AT55" s="360" t="e">
        <f t="shared" si="41"/>
        <v>#VALUE!</v>
      </c>
      <c r="AU55">
        <f t="shared" si="77"/>
        <v>229.99999999999997</v>
      </c>
      <c r="AV55" s="542" t="e">
        <f t="shared" si="42"/>
        <v>#VALUE!</v>
      </c>
      <c r="AW55" s="551" t="e">
        <f t="shared" si="78"/>
        <v>#VALUE!</v>
      </c>
      <c r="AX55" s="551" t="e">
        <f t="shared" si="79"/>
        <v>#VALUE!</v>
      </c>
      <c r="AY55" s="9"/>
      <c r="AZ55" s="4" t="e">
        <f t="shared" si="43"/>
        <v>#VALUE!</v>
      </c>
      <c r="BA55" s="360" t="e">
        <f t="shared" si="80"/>
        <v>#VALUE!</v>
      </c>
      <c r="BB55" s="360" t="e">
        <f t="shared" si="44"/>
        <v>#VALUE!</v>
      </c>
      <c r="BC55" s="360" t="e">
        <f t="shared" si="45"/>
        <v>#VALUE!</v>
      </c>
      <c r="BD55" s="360" t="e">
        <f t="shared" si="46"/>
        <v>#VALUE!</v>
      </c>
      <c r="BE55" s="360">
        <f t="shared" si="47"/>
        <v>0.1065931564849333</v>
      </c>
    </row>
    <row r="56" spans="1:64" ht="15.75" x14ac:dyDescent="0.3">
      <c r="A56" s="446" t="s">
        <v>471</v>
      </c>
      <c r="B56" s="5">
        <f>ThetaJA_Q4</f>
        <v>38</v>
      </c>
      <c r="C56" s="441" t="s">
        <v>205</v>
      </c>
      <c r="D56" s="76" t="s">
        <v>103</v>
      </c>
      <c r="E56" s="2"/>
      <c r="G56">
        <v>47</v>
      </c>
      <c r="H56" s="548">
        <f t="shared" si="0"/>
        <v>60</v>
      </c>
      <c r="I56" s="4">
        <f t="shared" si="49"/>
        <v>1</v>
      </c>
      <c r="J56" s="360">
        <f t="shared" si="81"/>
        <v>4.7</v>
      </c>
      <c r="K56" s="4">
        <f t="shared" si="50"/>
        <v>4.3518518518518521</v>
      </c>
      <c r="L56" s="4"/>
      <c r="M56" s="360">
        <f t="shared" si="51"/>
        <v>0.83476274871035994</v>
      </c>
      <c r="N56" s="4">
        <f t="shared" si="52"/>
        <v>1.3795010930937834</v>
      </c>
      <c r="O56" s="4">
        <f t="shared" si="35"/>
        <v>5.3897505465468916</v>
      </c>
      <c r="P56" s="4">
        <f t="shared" si="36"/>
        <v>4.0102494534531088</v>
      </c>
      <c r="Q56" s="4">
        <f t="shared" si="53"/>
        <v>0</v>
      </c>
      <c r="R56" s="4">
        <f t="shared" si="54"/>
        <v>4.7168406027927121</v>
      </c>
      <c r="S56" s="360">
        <f t="shared" si="55"/>
        <v>0.266983023265847</v>
      </c>
      <c r="T56" s="360">
        <f t="shared" si="56"/>
        <v>0.3</v>
      </c>
      <c r="U56" s="360" t="e">
        <f t="shared" si="57"/>
        <v>#VALUE!</v>
      </c>
      <c r="V56" s="4">
        <f t="shared" si="37"/>
        <v>0.39822766372253943</v>
      </c>
      <c r="W56" s="360">
        <f t="shared" si="58"/>
        <v>3.1717054430782388E-4</v>
      </c>
      <c r="X56" s="360">
        <f t="shared" si="38"/>
        <v>3.1717054430782388E-4</v>
      </c>
      <c r="Y56" s="4">
        <f t="shared" si="59"/>
        <v>1.7518088315384879</v>
      </c>
      <c r="Z56" s="360">
        <f t="shared" si="12"/>
        <v>3.0688341822562425E-3</v>
      </c>
      <c r="AA56" s="541">
        <f t="shared" si="39"/>
        <v>3.0688341822562425E-3</v>
      </c>
      <c r="AB56" s="360">
        <f t="shared" si="60"/>
        <v>4.3095580047958553</v>
      </c>
      <c r="AC56" s="360">
        <f t="shared" si="61"/>
        <v>0.1114337411802002</v>
      </c>
      <c r="AD56" s="360">
        <f t="shared" si="62"/>
        <v>0.30679161225415735</v>
      </c>
      <c r="AE56" s="360">
        <f t="shared" si="63"/>
        <v>-0.52595999999999998</v>
      </c>
      <c r="AF56" s="360">
        <f t="shared" si="64"/>
        <v>0</v>
      </c>
      <c r="AG56" s="360" t="e">
        <f t="shared" si="65"/>
        <v>#VALUE!</v>
      </c>
      <c r="AH56" s="360">
        <f t="shared" si="66"/>
        <v>1.9173667034383073</v>
      </c>
      <c r="AI56" s="360">
        <f t="shared" si="67"/>
        <v>9.1907376886347057E-3</v>
      </c>
      <c r="AJ56" s="360">
        <f t="shared" si="68"/>
        <v>5.5271999999999995E-2</v>
      </c>
      <c r="AK56" s="360" t="e">
        <f t="shared" si="69"/>
        <v>#VALUE!</v>
      </c>
      <c r="AL56" s="360">
        <f t="shared" si="70"/>
        <v>5.5271999999999995E-2</v>
      </c>
      <c r="AM56" s="360">
        <f t="shared" si="71"/>
        <v>1.0152000000000001</v>
      </c>
      <c r="AN56" s="360">
        <f t="shared" si="72"/>
        <v>0.11124292636076959</v>
      </c>
      <c r="AO56" s="360">
        <f t="shared" si="73"/>
        <v>2.0999999999999999E-3</v>
      </c>
      <c r="AP56" s="360">
        <f t="shared" si="74"/>
        <v>9.8999999999999991E-2</v>
      </c>
      <c r="AQ56" s="360">
        <f t="shared" si="75"/>
        <v>1.1483999999999999</v>
      </c>
      <c r="AR56" s="360">
        <f t="shared" si="76"/>
        <v>1.089</v>
      </c>
      <c r="AS56" s="360">
        <f t="shared" si="48"/>
        <v>0.1011</v>
      </c>
      <c r="AT56" s="360" t="e">
        <f t="shared" si="41"/>
        <v>#VALUE!</v>
      </c>
      <c r="AU56">
        <f t="shared" si="77"/>
        <v>235</v>
      </c>
      <c r="AV56" s="542" t="e">
        <f t="shared" si="42"/>
        <v>#VALUE!</v>
      </c>
      <c r="AW56" s="551" t="e">
        <f t="shared" si="78"/>
        <v>#VALUE!</v>
      </c>
      <c r="AX56" s="551" t="e">
        <f t="shared" si="79"/>
        <v>#VALUE!</v>
      </c>
      <c r="AY56" s="9"/>
      <c r="AZ56" s="4" t="e">
        <f t="shared" si="43"/>
        <v>#VALUE!</v>
      </c>
      <c r="BA56" s="360" t="e">
        <f t="shared" si="80"/>
        <v>#VALUE!</v>
      </c>
      <c r="BB56" s="360" t="e">
        <f t="shared" si="44"/>
        <v>#VALUE!</v>
      </c>
      <c r="BC56" s="360" t="e">
        <f t="shared" si="45"/>
        <v>#VALUE!</v>
      </c>
      <c r="BD56" s="360" t="e">
        <f t="shared" si="46"/>
        <v>#VALUE!</v>
      </c>
      <c r="BE56" s="360">
        <f t="shared" si="47"/>
        <v>0.11124292636076959</v>
      </c>
      <c r="BK56" s="18"/>
      <c r="BL56" s="19"/>
    </row>
    <row r="57" spans="1:64" x14ac:dyDescent="0.2">
      <c r="A57" s="24" t="s">
        <v>224</v>
      </c>
      <c r="B57" s="15" t="s">
        <v>111</v>
      </c>
      <c r="C57" s="24" t="s">
        <v>76</v>
      </c>
      <c r="D57" s="24" t="s">
        <v>213</v>
      </c>
      <c r="G57">
        <v>48</v>
      </c>
      <c r="H57" s="548">
        <f t="shared" si="0"/>
        <v>60</v>
      </c>
      <c r="I57" s="4">
        <f t="shared" si="49"/>
        <v>1</v>
      </c>
      <c r="J57" s="360">
        <f t="shared" si="81"/>
        <v>4.8</v>
      </c>
      <c r="K57" s="4">
        <f t="shared" si="50"/>
        <v>4.4444444444444446</v>
      </c>
      <c r="L57" s="4"/>
      <c r="M57" s="360">
        <f t="shared" si="51"/>
        <v>0.83479315815435484</v>
      </c>
      <c r="N57" s="4">
        <f t="shared" si="52"/>
        <v>1.3793009087798356</v>
      </c>
      <c r="O57" s="4">
        <f t="shared" si="35"/>
        <v>5.4896504543899178</v>
      </c>
      <c r="P57" s="4">
        <f t="shared" si="36"/>
        <v>4.1103495456100818</v>
      </c>
      <c r="Q57" s="4">
        <f t="shared" si="53"/>
        <v>0</v>
      </c>
      <c r="R57" s="4">
        <f t="shared" si="54"/>
        <v>4.8164861932478056</v>
      </c>
      <c r="S57" s="360">
        <f t="shared" si="55"/>
        <v>0.27838247099696084</v>
      </c>
      <c r="T57" s="360">
        <f t="shared" si="56"/>
        <v>0.3</v>
      </c>
      <c r="U57" s="360" t="e">
        <f t="shared" si="57"/>
        <v>#VALUE!</v>
      </c>
      <c r="V57" s="4">
        <f t="shared" si="37"/>
        <v>0.39816987548876681</v>
      </c>
      <c r="W57" s="360">
        <f t="shared" si="58"/>
        <v>3.1707849949348009E-4</v>
      </c>
      <c r="X57" s="360">
        <f t="shared" si="38"/>
        <v>3.1707849949348009E-4</v>
      </c>
      <c r="Y57" s="4">
        <f t="shared" si="59"/>
        <v>1.7886846283875915</v>
      </c>
      <c r="Z57" s="360">
        <f t="shared" si="12"/>
        <v>3.199392699830056E-3</v>
      </c>
      <c r="AA57" s="541">
        <f t="shared" si="39"/>
        <v>3.199392699830056E-3</v>
      </c>
      <c r="AB57" s="360">
        <f t="shared" si="60"/>
        <v>4.4006797025986604</v>
      </c>
      <c r="AC57" s="360">
        <f t="shared" si="61"/>
        <v>0.11619589106918302</v>
      </c>
      <c r="AD57" s="360">
        <f t="shared" si="62"/>
        <v>0.31331909336594793</v>
      </c>
      <c r="AE57" s="360">
        <f t="shared" si="63"/>
        <v>-0.52595999999999998</v>
      </c>
      <c r="AF57" s="360">
        <f t="shared" si="64"/>
        <v>0</v>
      </c>
      <c r="AG57" s="360" t="e">
        <f t="shared" si="65"/>
        <v>#VALUE!</v>
      </c>
      <c r="AH57" s="360">
        <f t="shared" si="66"/>
        <v>1.9576918564684538</v>
      </c>
      <c r="AI57" s="360">
        <f t="shared" si="67"/>
        <v>9.5813935122072529E-3</v>
      </c>
      <c r="AJ57" s="360">
        <f t="shared" si="68"/>
        <v>5.6447999999999984E-2</v>
      </c>
      <c r="AK57" s="360" t="e">
        <f t="shared" si="69"/>
        <v>#VALUE!</v>
      </c>
      <c r="AL57" s="360">
        <f t="shared" si="70"/>
        <v>5.6447999999999984E-2</v>
      </c>
      <c r="AM57" s="360">
        <f t="shared" si="71"/>
        <v>1.0367999999999999</v>
      </c>
      <c r="AN57" s="360">
        <f t="shared" si="72"/>
        <v>0.11599269624873369</v>
      </c>
      <c r="AO57" s="360">
        <f t="shared" si="73"/>
        <v>2.0999999999999999E-3</v>
      </c>
      <c r="AP57" s="360">
        <f t="shared" si="74"/>
        <v>9.8999999999999991E-2</v>
      </c>
      <c r="AQ57" s="360">
        <f t="shared" si="75"/>
        <v>1.1483999999999999</v>
      </c>
      <c r="AR57" s="360">
        <f t="shared" si="76"/>
        <v>1.089</v>
      </c>
      <c r="AS57" s="360">
        <f t="shared" si="48"/>
        <v>0.1011</v>
      </c>
      <c r="AT57" s="360" t="e">
        <f t="shared" si="41"/>
        <v>#VALUE!</v>
      </c>
      <c r="AU57">
        <f t="shared" si="77"/>
        <v>240</v>
      </c>
      <c r="AV57" s="542" t="e">
        <f t="shared" si="42"/>
        <v>#VALUE!</v>
      </c>
      <c r="AW57" s="551" t="e">
        <f t="shared" si="78"/>
        <v>#VALUE!</v>
      </c>
      <c r="AX57" s="551" t="e">
        <f t="shared" si="79"/>
        <v>#VALUE!</v>
      </c>
      <c r="AY57" s="9"/>
      <c r="AZ57" s="4" t="e">
        <f t="shared" si="43"/>
        <v>#VALUE!</v>
      </c>
      <c r="BA57" s="360" t="e">
        <f t="shared" si="80"/>
        <v>#VALUE!</v>
      </c>
      <c r="BB57" s="360" t="e">
        <f t="shared" si="44"/>
        <v>#VALUE!</v>
      </c>
      <c r="BC57" s="360" t="e">
        <f t="shared" si="45"/>
        <v>#VALUE!</v>
      </c>
      <c r="BD57" s="360" t="e">
        <f t="shared" si="46"/>
        <v>#VALUE!</v>
      </c>
      <c r="BE57" s="360">
        <f t="shared" si="47"/>
        <v>0.11599269624873369</v>
      </c>
      <c r="BK57" s="18"/>
      <c r="BL57" s="19"/>
    </row>
    <row r="58" spans="1:64" x14ac:dyDescent="0.2">
      <c r="A58" s="23" t="s">
        <v>195</v>
      </c>
      <c r="B58" s="73">
        <f>VfdSky_Q4</f>
        <v>0</v>
      </c>
      <c r="C58" s="440" t="s">
        <v>0</v>
      </c>
      <c r="D58" s="76" t="s">
        <v>198</v>
      </c>
      <c r="G58">
        <v>49</v>
      </c>
      <c r="H58" s="548">
        <f t="shared" si="0"/>
        <v>60</v>
      </c>
      <c r="I58" s="4">
        <f t="shared" si="49"/>
        <v>1</v>
      </c>
      <c r="J58" s="360">
        <f t="shared" si="81"/>
        <v>4.9000000000000004</v>
      </c>
      <c r="K58" s="4">
        <f t="shared" si="50"/>
        <v>4.5370370370370372</v>
      </c>
      <c r="L58" s="4"/>
      <c r="M58" s="360">
        <f t="shared" si="51"/>
        <v>0.83482356744632114</v>
      </c>
      <c r="N58" s="4">
        <f t="shared" si="52"/>
        <v>1.3791007059690741</v>
      </c>
      <c r="O58" s="4">
        <f t="shared" si="35"/>
        <v>5.5895503529845376</v>
      </c>
      <c r="P58" s="4">
        <f t="shared" si="36"/>
        <v>4.2104496470154631</v>
      </c>
      <c r="Q58" s="4">
        <f t="shared" si="53"/>
        <v>0</v>
      </c>
      <c r="R58" s="4">
        <f t="shared" si="54"/>
        <v>4.9161461766069401</v>
      </c>
      <c r="S58" s="360">
        <f t="shared" si="55"/>
        <v>0.2900219187572044</v>
      </c>
      <c r="T58" s="360">
        <f t="shared" si="56"/>
        <v>0.3</v>
      </c>
      <c r="U58" s="360" t="e">
        <f t="shared" si="57"/>
        <v>#VALUE!</v>
      </c>
      <c r="V58" s="4">
        <f t="shared" si="37"/>
        <v>0.39811208191542397</v>
      </c>
      <c r="W58" s="360">
        <f t="shared" si="58"/>
        <v>3.1698645953406646E-4</v>
      </c>
      <c r="X58" s="360">
        <f t="shared" si="38"/>
        <v>3.1698645953406646E-4</v>
      </c>
      <c r="Y58" s="4">
        <f t="shared" si="59"/>
        <v>1.825560285342424</v>
      </c>
      <c r="Z58" s="360">
        <f t="shared" si="12"/>
        <v>3.3326703554195122E-3</v>
      </c>
      <c r="AA58" s="541">
        <f t="shared" si="39"/>
        <v>3.3326703554195122E-3</v>
      </c>
      <c r="AB58" s="360">
        <f t="shared" si="60"/>
        <v>4.4918178656170351</v>
      </c>
      <c r="AC58" s="360">
        <f t="shared" si="61"/>
        <v>0.12105856642725826</v>
      </c>
      <c r="AD58" s="360">
        <f t="shared" si="62"/>
        <v>0.31984657447773851</v>
      </c>
      <c r="AE58" s="360">
        <f t="shared" si="63"/>
        <v>-0.52595999999999998</v>
      </c>
      <c r="AF58" s="360">
        <f t="shared" si="64"/>
        <v>0</v>
      </c>
      <c r="AG58" s="360" t="e">
        <f t="shared" si="65"/>
        <v>#VALUE!</v>
      </c>
      <c r="AH58" s="360">
        <f t="shared" si="66"/>
        <v>1.9980153883017666</v>
      </c>
      <c r="AI58" s="360">
        <f t="shared" si="67"/>
        <v>9.9801637297266474E-3</v>
      </c>
      <c r="AJ58" s="360">
        <f t="shared" si="68"/>
        <v>5.7623999999999995E-2</v>
      </c>
      <c r="AK58" s="360" t="e">
        <f t="shared" si="69"/>
        <v>#VALUE!</v>
      </c>
      <c r="AL58" s="360">
        <f t="shared" si="70"/>
        <v>5.7623999999999995E-2</v>
      </c>
      <c r="AM58" s="360">
        <f t="shared" si="71"/>
        <v>1.0584</v>
      </c>
      <c r="AN58" s="360">
        <f t="shared" si="72"/>
        <v>0.12084246614883518</v>
      </c>
      <c r="AO58" s="360">
        <f t="shared" si="73"/>
        <v>2.0999999999999999E-3</v>
      </c>
      <c r="AP58" s="360">
        <f t="shared" si="74"/>
        <v>9.8999999999999991E-2</v>
      </c>
      <c r="AQ58" s="360">
        <f t="shared" si="75"/>
        <v>1.1483999999999999</v>
      </c>
      <c r="AR58" s="360">
        <f t="shared" si="76"/>
        <v>1.089</v>
      </c>
      <c r="AS58" s="360">
        <f t="shared" si="48"/>
        <v>0.1011</v>
      </c>
      <c r="AT58" s="360" t="e">
        <f t="shared" si="41"/>
        <v>#VALUE!</v>
      </c>
      <c r="AU58">
        <f t="shared" si="77"/>
        <v>245.00000000000003</v>
      </c>
      <c r="AV58" s="542" t="e">
        <f t="shared" si="42"/>
        <v>#VALUE!</v>
      </c>
      <c r="AW58" s="551" t="e">
        <f t="shared" si="78"/>
        <v>#VALUE!</v>
      </c>
      <c r="AX58" s="551" t="e">
        <f t="shared" si="79"/>
        <v>#VALUE!</v>
      </c>
      <c r="AY58" s="9"/>
      <c r="AZ58" s="4" t="e">
        <f t="shared" si="43"/>
        <v>#VALUE!</v>
      </c>
      <c r="BA58" s="360" t="e">
        <f t="shared" si="80"/>
        <v>#VALUE!</v>
      </c>
      <c r="BB58" s="360" t="e">
        <f t="shared" si="44"/>
        <v>#VALUE!</v>
      </c>
      <c r="BC58" s="360" t="e">
        <f t="shared" si="45"/>
        <v>#VALUE!</v>
      </c>
      <c r="BD58" s="360" t="e">
        <f t="shared" si="46"/>
        <v>#VALUE!</v>
      </c>
      <c r="BE58" s="360">
        <f t="shared" si="47"/>
        <v>0.12084246614883518</v>
      </c>
      <c r="BK58" s="18"/>
      <c r="BL58" s="19"/>
    </row>
    <row r="59" spans="1:64" x14ac:dyDescent="0.2">
      <c r="A59" s="23" t="s">
        <v>196</v>
      </c>
      <c r="B59" s="73">
        <f>QrrSky_Q4*1000000000</f>
        <v>0</v>
      </c>
      <c r="C59" s="440" t="s">
        <v>65</v>
      </c>
      <c r="D59" s="76" t="s">
        <v>199</v>
      </c>
      <c r="G59">
        <v>50</v>
      </c>
      <c r="H59" s="548">
        <f t="shared" si="0"/>
        <v>60</v>
      </c>
      <c r="I59" s="4">
        <f t="shared" si="49"/>
        <v>1</v>
      </c>
      <c r="J59" s="360">
        <f t="shared" si="81"/>
        <v>5</v>
      </c>
      <c r="K59" s="4">
        <f t="shared" si="50"/>
        <v>4.6296296296296298</v>
      </c>
      <c r="L59" s="4"/>
      <c r="M59" s="360">
        <f t="shared" si="51"/>
        <v>0.83485397658626004</v>
      </c>
      <c r="N59" s="4">
        <f t="shared" si="52"/>
        <v>1.3789004846616386</v>
      </c>
      <c r="O59" s="4">
        <f t="shared" si="35"/>
        <v>5.6894502423308193</v>
      </c>
      <c r="P59" s="4">
        <f t="shared" si="36"/>
        <v>4.3105497576691807</v>
      </c>
      <c r="Q59" s="4">
        <f t="shared" si="53"/>
        <v>0</v>
      </c>
      <c r="R59" s="4">
        <f t="shared" si="54"/>
        <v>5.0158196949468463</v>
      </c>
      <c r="S59" s="360">
        <f t="shared" si="55"/>
        <v>0.3019013665466001</v>
      </c>
      <c r="T59" s="360">
        <f t="shared" si="56"/>
        <v>0.3</v>
      </c>
      <c r="U59" s="360" t="e">
        <f t="shared" si="57"/>
        <v>#VALUE!</v>
      </c>
      <c r="V59" s="4">
        <f t="shared" si="37"/>
        <v>0.39805428300255125</v>
      </c>
      <c r="W59" s="360">
        <f t="shared" si="58"/>
        <v>3.168944244333503E-4</v>
      </c>
      <c r="X59" s="360">
        <f t="shared" si="38"/>
        <v>3.168944244333503E-4</v>
      </c>
      <c r="Y59" s="4">
        <f t="shared" si="59"/>
        <v>1.8624354813484711</v>
      </c>
      <c r="Z59" s="360">
        <f t="shared" si="12"/>
        <v>3.4686659221857116E-3</v>
      </c>
      <c r="AA59" s="541">
        <f t="shared" si="39"/>
        <v>3.4686659221857116E-3</v>
      </c>
      <c r="AB59" s="360">
        <f t="shared" si="60"/>
        <v>4.5829717105666932</v>
      </c>
      <c r="AC59" s="360">
        <f t="shared" si="61"/>
        <v>0.12602177819912763</v>
      </c>
      <c r="AD59" s="360">
        <f t="shared" si="62"/>
        <v>0.32637405558952909</v>
      </c>
      <c r="AE59" s="360">
        <f t="shared" si="63"/>
        <v>-0.52595999999999998</v>
      </c>
      <c r="AF59" s="360">
        <f t="shared" si="64"/>
        <v>0</v>
      </c>
      <c r="AG59" s="360" t="e">
        <f t="shared" si="65"/>
        <v>#VALUE!</v>
      </c>
      <c r="AH59" s="360">
        <f t="shared" si="66"/>
        <v>2.0383369477007665</v>
      </c>
      <c r="AI59" s="360">
        <f t="shared" si="67"/>
        <v>1.0387043780905192E-2</v>
      </c>
      <c r="AJ59" s="360">
        <f t="shared" si="68"/>
        <v>5.8799999999999991E-2</v>
      </c>
      <c r="AK59" s="360" t="e">
        <f t="shared" si="69"/>
        <v>#VALUE!</v>
      </c>
      <c r="AL59" s="360">
        <f t="shared" si="70"/>
        <v>5.8799999999999991E-2</v>
      </c>
      <c r="AM59" s="360">
        <f t="shared" si="71"/>
        <v>1.0799999999999998</v>
      </c>
      <c r="AN59" s="360">
        <f t="shared" si="72"/>
        <v>0.12579223606108339</v>
      </c>
      <c r="AO59" s="360">
        <f t="shared" si="73"/>
        <v>2.0999999999999999E-3</v>
      </c>
      <c r="AP59" s="360">
        <f t="shared" si="74"/>
        <v>9.8999999999999991E-2</v>
      </c>
      <c r="AQ59" s="360">
        <f t="shared" si="75"/>
        <v>1.1483999999999999</v>
      </c>
      <c r="AR59" s="360">
        <f t="shared" si="76"/>
        <v>1.089</v>
      </c>
      <c r="AS59" s="360">
        <f t="shared" si="48"/>
        <v>0.1011</v>
      </c>
      <c r="AT59" s="360" t="e">
        <f t="shared" si="41"/>
        <v>#VALUE!</v>
      </c>
      <c r="AU59">
        <f t="shared" si="77"/>
        <v>250</v>
      </c>
      <c r="AV59" s="542" t="e">
        <f t="shared" si="42"/>
        <v>#VALUE!</v>
      </c>
      <c r="AW59" s="551" t="e">
        <f t="shared" si="78"/>
        <v>#VALUE!</v>
      </c>
      <c r="AX59" s="551" t="e">
        <f t="shared" si="79"/>
        <v>#VALUE!</v>
      </c>
      <c r="AY59" s="9"/>
      <c r="AZ59" s="4" t="e">
        <f t="shared" si="43"/>
        <v>#VALUE!</v>
      </c>
      <c r="BA59" s="360" t="e">
        <f t="shared" si="80"/>
        <v>#VALUE!</v>
      </c>
      <c r="BB59" s="360" t="e">
        <f t="shared" si="44"/>
        <v>#VALUE!</v>
      </c>
      <c r="BC59" s="360" t="e">
        <f t="shared" si="45"/>
        <v>#VALUE!</v>
      </c>
      <c r="BD59" s="360" t="e">
        <f t="shared" si="46"/>
        <v>#VALUE!</v>
      </c>
      <c r="BE59" s="360">
        <f t="shared" si="47"/>
        <v>0.12579223606108339</v>
      </c>
      <c r="BK59" s="18"/>
      <c r="BL59" s="19"/>
    </row>
    <row r="60" spans="1:64" x14ac:dyDescent="0.2">
      <c r="A60" s="23" t="s">
        <v>197</v>
      </c>
      <c r="B60" s="73">
        <f>Ireverse</f>
        <v>0</v>
      </c>
      <c r="C60" s="440" t="s">
        <v>64</v>
      </c>
      <c r="D60" s="76" t="s">
        <v>200</v>
      </c>
      <c r="E60" s="2"/>
      <c r="G60">
        <v>51</v>
      </c>
      <c r="H60" s="548">
        <f t="shared" si="0"/>
        <v>60</v>
      </c>
      <c r="I60" s="4">
        <f t="shared" si="49"/>
        <v>1</v>
      </c>
      <c r="J60" s="360">
        <f t="shared" si="81"/>
        <v>5.0999999999999996</v>
      </c>
      <c r="K60" s="4">
        <f t="shared" si="50"/>
        <v>4.7222222222222214</v>
      </c>
      <c r="L60" s="4"/>
      <c r="M60" s="360">
        <f t="shared" si="51"/>
        <v>0.83488438557417266</v>
      </c>
      <c r="N60" s="4">
        <f t="shared" si="52"/>
        <v>1.3787002448576695</v>
      </c>
      <c r="O60" s="4">
        <f t="shared" si="35"/>
        <v>5.789350122428834</v>
      </c>
      <c r="P60" s="4">
        <f t="shared" si="36"/>
        <v>4.4106498775711653</v>
      </c>
      <c r="Q60" s="4">
        <f t="shared" si="53"/>
        <v>0</v>
      </c>
      <c r="R60" s="4">
        <f t="shared" si="54"/>
        <v>5.1155059570972599</v>
      </c>
      <c r="S60" s="360">
        <f t="shared" si="55"/>
        <v>0.31402081436517065</v>
      </c>
      <c r="T60" s="360">
        <f t="shared" si="56"/>
        <v>0.3</v>
      </c>
      <c r="U60" s="360" t="e">
        <f t="shared" si="57"/>
        <v>#VALUE!</v>
      </c>
      <c r="V60" s="4">
        <f t="shared" si="37"/>
        <v>0.39799647875018923</v>
      </c>
      <c r="W60" s="360">
        <f t="shared" si="58"/>
        <v>3.1680239419509966E-4</v>
      </c>
      <c r="X60" s="360">
        <f t="shared" si="38"/>
        <v>3.1680239419509966E-4</v>
      </c>
      <c r="Y60" s="4">
        <f t="shared" si="59"/>
        <v>1.8993099202289616</v>
      </c>
      <c r="Z60" s="360">
        <f t="shared" si="12"/>
        <v>3.6073781730801449E-3</v>
      </c>
      <c r="AA60" s="541">
        <f t="shared" si="39"/>
        <v>3.6073781730801449E-3</v>
      </c>
      <c r="AB60" s="360">
        <f t="shared" si="60"/>
        <v>4.6741405150997801</v>
      </c>
      <c r="AC60" s="360">
        <f t="shared" si="61"/>
        <v>0.13108553732938341</v>
      </c>
      <c r="AD60" s="360">
        <f t="shared" si="62"/>
        <v>0.33290153670131967</v>
      </c>
      <c r="AE60" s="360">
        <f t="shared" si="63"/>
        <v>-0.52595999999999998</v>
      </c>
      <c r="AF60" s="360">
        <f t="shared" si="64"/>
        <v>0</v>
      </c>
      <c r="AG60" s="360" t="e">
        <f t="shared" si="65"/>
        <v>#VALUE!</v>
      </c>
      <c r="AH60" s="360">
        <f t="shared" si="66"/>
        <v>2.0786562106804283</v>
      </c>
      <c r="AI60" s="360">
        <f t="shared" si="67"/>
        <v>1.0802029105500792E-2</v>
      </c>
      <c r="AJ60" s="360">
        <f t="shared" si="68"/>
        <v>5.9975999999999988E-2</v>
      </c>
      <c r="AK60" s="360" t="e">
        <f t="shared" si="69"/>
        <v>#VALUE!</v>
      </c>
      <c r="AL60" s="360">
        <f t="shared" si="70"/>
        <v>5.9975999999999988E-2</v>
      </c>
      <c r="AM60" s="360">
        <f t="shared" si="71"/>
        <v>1.1015999999999999</v>
      </c>
      <c r="AN60" s="360">
        <f t="shared" si="72"/>
        <v>0.13084200598548776</v>
      </c>
      <c r="AO60" s="360">
        <f t="shared" si="73"/>
        <v>2.0999999999999999E-3</v>
      </c>
      <c r="AP60" s="360">
        <f t="shared" si="74"/>
        <v>9.8999999999999991E-2</v>
      </c>
      <c r="AQ60" s="360">
        <f t="shared" si="75"/>
        <v>1.1483999999999999</v>
      </c>
      <c r="AR60" s="360">
        <f t="shared" si="76"/>
        <v>1.089</v>
      </c>
      <c r="AS60" s="360">
        <f t="shared" si="48"/>
        <v>0.1011</v>
      </c>
      <c r="AT60" s="360" t="e">
        <f t="shared" si="41"/>
        <v>#VALUE!</v>
      </c>
      <c r="AU60">
        <f t="shared" si="77"/>
        <v>254.99999999999997</v>
      </c>
      <c r="AV60" s="542" t="e">
        <f t="shared" si="42"/>
        <v>#VALUE!</v>
      </c>
      <c r="AW60" s="551" t="e">
        <f t="shared" si="78"/>
        <v>#VALUE!</v>
      </c>
      <c r="AX60" s="551" t="e">
        <f t="shared" si="79"/>
        <v>#VALUE!</v>
      </c>
      <c r="AY60" s="9"/>
      <c r="AZ60" s="4" t="e">
        <f t="shared" si="43"/>
        <v>#VALUE!</v>
      </c>
      <c r="BA60" s="360" t="e">
        <f t="shared" si="80"/>
        <v>#VALUE!</v>
      </c>
      <c r="BB60" s="360" t="e">
        <f t="shared" si="44"/>
        <v>#VALUE!</v>
      </c>
      <c r="BC60" s="360" t="e">
        <f t="shared" si="45"/>
        <v>#VALUE!</v>
      </c>
      <c r="BD60" s="360" t="e">
        <f t="shared" si="46"/>
        <v>#VALUE!</v>
      </c>
      <c r="BE60" s="360">
        <f t="shared" si="47"/>
        <v>0.13084200598548776</v>
      </c>
      <c r="BK60" s="18"/>
      <c r="BL60" s="19"/>
    </row>
    <row r="61" spans="1:64" x14ac:dyDescent="0.2">
      <c r="A61" s="24" t="s">
        <v>117</v>
      </c>
      <c r="B61" s="15" t="s">
        <v>111</v>
      </c>
      <c r="C61" s="24" t="s">
        <v>76</v>
      </c>
      <c r="D61" s="24" t="s">
        <v>213</v>
      </c>
      <c r="G61">
        <v>52</v>
      </c>
      <c r="H61" s="548">
        <f t="shared" si="0"/>
        <v>60</v>
      </c>
      <c r="I61" s="4">
        <f t="shared" si="49"/>
        <v>1</v>
      </c>
      <c r="J61" s="360">
        <f t="shared" si="81"/>
        <v>5.2</v>
      </c>
      <c r="K61" s="4">
        <f t="shared" si="50"/>
        <v>4.8148148148148149</v>
      </c>
      <c r="L61" s="4"/>
      <c r="M61" s="360">
        <f t="shared" si="51"/>
        <v>0.83491479441006</v>
      </c>
      <c r="N61" s="4">
        <f t="shared" si="52"/>
        <v>1.3784999865573027</v>
      </c>
      <c r="O61" s="4">
        <f t="shared" si="35"/>
        <v>5.8892499932786517</v>
      </c>
      <c r="P61" s="4">
        <f t="shared" si="36"/>
        <v>4.5107500067213486</v>
      </c>
      <c r="Q61" s="4">
        <f t="shared" si="53"/>
        <v>0</v>
      </c>
      <c r="R61" s="4">
        <f t="shared" si="54"/>
        <v>5.2152042322819483</v>
      </c>
      <c r="S61" s="360">
        <f t="shared" si="55"/>
        <v>0.32638026221293859</v>
      </c>
      <c r="T61" s="360">
        <f t="shared" si="56"/>
        <v>0.3</v>
      </c>
      <c r="U61" s="360" t="e">
        <f t="shared" si="57"/>
        <v>#VALUE!</v>
      </c>
      <c r="V61" s="4">
        <f t="shared" si="37"/>
        <v>0.39793866915837711</v>
      </c>
      <c r="W61" s="360">
        <f t="shared" si="58"/>
        <v>3.1671036882308063E-4</v>
      </c>
      <c r="X61" s="360">
        <f t="shared" si="38"/>
        <v>3.1671036882308063E-4</v>
      </c>
      <c r="Y61" s="4">
        <f t="shared" si="59"/>
        <v>1.9361833283149346</v>
      </c>
      <c r="Z61" s="360">
        <f t="shared" si="12"/>
        <v>3.7488058808446975E-3</v>
      </c>
      <c r="AA61" s="541">
        <f t="shared" si="39"/>
        <v>3.7488058808446975E-3</v>
      </c>
      <c r="AB61" s="360">
        <f t="shared" si="60"/>
        <v>4.7653236120000031</v>
      </c>
      <c r="AC61" s="360">
        <f t="shared" si="61"/>
        <v>0.13624985476250853</v>
      </c>
      <c r="AD61" s="360">
        <f t="shared" si="62"/>
        <v>0.33942901781311025</v>
      </c>
      <c r="AE61" s="360">
        <f t="shared" si="63"/>
        <v>-0.52595999999999998</v>
      </c>
      <c r="AF61" s="360">
        <f t="shared" si="64"/>
        <v>0</v>
      </c>
      <c r="AG61" s="360" t="e">
        <f t="shared" si="65"/>
        <v>#VALUE!</v>
      </c>
      <c r="AH61" s="360">
        <f t="shared" si="66"/>
        <v>2.11897287791203</v>
      </c>
      <c r="AI61" s="360">
        <f t="shared" si="67"/>
        <v>1.1225115143316977E-2</v>
      </c>
      <c r="AJ61" s="360">
        <f t="shared" si="68"/>
        <v>6.1151999999999991E-2</v>
      </c>
      <c r="AK61" s="360" t="e">
        <f t="shared" si="69"/>
        <v>#VALUE!</v>
      </c>
      <c r="AL61" s="360">
        <f t="shared" si="70"/>
        <v>6.1151999999999991E-2</v>
      </c>
      <c r="AM61" s="360">
        <f t="shared" si="71"/>
        <v>1.1232</v>
      </c>
      <c r="AN61" s="360">
        <f t="shared" si="72"/>
        <v>0.13599177592205774</v>
      </c>
      <c r="AO61" s="360">
        <f t="shared" si="73"/>
        <v>2.0999999999999999E-3</v>
      </c>
      <c r="AP61" s="360">
        <f t="shared" si="74"/>
        <v>9.8999999999999991E-2</v>
      </c>
      <c r="AQ61" s="360">
        <f t="shared" si="75"/>
        <v>1.1483999999999999</v>
      </c>
      <c r="AR61" s="360">
        <f t="shared" si="76"/>
        <v>1.089</v>
      </c>
      <c r="AS61" s="360">
        <f t="shared" si="48"/>
        <v>0.1011</v>
      </c>
      <c r="AT61" s="360" t="e">
        <f t="shared" si="41"/>
        <v>#VALUE!</v>
      </c>
      <c r="AU61">
        <f t="shared" si="77"/>
        <v>260</v>
      </c>
      <c r="AV61" s="542" t="e">
        <f t="shared" si="42"/>
        <v>#VALUE!</v>
      </c>
      <c r="AW61" s="551" t="e">
        <f t="shared" si="78"/>
        <v>#VALUE!</v>
      </c>
      <c r="AX61" s="551" t="e">
        <f t="shared" si="79"/>
        <v>#VALUE!</v>
      </c>
      <c r="AY61" s="9"/>
      <c r="AZ61" s="4" t="e">
        <f t="shared" si="43"/>
        <v>#VALUE!</v>
      </c>
      <c r="BA61" s="360" t="e">
        <f t="shared" si="80"/>
        <v>#VALUE!</v>
      </c>
      <c r="BB61" s="360" t="e">
        <f t="shared" si="44"/>
        <v>#VALUE!</v>
      </c>
      <c r="BC61" s="360" t="e">
        <f t="shared" si="45"/>
        <v>#VALUE!</v>
      </c>
      <c r="BD61" s="360" t="e">
        <f t="shared" si="46"/>
        <v>#VALUE!</v>
      </c>
      <c r="BE61" s="360">
        <f t="shared" si="47"/>
        <v>0.13599177592205774</v>
      </c>
      <c r="BK61" s="18"/>
      <c r="BL61" s="19"/>
    </row>
    <row r="62" spans="1:64" ht="15.75" x14ac:dyDescent="0.3">
      <c r="A62" s="446" t="s">
        <v>470</v>
      </c>
      <c r="B62" s="74">
        <v>30</v>
      </c>
      <c r="C62" s="441" t="s">
        <v>205</v>
      </c>
      <c r="D62" s="76" t="s">
        <v>103</v>
      </c>
      <c r="G62">
        <v>53</v>
      </c>
      <c r="H62" s="548">
        <f t="shared" si="0"/>
        <v>60</v>
      </c>
      <c r="I62" s="4">
        <f t="shared" si="49"/>
        <v>1</v>
      </c>
      <c r="J62" s="360">
        <f t="shared" si="81"/>
        <v>5.3</v>
      </c>
      <c r="K62" s="4">
        <f t="shared" si="50"/>
        <v>4.9074074074074074</v>
      </c>
      <c r="L62" s="4"/>
      <c r="M62" s="360">
        <f t="shared" si="51"/>
        <v>0.83494520309392339</v>
      </c>
      <c r="N62" s="4">
        <f t="shared" si="52"/>
        <v>1.3782997097606788</v>
      </c>
      <c r="O62" s="4">
        <f t="shared" si="35"/>
        <v>5.9891498548803392</v>
      </c>
      <c r="P62" s="4">
        <f t="shared" si="36"/>
        <v>4.6108501451196604</v>
      </c>
      <c r="Q62" s="4">
        <f t="shared" si="53"/>
        <v>0</v>
      </c>
      <c r="R62" s="4">
        <f t="shared" si="54"/>
        <v>5.314913844472037</v>
      </c>
      <c r="S62" s="360">
        <f t="shared" si="55"/>
        <v>0.33897971008992633</v>
      </c>
      <c r="T62" s="360">
        <f t="shared" si="56"/>
        <v>0.3</v>
      </c>
      <c r="U62" s="360" t="e">
        <f t="shared" si="57"/>
        <v>#VALUE!</v>
      </c>
      <c r="V62" s="4">
        <f t="shared" si="37"/>
        <v>0.39788085422715552</v>
      </c>
      <c r="W62" s="360">
        <f t="shared" si="58"/>
        <v>3.1661834832106195E-4</v>
      </c>
      <c r="X62" s="360">
        <f t="shared" si="38"/>
        <v>3.1661834832106195E-4</v>
      </c>
      <c r="Y62" s="4">
        <f t="shared" si="59"/>
        <v>1.9730554523407728</v>
      </c>
      <c r="Z62" s="360">
        <f t="shared" si="12"/>
        <v>3.8929478180116518E-3</v>
      </c>
      <c r="AA62" s="541">
        <f t="shared" si="39"/>
        <v>3.8929478180116518E-3</v>
      </c>
      <c r="AB62" s="360">
        <f t="shared" si="60"/>
        <v>4.8565203840279922</v>
      </c>
      <c r="AC62" s="360">
        <f t="shared" si="61"/>
        <v>0.1415147414428764</v>
      </c>
      <c r="AD62" s="360">
        <f t="shared" si="62"/>
        <v>0.34595649892490082</v>
      </c>
      <c r="AE62" s="360">
        <f t="shared" si="63"/>
        <v>-0.52595999999999998</v>
      </c>
      <c r="AF62" s="360">
        <f t="shared" si="64"/>
        <v>0</v>
      </c>
      <c r="AG62" s="360" t="e">
        <f t="shared" si="65"/>
        <v>#VALUE!</v>
      </c>
      <c r="AH62" s="360">
        <f t="shared" si="66"/>
        <v>2.1592866724177981</v>
      </c>
      <c r="AI62" s="360">
        <f t="shared" si="67"/>
        <v>1.1656297334202819E-2</v>
      </c>
      <c r="AJ62" s="360">
        <f t="shared" si="68"/>
        <v>6.2327999999999988E-2</v>
      </c>
      <c r="AK62" s="360" t="e">
        <f t="shared" si="69"/>
        <v>#VALUE!</v>
      </c>
      <c r="AL62" s="360">
        <f t="shared" si="70"/>
        <v>6.2327999999999988E-2</v>
      </c>
      <c r="AM62" s="360">
        <f t="shared" si="71"/>
        <v>1.1447999999999998</v>
      </c>
      <c r="AN62" s="360">
        <f t="shared" si="72"/>
        <v>0.14124154587080265</v>
      </c>
      <c r="AO62" s="360">
        <f t="shared" si="73"/>
        <v>2.0999999999999999E-3</v>
      </c>
      <c r="AP62" s="360">
        <f t="shared" si="74"/>
        <v>9.8999999999999991E-2</v>
      </c>
      <c r="AQ62" s="360">
        <f t="shared" si="75"/>
        <v>1.1483999999999999</v>
      </c>
      <c r="AR62" s="360">
        <f t="shared" si="76"/>
        <v>1.089</v>
      </c>
      <c r="AS62" s="360">
        <f t="shared" si="48"/>
        <v>0.1011</v>
      </c>
      <c r="AT62" s="360" t="e">
        <f t="shared" si="41"/>
        <v>#VALUE!</v>
      </c>
      <c r="AU62">
        <f t="shared" si="77"/>
        <v>265</v>
      </c>
      <c r="AV62" s="542" t="e">
        <f t="shared" si="42"/>
        <v>#VALUE!</v>
      </c>
      <c r="AW62" s="551" t="e">
        <f t="shared" si="78"/>
        <v>#VALUE!</v>
      </c>
      <c r="AX62" s="551" t="e">
        <f t="shared" si="79"/>
        <v>#VALUE!</v>
      </c>
      <c r="AY62" s="9"/>
      <c r="AZ62" s="4" t="e">
        <f t="shared" si="43"/>
        <v>#VALUE!</v>
      </c>
      <c r="BA62" s="360" t="e">
        <f t="shared" si="80"/>
        <v>#VALUE!</v>
      </c>
      <c r="BB62" s="360" t="e">
        <f t="shared" si="44"/>
        <v>#VALUE!</v>
      </c>
      <c r="BC62" s="360" t="e">
        <f t="shared" si="45"/>
        <v>#VALUE!</v>
      </c>
      <c r="BD62" s="360" t="e">
        <f t="shared" si="46"/>
        <v>#VALUE!</v>
      </c>
      <c r="BE62" s="360">
        <f t="shared" si="47"/>
        <v>0.14124154587080265</v>
      </c>
      <c r="BK62" s="18"/>
      <c r="BL62" s="19"/>
    </row>
    <row r="63" spans="1:64" x14ac:dyDescent="0.2">
      <c r="A63" s="23" t="s">
        <v>118</v>
      </c>
      <c r="B63" s="74">
        <v>2</v>
      </c>
      <c r="C63" s="441" t="s">
        <v>205</v>
      </c>
      <c r="D63" s="21" t="s">
        <v>103</v>
      </c>
      <c r="G63">
        <v>54</v>
      </c>
      <c r="H63" s="548">
        <f t="shared" si="0"/>
        <v>60</v>
      </c>
      <c r="I63" s="4">
        <f t="shared" si="49"/>
        <v>1</v>
      </c>
      <c r="J63" s="360">
        <f t="shared" si="81"/>
        <v>5.4</v>
      </c>
      <c r="K63" s="4">
        <f t="shared" si="50"/>
        <v>5</v>
      </c>
      <c r="L63" s="4"/>
      <c r="M63" s="360">
        <f t="shared" si="51"/>
        <v>0.83497561162576384</v>
      </c>
      <c r="N63" s="4">
        <f t="shared" si="52"/>
        <v>1.3780994144679353</v>
      </c>
      <c r="O63" s="4">
        <f t="shared" si="35"/>
        <v>6.0890497072339684</v>
      </c>
      <c r="P63" s="4">
        <f t="shared" si="36"/>
        <v>4.7109502927660323</v>
      </c>
      <c r="Q63" s="4">
        <f t="shared" si="53"/>
        <v>0</v>
      </c>
      <c r="R63" s="4">
        <f t="shared" si="54"/>
        <v>5.4146341673603775</v>
      </c>
      <c r="S63" s="360">
        <f t="shared" si="55"/>
        <v>0.35181915799615693</v>
      </c>
      <c r="T63" s="360">
        <f t="shared" si="56"/>
        <v>0.3</v>
      </c>
      <c r="U63" s="360" t="e">
        <f t="shared" si="57"/>
        <v>#VALUE!</v>
      </c>
      <c r="V63" s="4">
        <f t="shared" si="37"/>
        <v>0.39782303395656404</v>
      </c>
      <c r="W63" s="360">
        <f t="shared" si="58"/>
        <v>3.1652633269281099E-4</v>
      </c>
      <c r="X63" s="360">
        <f t="shared" si="38"/>
        <v>3.1652633269281099E-4</v>
      </c>
      <c r="Y63" s="4">
        <f t="shared" si="59"/>
        <v>2.0099260575711986</v>
      </c>
      <c r="Z63" s="360">
        <f t="shared" si="12"/>
        <v>4.0398027569037015E-3</v>
      </c>
      <c r="AA63" s="541">
        <f t="shared" si="39"/>
        <v>4.0398027569037015E-3</v>
      </c>
      <c r="AB63" s="360">
        <f t="shared" si="60"/>
        <v>4.9477302593335866</v>
      </c>
      <c r="AC63" s="360">
        <f t="shared" si="61"/>
        <v>0.14688020831475121</v>
      </c>
      <c r="AD63" s="360">
        <f t="shared" si="62"/>
        <v>0.35248398003669146</v>
      </c>
      <c r="AE63" s="360">
        <f t="shared" si="63"/>
        <v>-0.52595999999999998</v>
      </c>
      <c r="AF63" s="360">
        <f t="shared" si="64"/>
        <v>0</v>
      </c>
      <c r="AG63" s="360" t="e">
        <f t="shared" si="65"/>
        <v>#VALUE!</v>
      </c>
      <c r="AH63" s="360">
        <f t="shared" si="66"/>
        <v>2.1995973375191222</v>
      </c>
      <c r="AI63" s="360">
        <f t="shared" si="67"/>
        <v>1.2095571118053029E-2</v>
      </c>
      <c r="AJ63" s="360">
        <f t="shared" si="68"/>
        <v>6.3503999999999991E-2</v>
      </c>
      <c r="AK63" s="360" t="e">
        <f t="shared" si="69"/>
        <v>#VALUE!</v>
      </c>
      <c r="AL63" s="360">
        <f t="shared" si="70"/>
        <v>6.3503999999999991E-2</v>
      </c>
      <c r="AM63" s="360">
        <f t="shared" si="71"/>
        <v>1.1663999999999999</v>
      </c>
      <c r="AN63" s="360">
        <f t="shared" si="72"/>
        <v>0.14659131583173204</v>
      </c>
      <c r="AO63" s="360">
        <f t="shared" si="73"/>
        <v>2.0999999999999999E-3</v>
      </c>
      <c r="AP63" s="360">
        <f t="shared" si="74"/>
        <v>9.8999999999999991E-2</v>
      </c>
      <c r="AQ63" s="360">
        <f t="shared" si="75"/>
        <v>1.1483999999999999</v>
      </c>
      <c r="AR63" s="360">
        <f t="shared" si="76"/>
        <v>1.089</v>
      </c>
      <c r="AS63" s="360">
        <f t="shared" si="48"/>
        <v>0.1011</v>
      </c>
      <c r="AT63" s="360" t="e">
        <f t="shared" si="41"/>
        <v>#VALUE!</v>
      </c>
      <c r="AU63">
        <f t="shared" si="77"/>
        <v>270</v>
      </c>
      <c r="AV63" s="542" t="e">
        <f t="shared" si="42"/>
        <v>#VALUE!</v>
      </c>
      <c r="AW63" s="551" t="e">
        <f t="shared" si="78"/>
        <v>#VALUE!</v>
      </c>
      <c r="AX63" s="551" t="e">
        <f t="shared" si="79"/>
        <v>#VALUE!</v>
      </c>
      <c r="AY63" s="9"/>
      <c r="AZ63" s="4" t="e">
        <f t="shared" si="43"/>
        <v>#VALUE!</v>
      </c>
      <c r="BA63" s="360" t="e">
        <f t="shared" si="80"/>
        <v>#VALUE!</v>
      </c>
      <c r="BB63" s="360" t="e">
        <f t="shared" si="44"/>
        <v>#VALUE!</v>
      </c>
      <c r="BC63" s="360" t="e">
        <f t="shared" si="45"/>
        <v>#VALUE!</v>
      </c>
      <c r="BD63" s="360" t="e">
        <f t="shared" si="46"/>
        <v>#VALUE!</v>
      </c>
      <c r="BE63" s="360">
        <f t="shared" si="47"/>
        <v>0.14659131583173204</v>
      </c>
      <c r="BK63" s="18"/>
      <c r="BL63" s="19"/>
    </row>
    <row r="64" spans="1:64" x14ac:dyDescent="0.2">
      <c r="A64" s="75"/>
      <c r="B64" s="30"/>
      <c r="G64">
        <v>55</v>
      </c>
      <c r="H64" s="548">
        <f t="shared" si="0"/>
        <v>60</v>
      </c>
      <c r="I64" s="4">
        <f t="shared" si="49"/>
        <v>1</v>
      </c>
      <c r="J64" s="360">
        <f t="shared" si="81"/>
        <v>5.5</v>
      </c>
      <c r="K64" s="4">
        <f t="shared" si="50"/>
        <v>5.0925925925925926</v>
      </c>
      <c r="L64" s="4"/>
      <c r="M64" s="360">
        <f t="shared" si="51"/>
        <v>0.83500602000558266</v>
      </c>
      <c r="N64" s="4">
        <f t="shared" si="52"/>
        <v>1.3778991006792125</v>
      </c>
      <c r="O64" s="4">
        <f t="shared" si="35"/>
        <v>6.1889495503396059</v>
      </c>
      <c r="P64" s="4">
        <f t="shared" si="36"/>
        <v>4.8110504496603941</v>
      </c>
      <c r="Q64" s="4">
        <f t="shared" si="53"/>
        <v>0</v>
      </c>
      <c r="R64" s="4">
        <f t="shared" si="54"/>
        <v>5.5143646198787986</v>
      </c>
      <c r="S64" s="360">
        <f t="shared" si="55"/>
        <v>0.36489860593165252</v>
      </c>
      <c r="T64" s="360">
        <f t="shared" si="56"/>
        <v>0.3</v>
      </c>
      <c r="U64" s="360" t="e">
        <f t="shared" si="57"/>
        <v>#VALUE!</v>
      </c>
      <c r="V64" s="4">
        <f t="shared" si="37"/>
        <v>0.39776520834664331</v>
      </c>
      <c r="W64" s="360">
        <f t="shared" si="58"/>
        <v>3.1643432194209715E-4</v>
      </c>
      <c r="X64" s="360">
        <f t="shared" si="38"/>
        <v>3.1643432194209715E-4</v>
      </c>
      <c r="Y64" s="4">
        <f t="shared" si="59"/>
        <v>2.0467949261305933</v>
      </c>
      <c r="Z64" s="360">
        <f t="shared" si="12"/>
        <v>4.1893694696339412E-3</v>
      </c>
      <c r="AA64" s="541">
        <f t="shared" si="39"/>
        <v>4.1893694696339412E-3</v>
      </c>
      <c r="AB64" s="360">
        <f t="shared" si="60"/>
        <v>5.0389527073636931</v>
      </c>
      <c r="AC64" s="360">
        <f t="shared" si="61"/>
        <v>0.15234626632228734</v>
      </c>
      <c r="AD64" s="360">
        <f t="shared" si="62"/>
        <v>0.35901146114848204</v>
      </c>
      <c r="AE64" s="360">
        <f t="shared" si="63"/>
        <v>-0.52595999999999998</v>
      </c>
      <c r="AF64" s="360">
        <f t="shared" si="64"/>
        <v>0</v>
      </c>
      <c r="AG64" s="360" t="e">
        <f t="shared" si="65"/>
        <v>#VALUE!</v>
      </c>
      <c r="AH64" s="360">
        <f t="shared" si="66"/>
        <v>2.2399046350064</v>
      </c>
      <c r="AI64" s="360">
        <f t="shared" si="67"/>
        <v>1.2542931934807886E-2</v>
      </c>
      <c r="AJ64" s="360">
        <f t="shared" si="68"/>
        <v>6.4679999999999988E-2</v>
      </c>
      <c r="AK64" s="360" t="e">
        <f t="shared" si="69"/>
        <v>#VALUE!</v>
      </c>
      <c r="AL64" s="360">
        <f t="shared" si="70"/>
        <v>6.4679999999999988E-2</v>
      </c>
      <c r="AM64" s="360">
        <f t="shared" si="71"/>
        <v>1.1879999999999999</v>
      </c>
      <c r="AN64" s="360">
        <f t="shared" si="72"/>
        <v>0.15204108580485523</v>
      </c>
      <c r="AO64" s="360">
        <f t="shared" si="73"/>
        <v>2.0999999999999999E-3</v>
      </c>
      <c r="AP64" s="360">
        <f t="shared" si="74"/>
        <v>9.8999999999999991E-2</v>
      </c>
      <c r="AQ64" s="360">
        <f t="shared" si="75"/>
        <v>1.1483999999999999</v>
      </c>
      <c r="AR64" s="360">
        <f t="shared" si="76"/>
        <v>1.089</v>
      </c>
      <c r="AS64" s="360">
        <f t="shared" si="48"/>
        <v>0.1011</v>
      </c>
      <c r="AT64" s="360" t="e">
        <f t="shared" si="41"/>
        <v>#VALUE!</v>
      </c>
      <c r="AU64">
        <f t="shared" si="77"/>
        <v>275</v>
      </c>
      <c r="AV64" s="542" t="e">
        <f t="shared" si="42"/>
        <v>#VALUE!</v>
      </c>
      <c r="AW64" s="551" t="e">
        <f t="shared" si="78"/>
        <v>#VALUE!</v>
      </c>
      <c r="AX64" s="551" t="e">
        <f t="shared" si="79"/>
        <v>#VALUE!</v>
      </c>
      <c r="AY64" s="9"/>
      <c r="AZ64" s="4" t="e">
        <f t="shared" si="43"/>
        <v>#VALUE!</v>
      </c>
      <c r="BA64" s="360" t="e">
        <f t="shared" si="80"/>
        <v>#VALUE!</v>
      </c>
      <c r="BB64" s="360" t="e">
        <f t="shared" si="44"/>
        <v>#VALUE!</v>
      </c>
      <c r="BC64" s="360" t="e">
        <f t="shared" si="45"/>
        <v>#VALUE!</v>
      </c>
      <c r="BD64" s="360" t="e">
        <f t="shared" si="46"/>
        <v>#VALUE!</v>
      </c>
      <c r="BE64" s="360">
        <f t="shared" si="47"/>
        <v>0.15204108580485523</v>
      </c>
      <c r="BK64" s="18"/>
      <c r="BL64" s="19"/>
    </row>
    <row r="65" spans="1:64" x14ac:dyDescent="0.2">
      <c r="G65">
        <v>56</v>
      </c>
      <c r="H65" s="548">
        <f t="shared" si="0"/>
        <v>60</v>
      </c>
      <c r="I65" s="4">
        <f t="shared" si="49"/>
        <v>1</v>
      </c>
      <c r="J65" s="360">
        <f t="shared" si="81"/>
        <v>5.6</v>
      </c>
      <c r="K65" s="4">
        <f t="shared" si="50"/>
        <v>5.1851851851851851</v>
      </c>
      <c r="L65" s="4"/>
      <c r="M65" s="360">
        <f t="shared" si="51"/>
        <v>0.83503642823338065</v>
      </c>
      <c r="N65" s="4">
        <f t="shared" si="52"/>
        <v>1.3776987683946469</v>
      </c>
      <c r="O65" s="4">
        <f t="shared" si="35"/>
        <v>6.2888493841973228</v>
      </c>
      <c r="P65" s="4">
        <f t="shared" si="36"/>
        <v>4.9111506158026765</v>
      </c>
      <c r="Q65" s="4">
        <f t="shared" si="53"/>
        <v>0</v>
      </c>
      <c r="R65" s="4">
        <f t="shared" si="54"/>
        <v>5.6141046621911439</v>
      </c>
      <c r="S65" s="360">
        <f t="shared" si="55"/>
        <v>0.37821805389643609</v>
      </c>
      <c r="T65" s="360">
        <f t="shared" si="56"/>
        <v>0.3</v>
      </c>
      <c r="U65" s="360" t="e">
        <f t="shared" si="57"/>
        <v>#VALUE!</v>
      </c>
      <c r="V65" s="4">
        <f t="shared" si="37"/>
        <v>0.39770737739743267</v>
      </c>
      <c r="W65" s="360">
        <f t="shared" si="58"/>
        <v>3.1634231607268788E-4</v>
      </c>
      <c r="X65" s="360">
        <f t="shared" si="38"/>
        <v>3.1634231607268788E-4</v>
      </c>
      <c r="Y65" s="4">
        <f t="shared" si="59"/>
        <v>2.083661855509646</v>
      </c>
      <c r="Z65" s="360">
        <f t="shared" si="12"/>
        <v>4.3416467281059013E-3</v>
      </c>
      <c r="AA65" s="541">
        <f t="shared" si="39"/>
        <v>4.3416467281059013E-3</v>
      </c>
      <c r="AB65" s="360">
        <f t="shared" si="60"/>
        <v>5.1301872352044837</v>
      </c>
      <c r="AC65" s="360">
        <f t="shared" si="61"/>
        <v>0.15791292640953017</v>
      </c>
      <c r="AD65" s="360">
        <f t="shared" si="62"/>
        <v>0.36553894226027261</v>
      </c>
      <c r="AE65" s="360">
        <f t="shared" si="63"/>
        <v>-0.52595999999999998</v>
      </c>
      <c r="AF65" s="360">
        <f t="shared" si="64"/>
        <v>0</v>
      </c>
      <c r="AG65" s="360" t="e">
        <f t="shared" si="65"/>
        <v>#VALUE!</v>
      </c>
      <c r="AH65" s="360">
        <f t="shared" si="66"/>
        <v>2.2802083435031371</v>
      </c>
      <c r="AI65" s="360">
        <f t="shared" si="67"/>
        <v>1.2998375224453301E-2</v>
      </c>
      <c r="AJ65" s="360">
        <f t="shared" si="68"/>
        <v>6.5855999999999984E-2</v>
      </c>
      <c r="AK65" s="360" t="e">
        <f t="shared" si="69"/>
        <v>#VALUE!</v>
      </c>
      <c r="AL65" s="360">
        <f t="shared" si="70"/>
        <v>6.5855999999999984E-2</v>
      </c>
      <c r="AM65" s="360">
        <f t="shared" si="71"/>
        <v>1.2095999999999998</v>
      </c>
      <c r="AN65" s="360">
        <f t="shared" si="72"/>
        <v>0.1575908557901817</v>
      </c>
      <c r="AO65" s="360">
        <f t="shared" si="73"/>
        <v>2.0999999999999999E-3</v>
      </c>
      <c r="AP65" s="360">
        <f t="shared" si="74"/>
        <v>9.8999999999999991E-2</v>
      </c>
      <c r="AQ65" s="360">
        <f t="shared" si="75"/>
        <v>1.1483999999999999</v>
      </c>
      <c r="AR65" s="360">
        <f t="shared" si="76"/>
        <v>1.089</v>
      </c>
      <c r="AS65" s="360">
        <f t="shared" si="48"/>
        <v>0.1011</v>
      </c>
      <c r="AT65" s="360" t="e">
        <f t="shared" si="41"/>
        <v>#VALUE!</v>
      </c>
      <c r="AU65">
        <f t="shared" si="77"/>
        <v>280</v>
      </c>
      <c r="AV65" s="542" t="e">
        <f t="shared" si="42"/>
        <v>#VALUE!</v>
      </c>
      <c r="AW65" s="551" t="e">
        <f t="shared" si="78"/>
        <v>#VALUE!</v>
      </c>
      <c r="AX65" s="551" t="e">
        <f t="shared" si="79"/>
        <v>#VALUE!</v>
      </c>
      <c r="AY65" s="9"/>
      <c r="AZ65" s="4" t="e">
        <f t="shared" si="43"/>
        <v>#VALUE!</v>
      </c>
      <c r="BA65" s="360" t="e">
        <f t="shared" si="80"/>
        <v>#VALUE!</v>
      </c>
      <c r="BB65" s="360" t="e">
        <f t="shared" si="44"/>
        <v>#VALUE!</v>
      </c>
      <c r="BC65" s="360" t="e">
        <f t="shared" si="45"/>
        <v>#VALUE!</v>
      </c>
      <c r="BD65" s="360" t="e">
        <f t="shared" si="46"/>
        <v>#VALUE!</v>
      </c>
      <c r="BE65" s="360">
        <f t="shared" si="47"/>
        <v>0.1575908557901817</v>
      </c>
      <c r="BK65" s="18"/>
      <c r="BL65" s="19"/>
    </row>
    <row r="66" spans="1:64" x14ac:dyDescent="0.2">
      <c r="A66" s="11" t="s">
        <v>77</v>
      </c>
      <c r="B66" s="31"/>
      <c r="C66" s="31"/>
      <c r="G66">
        <v>57</v>
      </c>
      <c r="H66" s="548">
        <f t="shared" si="0"/>
        <v>60</v>
      </c>
      <c r="I66" s="4">
        <f t="shared" si="49"/>
        <v>1</v>
      </c>
      <c r="J66" s="360">
        <f t="shared" si="81"/>
        <v>5.7</v>
      </c>
      <c r="K66" s="4">
        <f t="shared" si="50"/>
        <v>5.2777777777777777</v>
      </c>
      <c r="L66" s="4"/>
      <c r="M66" s="360">
        <f t="shared" si="51"/>
        <v>0.83506683630915934</v>
      </c>
      <c r="N66" s="4">
        <f t="shared" si="52"/>
        <v>1.3774984176143785</v>
      </c>
      <c r="O66" s="4">
        <f t="shared" si="35"/>
        <v>6.3887492088071891</v>
      </c>
      <c r="P66" s="4">
        <f t="shared" si="36"/>
        <v>5.0112507911928112</v>
      </c>
      <c r="Q66" s="4">
        <f t="shared" si="53"/>
        <v>0</v>
      </c>
      <c r="R66" s="4">
        <f t="shared" si="54"/>
        <v>5.7138537921042554</v>
      </c>
      <c r="S66" s="360">
        <f t="shared" si="55"/>
        <v>0.39177750189053018</v>
      </c>
      <c r="T66" s="360">
        <f t="shared" si="56"/>
        <v>0.3</v>
      </c>
      <c r="U66" s="360" t="e">
        <f t="shared" si="57"/>
        <v>#VALUE!</v>
      </c>
      <c r="V66" s="4">
        <f t="shared" si="37"/>
        <v>0.39764954110897249</v>
      </c>
      <c r="W66" s="360">
        <f t="shared" si="58"/>
        <v>3.1625031508835283E-4</v>
      </c>
      <c r="X66" s="360">
        <f t="shared" si="38"/>
        <v>3.1625031508835283E-4</v>
      </c>
      <c r="Y66" s="4">
        <f t="shared" si="59"/>
        <v>2.120526657227753</v>
      </c>
      <c r="Z66" s="360">
        <f t="shared" si="12"/>
        <v>4.4966333040135087E-3</v>
      </c>
      <c r="AA66" s="541">
        <f t="shared" si="39"/>
        <v>4.4966333040135087E-3</v>
      </c>
      <c r="AB66" s="360">
        <f t="shared" si="60"/>
        <v>5.2214333843051079</v>
      </c>
      <c r="AC66" s="360">
        <f t="shared" si="61"/>
        <v>0.16358019952041536</v>
      </c>
      <c r="AD66" s="360">
        <f t="shared" si="62"/>
        <v>0.37206642337206319</v>
      </c>
      <c r="AE66" s="360">
        <f t="shared" si="63"/>
        <v>-0.52595999999999998</v>
      </c>
      <c r="AF66" s="360">
        <f t="shared" si="64"/>
        <v>0</v>
      </c>
      <c r="AG66" s="360" t="e">
        <f t="shared" si="65"/>
        <v>#VALUE!</v>
      </c>
      <c r="AH66" s="360">
        <f t="shared" si="66"/>
        <v>2.3205082570006699</v>
      </c>
      <c r="AI66" s="360">
        <f t="shared" si="67"/>
        <v>1.3461896427020717E-2</v>
      </c>
      <c r="AJ66" s="360">
        <f t="shared" si="68"/>
        <v>6.7031999999999994E-2</v>
      </c>
      <c r="AK66" s="360" t="e">
        <f t="shared" si="69"/>
        <v>#VALUE!</v>
      </c>
      <c r="AL66" s="360">
        <f t="shared" si="70"/>
        <v>6.7031999999999994E-2</v>
      </c>
      <c r="AM66" s="360">
        <f t="shared" si="71"/>
        <v>1.2311999999999999</v>
      </c>
      <c r="AN66" s="360">
        <f t="shared" si="72"/>
        <v>0.16324062578772089</v>
      </c>
      <c r="AO66" s="360">
        <f t="shared" si="73"/>
        <v>2.0999999999999999E-3</v>
      </c>
      <c r="AP66" s="360">
        <f t="shared" si="74"/>
        <v>9.8999999999999991E-2</v>
      </c>
      <c r="AQ66" s="360">
        <f t="shared" si="75"/>
        <v>1.1483999999999999</v>
      </c>
      <c r="AR66" s="360">
        <f t="shared" si="76"/>
        <v>1.089</v>
      </c>
      <c r="AS66" s="360">
        <f t="shared" si="48"/>
        <v>0.1011</v>
      </c>
      <c r="AT66" s="360" t="e">
        <f t="shared" si="41"/>
        <v>#VALUE!</v>
      </c>
      <c r="AU66">
        <f t="shared" si="77"/>
        <v>285</v>
      </c>
      <c r="AV66" s="542" t="e">
        <f t="shared" si="42"/>
        <v>#VALUE!</v>
      </c>
      <c r="AW66" s="551" t="e">
        <f t="shared" si="78"/>
        <v>#VALUE!</v>
      </c>
      <c r="AX66" s="551" t="e">
        <f t="shared" si="79"/>
        <v>#VALUE!</v>
      </c>
      <c r="AY66" s="9"/>
      <c r="AZ66" s="4" t="e">
        <f t="shared" si="43"/>
        <v>#VALUE!</v>
      </c>
      <c r="BA66" s="360" t="e">
        <f t="shared" si="80"/>
        <v>#VALUE!</v>
      </c>
      <c r="BB66" s="360" t="e">
        <f t="shared" si="44"/>
        <v>#VALUE!</v>
      </c>
      <c r="BC66" s="360" t="e">
        <f t="shared" si="45"/>
        <v>#VALUE!</v>
      </c>
      <c r="BD66" s="360" t="e">
        <f t="shared" si="46"/>
        <v>#VALUE!</v>
      </c>
      <c r="BE66" s="360">
        <f t="shared" si="47"/>
        <v>0.16324062578772089</v>
      </c>
      <c r="BK66" s="18"/>
      <c r="BL66" s="19"/>
    </row>
    <row r="67" spans="1:64" x14ac:dyDescent="0.2">
      <c r="A67" s="14" t="s">
        <v>55</v>
      </c>
      <c r="B67" s="15" t="s">
        <v>7</v>
      </c>
      <c r="C67" s="15" t="s">
        <v>76</v>
      </c>
      <c r="G67">
        <v>58</v>
      </c>
      <c r="H67" s="548">
        <f t="shared" si="0"/>
        <v>60</v>
      </c>
      <c r="I67" s="4">
        <f t="shared" si="49"/>
        <v>1</v>
      </c>
      <c r="J67" s="360">
        <f t="shared" si="81"/>
        <v>5.8</v>
      </c>
      <c r="K67" s="4">
        <f t="shared" si="50"/>
        <v>5.3703703703703702</v>
      </c>
      <c r="L67" s="4"/>
      <c r="M67" s="360">
        <f t="shared" si="51"/>
        <v>0.83509724423291964</v>
      </c>
      <c r="N67" s="4">
        <f t="shared" si="52"/>
        <v>1.3772980483385466</v>
      </c>
      <c r="O67" s="4">
        <f t="shared" si="35"/>
        <v>6.4886490241692734</v>
      </c>
      <c r="P67" s="4">
        <f t="shared" si="36"/>
        <v>5.1113509758307263</v>
      </c>
      <c r="Q67" s="4">
        <f t="shared" si="53"/>
        <v>0</v>
      </c>
      <c r="R67" s="4">
        <f t="shared" si="54"/>
        <v>5.8136115418469814</v>
      </c>
      <c r="S67" s="360">
        <f t="shared" si="55"/>
        <v>0.40557694991395726</v>
      </c>
      <c r="T67" s="360">
        <f t="shared" si="56"/>
        <v>0.3</v>
      </c>
      <c r="U67" s="360" t="e">
        <f t="shared" si="57"/>
        <v>#VALUE!</v>
      </c>
      <c r="V67" s="4">
        <f t="shared" si="37"/>
        <v>0.39759169948130307</v>
      </c>
      <c r="W67" s="360">
        <f t="shared" si="58"/>
        <v>3.1615831899286162E-4</v>
      </c>
      <c r="X67" s="360">
        <f t="shared" si="38"/>
        <v>3.1615831899286162E-4</v>
      </c>
      <c r="Y67" s="4">
        <f t="shared" si="59"/>
        <v>2.1573891556325968</v>
      </c>
      <c r="Z67" s="360">
        <f t="shared" si="12"/>
        <v>4.6543279688411295E-3</v>
      </c>
      <c r="AA67" s="541">
        <f t="shared" si="39"/>
        <v>4.6543279688411295E-3</v>
      </c>
      <c r="AB67" s="360">
        <f t="shared" si="60"/>
        <v>5.3126907275373698</v>
      </c>
      <c r="AC67" s="360">
        <f t="shared" si="61"/>
        <v>0.16934809659876929</v>
      </c>
      <c r="AD67" s="360">
        <f t="shared" si="62"/>
        <v>0.37859390448385377</v>
      </c>
      <c r="AE67" s="360">
        <f t="shared" si="63"/>
        <v>-0.52595999999999998</v>
      </c>
      <c r="AF67" s="360">
        <f t="shared" si="64"/>
        <v>0</v>
      </c>
      <c r="AG67" s="360" t="e">
        <f t="shared" si="65"/>
        <v>#VALUE!</v>
      </c>
      <c r="AH67" s="360">
        <f t="shared" si="66"/>
        <v>2.3608041835431606</v>
      </c>
      <c r="AI67" s="360">
        <f t="shared" si="67"/>
        <v>1.3933490982587223E-2</v>
      </c>
      <c r="AJ67" s="360">
        <f t="shared" si="68"/>
        <v>6.8207999999999991E-2</v>
      </c>
      <c r="AK67" s="360" t="e">
        <f t="shared" si="69"/>
        <v>#VALUE!</v>
      </c>
      <c r="AL67" s="360">
        <f t="shared" si="70"/>
        <v>6.8207999999999991E-2</v>
      </c>
      <c r="AM67" s="360">
        <f t="shared" si="71"/>
        <v>1.2527999999999997</v>
      </c>
      <c r="AN67" s="360">
        <f t="shared" si="72"/>
        <v>0.16899039579748221</v>
      </c>
      <c r="AO67" s="360">
        <f t="shared" si="73"/>
        <v>2.0999999999999999E-3</v>
      </c>
      <c r="AP67" s="360">
        <f t="shared" si="74"/>
        <v>9.8999999999999991E-2</v>
      </c>
      <c r="AQ67" s="360">
        <f t="shared" si="75"/>
        <v>1.1483999999999999</v>
      </c>
      <c r="AR67" s="360">
        <f t="shared" si="76"/>
        <v>1.089</v>
      </c>
      <c r="AS67" s="360">
        <f t="shared" si="48"/>
        <v>0.1011</v>
      </c>
      <c r="AT67" s="360" t="e">
        <f t="shared" si="41"/>
        <v>#VALUE!</v>
      </c>
      <c r="AU67">
        <f t="shared" si="77"/>
        <v>290</v>
      </c>
      <c r="AV67" s="542" t="e">
        <f t="shared" si="42"/>
        <v>#VALUE!</v>
      </c>
      <c r="AW67" s="551" t="e">
        <f t="shared" si="78"/>
        <v>#VALUE!</v>
      </c>
      <c r="AX67" s="551" t="e">
        <f t="shared" si="79"/>
        <v>#VALUE!</v>
      </c>
      <c r="AY67" s="9"/>
      <c r="AZ67" s="4" t="e">
        <f t="shared" si="43"/>
        <v>#VALUE!</v>
      </c>
      <c r="BA67" s="360" t="e">
        <f t="shared" si="80"/>
        <v>#VALUE!</v>
      </c>
      <c r="BB67" s="360" t="e">
        <f t="shared" si="44"/>
        <v>#VALUE!</v>
      </c>
      <c r="BC67" s="360" t="e">
        <f t="shared" si="45"/>
        <v>#VALUE!</v>
      </c>
      <c r="BD67" s="360" t="e">
        <f t="shared" si="46"/>
        <v>#VALUE!</v>
      </c>
      <c r="BE67" s="360">
        <f t="shared" si="47"/>
        <v>0.16899039579748221</v>
      </c>
      <c r="BK67" s="18"/>
      <c r="BL67" s="19"/>
    </row>
    <row r="68" spans="1:64" x14ac:dyDescent="0.2">
      <c r="A68" s="32" t="s">
        <v>208</v>
      </c>
      <c r="B68" s="449">
        <f>D2_Vinmin</f>
        <v>0.90909090909090906</v>
      </c>
      <c r="C68" s="21" t="s">
        <v>18</v>
      </c>
      <c r="G68">
        <v>59</v>
      </c>
      <c r="H68" s="548">
        <f t="shared" si="0"/>
        <v>60</v>
      </c>
      <c r="I68" s="4">
        <f t="shared" si="49"/>
        <v>1</v>
      </c>
      <c r="J68" s="360">
        <f t="shared" si="81"/>
        <v>5.9</v>
      </c>
      <c r="K68" s="4">
        <f t="shared" si="50"/>
        <v>5.4629629629629628</v>
      </c>
      <c r="L68" s="4"/>
      <c r="M68" s="360">
        <f t="shared" si="51"/>
        <v>0.83512765200466255</v>
      </c>
      <c r="N68" s="4">
        <f t="shared" si="52"/>
        <v>1.377097660567288</v>
      </c>
      <c r="O68" s="4">
        <f t="shared" si="35"/>
        <v>6.5885488302836439</v>
      </c>
      <c r="P68" s="4">
        <f t="shared" si="36"/>
        <v>5.2114511697163568</v>
      </c>
      <c r="Q68" s="4">
        <f t="shared" si="53"/>
        <v>0</v>
      </c>
      <c r="R68" s="4">
        <f t="shared" si="54"/>
        <v>5.9133774751739798</v>
      </c>
      <c r="S68" s="360">
        <f t="shared" si="55"/>
        <v>0.41961639796673994</v>
      </c>
      <c r="T68" s="360">
        <f t="shared" si="56"/>
        <v>0.3</v>
      </c>
      <c r="U68" s="360" t="e">
        <f t="shared" si="57"/>
        <v>#VALUE!</v>
      </c>
      <c r="V68" s="4">
        <f t="shared" si="37"/>
        <v>0.39753385251446383</v>
      </c>
      <c r="W68" s="360">
        <f t="shared" si="58"/>
        <v>3.1606632778998297E-4</v>
      </c>
      <c r="X68" s="360">
        <f t="shared" si="38"/>
        <v>3.1606632778998297E-4</v>
      </c>
      <c r="Y68" s="4">
        <f t="shared" si="59"/>
        <v>2.1942491868207616</v>
      </c>
      <c r="Z68" s="360">
        <f t="shared" si="12"/>
        <v>4.8147294938635735E-3</v>
      </c>
      <c r="AA68" s="541">
        <f t="shared" si="39"/>
        <v>4.8147294938635735E-3</v>
      </c>
      <c r="AB68" s="360">
        <f t="shared" si="60"/>
        <v>5.4039588665518909</v>
      </c>
      <c r="AC68" s="360">
        <f t="shared" si="61"/>
        <v>0.17521662858830878</v>
      </c>
      <c r="AD68" s="360">
        <f t="shared" si="62"/>
        <v>0.38512138559564435</v>
      </c>
      <c r="AE68" s="360">
        <f t="shared" si="63"/>
        <v>-0.52595999999999998</v>
      </c>
      <c r="AF68" s="360">
        <f t="shared" si="64"/>
        <v>0</v>
      </c>
      <c r="AG68" s="360" t="e">
        <f t="shared" si="65"/>
        <v>#VALUE!</v>
      </c>
      <c r="AH68" s="360">
        <f t="shared" si="66"/>
        <v>2.4010959440451765</v>
      </c>
      <c r="AI68" s="360">
        <f t="shared" si="67"/>
        <v>1.4413154331275492E-2</v>
      </c>
      <c r="AJ68" s="360">
        <f t="shared" si="68"/>
        <v>6.9383999999999987E-2</v>
      </c>
      <c r="AK68" s="360" t="e">
        <f t="shared" si="69"/>
        <v>#VALUE!</v>
      </c>
      <c r="AL68" s="360">
        <f t="shared" si="70"/>
        <v>6.9383999999999987E-2</v>
      </c>
      <c r="AM68" s="360">
        <f t="shared" si="71"/>
        <v>1.2744</v>
      </c>
      <c r="AN68" s="360">
        <f t="shared" si="72"/>
        <v>0.17484016581947498</v>
      </c>
      <c r="AO68" s="360">
        <f t="shared" si="73"/>
        <v>2.0999999999999999E-3</v>
      </c>
      <c r="AP68" s="360">
        <f t="shared" si="74"/>
        <v>9.8999999999999991E-2</v>
      </c>
      <c r="AQ68" s="360">
        <f t="shared" si="75"/>
        <v>1.1483999999999999</v>
      </c>
      <c r="AR68" s="360">
        <f t="shared" si="76"/>
        <v>1.089</v>
      </c>
      <c r="AS68" s="360">
        <f t="shared" si="48"/>
        <v>0.1011</v>
      </c>
      <c r="AT68" s="360" t="e">
        <f t="shared" si="41"/>
        <v>#VALUE!</v>
      </c>
      <c r="AU68">
        <f t="shared" si="77"/>
        <v>295</v>
      </c>
      <c r="AV68" s="542" t="e">
        <f t="shared" si="42"/>
        <v>#VALUE!</v>
      </c>
      <c r="AW68" s="551" t="e">
        <f t="shared" si="78"/>
        <v>#VALUE!</v>
      </c>
      <c r="AX68" s="551" t="e">
        <f t="shared" si="79"/>
        <v>#VALUE!</v>
      </c>
      <c r="AY68" s="9"/>
      <c r="AZ68" s="4" t="e">
        <f t="shared" si="43"/>
        <v>#VALUE!</v>
      </c>
      <c r="BA68" s="360" t="e">
        <f t="shared" si="80"/>
        <v>#VALUE!</v>
      </c>
      <c r="BB68" s="360" t="e">
        <f t="shared" si="44"/>
        <v>#VALUE!</v>
      </c>
      <c r="BC68" s="360" t="e">
        <f t="shared" si="45"/>
        <v>#VALUE!</v>
      </c>
      <c r="BD68" s="360" t="e">
        <f t="shared" si="46"/>
        <v>#VALUE!</v>
      </c>
      <c r="BE68" s="360">
        <f t="shared" si="47"/>
        <v>0.17484016581947498</v>
      </c>
      <c r="BK68" s="18"/>
      <c r="BL68" s="19"/>
    </row>
    <row r="69" spans="1:64" x14ac:dyDescent="0.2">
      <c r="A69" s="23" t="s">
        <v>78</v>
      </c>
      <c r="B69" s="449">
        <f>1-B68</f>
        <v>9.0909090909090939E-2</v>
      </c>
      <c r="C69" s="21" t="s">
        <v>18</v>
      </c>
      <c r="G69">
        <v>60</v>
      </c>
      <c r="H69" s="548">
        <f t="shared" si="0"/>
        <v>60</v>
      </c>
      <c r="I69" s="4">
        <f t="shared" si="49"/>
        <v>1</v>
      </c>
      <c r="J69" s="360">
        <f t="shared" si="81"/>
        <v>6</v>
      </c>
      <c r="K69" s="4">
        <f t="shared" si="50"/>
        <v>5.5555555555555554</v>
      </c>
      <c r="L69" s="4"/>
      <c r="M69" s="360">
        <f t="shared" si="51"/>
        <v>0.8351580596243896</v>
      </c>
      <c r="N69" s="4">
        <f t="shared" si="52"/>
        <v>1.3768972543007441</v>
      </c>
      <c r="O69" s="4">
        <f t="shared" si="35"/>
        <v>6.6884486271503718</v>
      </c>
      <c r="P69" s="4">
        <f t="shared" si="36"/>
        <v>5.3115513728496282</v>
      </c>
      <c r="Q69" s="4">
        <f t="shared" si="53"/>
        <v>0</v>
      </c>
      <c r="R69" s="4">
        <f t="shared" si="54"/>
        <v>6.0131511847567696</v>
      </c>
      <c r="S69" s="360">
        <f t="shared" si="55"/>
        <v>0.43389584604890091</v>
      </c>
      <c r="T69" s="360">
        <f t="shared" si="56"/>
        <v>0.3</v>
      </c>
      <c r="U69" s="360" t="e">
        <f t="shared" si="57"/>
        <v>#VALUE!</v>
      </c>
      <c r="V69" s="4">
        <f t="shared" si="37"/>
        <v>0.39747600020849561</v>
      </c>
      <c r="W69" s="360">
        <f t="shared" si="58"/>
        <v>3.1597434148348803E-4</v>
      </c>
      <c r="X69" s="360">
        <f t="shared" si="38"/>
        <v>3.1597434148348803E-4</v>
      </c>
      <c r="Y69" s="4">
        <f t="shared" si="59"/>
        <v>2.2311065976653968</v>
      </c>
      <c r="Z69" s="360">
        <f t="shared" si="12"/>
        <v>4.9778366501460622E-3</v>
      </c>
      <c r="AA69" s="541">
        <f t="shared" si="39"/>
        <v>4.9778366501460622E-3</v>
      </c>
      <c r="AB69" s="360">
        <f t="shared" si="60"/>
        <v>5.4952374293964992</v>
      </c>
      <c r="AC69" s="360">
        <f t="shared" si="61"/>
        <v>0.18118580643264146</v>
      </c>
      <c r="AD69" s="360">
        <f t="shared" si="62"/>
        <v>0.39164886670743493</v>
      </c>
      <c r="AE69" s="360">
        <f t="shared" si="63"/>
        <v>-0.52595999999999998</v>
      </c>
      <c r="AF69" s="360">
        <f t="shared" si="64"/>
        <v>0</v>
      </c>
      <c r="AG69" s="360" t="e">
        <f t="shared" si="65"/>
        <v>#VALUE!</v>
      </c>
      <c r="AH69" s="360">
        <f t="shared" si="66"/>
        <v>2.441383371226546</v>
      </c>
      <c r="AI69" s="360">
        <f t="shared" si="67"/>
        <v>1.4900881913253739E-2</v>
      </c>
      <c r="AJ69" s="360">
        <f t="shared" si="68"/>
        <v>7.0559999999999984E-2</v>
      </c>
      <c r="AK69" s="360" t="e">
        <f t="shared" si="69"/>
        <v>#VALUE!</v>
      </c>
      <c r="AL69" s="360">
        <f t="shared" si="70"/>
        <v>7.0559999999999984E-2</v>
      </c>
      <c r="AM69" s="360">
        <f t="shared" si="71"/>
        <v>1.2959999999999996</v>
      </c>
      <c r="AN69" s="360">
        <f t="shared" si="72"/>
        <v>0.1807899358537087</v>
      </c>
      <c r="AO69" s="360">
        <f t="shared" si="73"/>
        <v>2.0999999999999999E-3</v>
      </c>
      <c r="AP69" s="360">
        <f t="shared" si="74"/>
        <v>9.8999999999999991E-2</v>
      </c>
      <c r="AQ69" s="360">
        <f t="shared" si="75"/>
        <v>1.1483999999999999</v>
      </c>
      <c r="AR69" s="360">
        <f t="shared" si="76"/>
        <v>1.089</v>
      </c>
      <c r="AS69" s="360">
        <f t="shared" si="48"/>
        <v>0.1011</v>
      </c>
      <c r="AT69" s="360" t="e">
        <f t="shared" si="41"/>
        <v>#VALUE!</v>
      </c>
      <c r="AU69">
        <f t="shared" si="77"/>
        <v>300</v>
      </c>
      <c r="AV69" s="542" t="e">
        <f t="shared" si="42"/>
        <v>#VALUE!</v>
      </c>
      <c r="AW69" s="551" t="e">
        <f t="shared" si="78"/>
        <v>#VALUE!</v>
      </c>
      <c r="AX69" s="551" t="e">
        <f t="shared" si="79"/>
        <v>#VALUE!</v>
      </c>
      <c r="AY69" s="9"/>
      <c r="AZ69" s="4" t="e">
        <f t="shared" si="43"/>
        <v>#VALUE!</v>
      </c>
      <c r="BA69" s="360" t="e">
        <f t="shared" si="80"/>
        <v>#VALUE!</v>
      </c>
      <c r="BB69" s="360" t="e">
        <f t="shared" si="44"/>
        <v>#VALUE!</v>
      </c>
      <c r="BC69" s="360" t="e">
        <f t="shared" si="45"/>
        <v>#VALUE!</v>
      </c>
      <c r="BD69" s="360" t="e">
        <f t="shared" si="46"/>
        <v>#VALUE!</v>
      </c>
      <c r="BE69" s="360">
        <f t="shared" si="47"/>
        <v>0.1807899358537087</v>
      </c>
      <c r="BK69" s="18"/>
      <c r="BL69" s="19"/>
    </row>
    <row r="70" spans="1:64" x14ac:dyDescent="0.2">
      <c r="A70" s="33" t="s">
        <v>209</v>
      </c>
      <c r="B70" s="449">
        <f>Iripple2_Vinnom</f>
        <v>1.3924507354981959</v>
      </c>
      <c r="C70" s="21" t="s">
        <v>1</v>
      </c>
      <c r="G70">
        <v>61</v>
      </c>
      <c r="H70" s="548">
        <f t="shared" si="0"/>
        <v>60</v>
      </c>
      <c r="I70" s="4">
        <f t="shared" si="49"/>
        <v>1</v>
      </c>
      <c r="J70" s="360">
        <f t="shared" si="81"/>
        <v>6.1</v>
      </c>
      <c r="K70" s="4">
        <f t="shared" si="50"/>
        <v>5.6481481481481479</v>
      </c>
      <c r="L70" s="4"/>
      <c r="M70" s="360">
        <f t="shared" si="51"/>
        <v>0.83518846709210182</v>
      </c>
      <c r="N70" s="4">
        <f t="shared" si="52"/>
        <v>1.3766968295390507</v>
      </c>
      <c r="O70" s="4">
        <f t="shared" si="35"/>
        <v>6.7883484147695246</v>
      </c>
      <c r="P70" s="4">
        <f t="shared" si="36"/>
        <v>5.4116515852304747</v>
      </c>
      <c r="Q70" s="4">
        <f t="shared" si="53"/>
        <v>0</v>
      </c>
      <c r="R70" s="4">
        <f t="shared" si="54"/>
        <v>6.1129322898293719</v>
      </c>
      <c r="S70" s="360">
        <f t="shared" si="55"/>
        <v>0.44841529416046289</v>
      </c>
      <c r="T70" s="360">
        <f t="shared" si="56"/>
        <v>0.3</v>
      </c>
      <c r="U70" s="360" t="e">
        <f t="shared" si="57"/>
        <v>#VALUE!</v>
      </c>
      <c r="V70" s="4">
        <f t="shared" si="37"/>
        <v>0.39741814256343766</v>
      </c>
      <c r="W70" s="360">
        <f t="shared" si="58"/>
        <v>3.1588236007714569E-4</v>
      </c>
      <c r="X70" s="360">
        <f t="shared" si="38"/>
        <v>3.1588236007714569E-4</v>
      </c>
      <c r="Y70" s="4">
        <f t="shared" si="59"/>
        <v>2.267961244938784</v>
      </c>
      <c r="Z70" s="360">
        <f t="shared" si="12"/>
        <v>5.1436482085442797E-3</v>
      </c>
      <c r="AA70" s="541">
        <f t="shared" si="39"/>
        <v>5.1436482085442797E-3</v>
      </c>
      <c r="AB70" s="360">
        <f t="shared" si="60"/>
        <v>5.586526068367017</v>
      </c>
      <c r="AC70" s="360">
        <f t="shared" si="61"/>
        <v>0.18725564107526543</v>
      </c>
      <c r="AD70" s="360">
        <f t="shared" si="62"/>
        <v>0.39817634781922551</v>
      </c>
      <c r="AE70" s="360">
        <f t="shared" si="63"/>
        <v>-0.52595999999999998</v>
      </c>
      <c r="AF70" s="360">
        <f t="shared" si="64"/>
        <v>0</v>
      </c>
      <c r="AG70" s="360" t="e">
        <f t="shared" si="65"/>
        <v>#VALUE!</v>
      </c>
      <c r="AH70" s="360">
        <f t="shared" si="66"/>
        <v>2.481666308651171</v>
      </c>
      <c r="AI70" s="360">
        <f t="shared" si="67"/>
        <v>1.5396669168735824E-2</v>
      </c>
      <c r="AJ70" s="360">
        <f t="shared" si="68"/>
        <v>7.173599999999998E-2</v>
      </c>
      <c r="AK70" s="360" t="e">
        <f t="shared" si="69"/>
        <v>#VALUE!</v>
      </c>
      <c r="AL70" s="360">
        <f t="shared" si="70"/>
        <v>7.173599999999998E-2</v>
      </c>
      <c r="AM70" s="360">
        <f t="shared" si="71"/>
        <v>1.3175999999999999</v>
      </c>
      <c r="AN70" s="360">
        <f t="shared" si="72"/>
        <v>0.18683970590019286</v>
      </c>
      <c r="AO70" s="360">
        <f t="shared" si="73"/>
        <v>2.0999999999999999E-3</v>
      </c>
      <c r="AP70" s="360">
        <f t="shared" si="74"/>
        <v>9.8999999999999991E-2</v>
      </c>
      <c r="AQ70" s="360">
        <f t="shared" si="75"/>
        <v>1.1483999999999999</v>
      </c>
      <c r="AR70" s="360">
        <f t="shared" si="76"/>
        <v>1.089</v>
      </c>
      <c r="AS70" s="360">
        <f t="shared" si="48"/>
        <v>0.1011</v>
      </c>
      <c r="AT70" s="360" t="e">
        <f t="shared" si="41"/>
        <v>#VALUE!</v>
      </c>
      <c r="AU70">
        <f t="shared" si="77"/>
        <v>305</v>
      </c>
      <c r="AV70" s="542" t="e">
        <f t="shared" si="42"/>
        <v>#VALUE!</v>
      </c>
      <c r="AW70" s="551" t="e">
        <f t="shared" si="78"/>
        <v>#VALUE!</v>
      </c>
      <c r="AX70" s="551" t="e">
        <f t="shared" si="79"/>
        <v>#VALUE!</v>
      </c>
      <c r="AY70" s="9"/>
      <c r="AZ70" s="4" t="e">
        <f t="shared" si="43"/>
        <v>#VALUE!</v>
      </c>
      <c r="BA70" s="360" t="e">
        <f t="shared" si="80"/>
        <v>#VALUE!</v>
      </c>
      <c r="BB70" s="360" t="e">
        <f t="shared" si="44"/>
        <v>#VALUE!</v>
      </c>
      <c r="BC70" s="360" t="e">
        <f t="shared" si="45"/>
        <v>#VALUE!</v>
      </c>
      <c r="BD70" s="360" t="e">
        <f t="shared" si="46"/>
        <v>#VALUE!</v>
      </c>
      <c r="BE70" s="360">
        <f t="shared" si="47"/>
        <v>0.18683970590019286</v>
      </c>
      <c r="BK70" s="18"/>
      <c r="BL70" s="19"/>
    </row>
    <row r="71" spans="1:64" x14ac:dyDescent="0.2">
      <c r="A71" s="14" t="s">
        <v>59</v>
      </c>
      <c r="B71" s="15" t="s">
        <v>7</v>
      </c>
      <c r="C71" s="17" t="s">
        <v>76</v>
      </c>
      <c r="G71">
        <v>62</v>
      </c>
      <c r="H71" s="548">
        <f t="shared" si="0"/>
        <v>60</v>
      </c>
      <c r="I71" s="4">
        <f t="shared" si="49"/>
        <v>1</v>
      </c>
      <c r="J71" s="360">
        <f t="shared" si="81"/>
        <v>6.2</v>
      </c>
      <c r="K71" s="4">
        <f t="shared" si="50"/>
        <v>5.7407407407407405</v>
      </c>
      <c r="L71" s="4"/>
      <c r="M71" s="360">
        <f t="shared" si="51"/>
        <v>0.83521887440780007</v>
      </c>
      <c r="N71" s="4">
        <f t="shared" si="52"/>
        <v>1.3764963862823478</v>
      </c>
      <c r="O71" s="4">
        <f t="shared" si="35"/>
        <v>6.8882481931411741</v>
      </c>
      <c r="P71" s="4">
        <f t="shared" si="36"/>
        <v>5.5117518068588263</v>
      </c>
      <c r="Q71" s="4">
        <f t="shared" si="53"/>
        <v>0</v>
      </c>
      <c r="R71" s="4">
        <f t="shared" si="54"/>
        <v>6.2127204340600555</v>
      </c>
      <c r="S71" s="360">
        <f t="shared" si="55"/>
        <v>0.46317474230144839</v>
      </c>
      <c r="T71" s="360">
        <f t="shared" si="56"/>
        <v>0.3</v>
      </c>
      <c r="U71" s="360" t="e">
        <f t="shared" si="57"/>
        <v>#VALUE!</v>
      </c>
      <c r="V71" s="4">
        <f t="shared" si="37"/>
        <v>0.39736027957933034</v>
      </c>
      <c r="W71" s="360">
        <f t="shared" si="58"/>
        <v>3.1579038357472719E-4</v>
      </c>
      <c r="X71" s="360">
        <f t="shared" si="38"/>
        <v>3.1579038357472719E-4</v>
      </c>
      <c r="Y71" s="4">
        <f t="shared" si="59"/>
        <v>2.304812994519156</v>
      </c>
      <c r="Z71" s="360">
        <f t="shared" si="12"/>
        <v>5.3121629397043591E-3</v>
      </c>
      <c r="AA71" s="541">
        <f t="shared" si="39"/>
        <v>5.3121629397043591E-3</v>
      </c>
      <c r="AB71" s="360">
        <f t="shared" si="60"/>
        <v>5.6778244580644515</v>
      </c>
      <c r="AC71" s="360">
        <f t="shared" si="61"/>
        <v>0.19342614345956927</v>
      </c>
      <c r="AD71" s="360">
        <f t="shared" si="62"/>
        <v>0.40470382893101609</v>
      </c>
      <c r="AE71" s="360">
        <f t="shared" si="63"/>
        <v>-0.52595999999999998</v>
      </c>
      <c r="AF71" s="360">
        <f t="shared" si="64"/>
        <v>0</v>
      </c>
      <c r="AG71" s="360" t="e">
        <f t="shared" si="65"/>
        <v>#VALUE!</v>
      </c>
      <c r="AH71" s="360">
        <f t="shared" si="66"/>
        <v>2.5219446098581315</v>
      </c>
      <c r="AI71" s="360">
        <f t="shared" si="67"/>
        <v>1.5900511537981207E-2</v>
      </c>
      <c r="AJ71" s="360">
        <f t="shared" si="68"/>
        <v>7.2911999999999991E-2</v>
      </c>
      <c r="AK71" s="360" t="e">
        <f t="shared" si="69"/>
        <v>#VALUE!</v>
      </c>
      <c r="AL71" s="360">
        <f t="shared" si="70"/>
        <v>7.2911999999999991E-2</v>
      </c>
      <c r="AM71" s="360">
        <f t="shared" si="71"/>
        <v>1.3392000000000002</v>
      </c>
      <c r="AN71" s="360">
        <f t="shared" si="72"/>
        <v>0.19298947595893684</v>
      </c>
      <c r="AO71" s="360">
        <f t="shared" si="73"/>
        <v>2.0999999999999999E-3</v>
      </c>
      <c r="AP71" s="360">
        <f t="shared" si="74"/>
        <v>9.8999999999999991E-2</v>
      </c>
      <c r="AQ71" s="360">
        <f t="shared" si="75"/>
        <v>1.1483999999999999</v>
      </c>
      <c r="AR71" s="360">
        <f t="shared" si="76"/>
        <v>1.089</v>
      </c>
      <c r="AS71" s="360">
        <f t="shared" si="48"/>
        <v>0.1011</v>
      </c>
      <c r="AT71" s="360" t="e">
        <f t="shared" si="41"/>
        <v>#VALUE!</v>
      </c>
      <c r="AU71">
        <f t="shared" si="77"/>
        <v>310</v>
      </c>
      <c r="AV71" s="542" t="e">
        <f t="shared" si="42"/>
        <v>#VALUE!</v>
      </c>
      <c r="AW71" s="551" t="e">
        <f t="shared" si="78"/>
        <v>#VALUE!</v>
      </c>
      <c r="AX71" s="551" t="e">
        <f t="shared" si="79"/>
        <v>#VALUE!</v>
      </c>
      <c r="AY71" s="9"/>
      <c r="AZ71" s="4" t="e">
        <f t="shared" si="43"/>
        <v>#VALUE!</v>
      </c>
      <c r="BA71" s="360" t="e">
        <f t="shared" si="80"/>
        <v>#VALUE!</v>
      </c>
      <c r="BB71" s="360" t="e">
        <f t="shared" si="44"/>
        <v>#VALUE!</v>
      </c>
      <c r="BC71" s="360" t="e">
        <f t="shared" si="45"/>
        <v>#VALUE!</v>
      </c>
      <c r="BD71" s="360" t="e">
        <f t="shared" si="46"/>
        <v>#VALUE!</v>
      </c>
      <c r="BE71" s="360">
        <f t="shared" si="47"/>
        <v>0.19298947595893684</v>
      </c>
      <c r="BK71" s="18"/>
      <c r="BL71" s="19"/>
    </row>
    <row r="72" spans="1:64" x14ac:dyDescent="0.2">
      <c r="A72" s="32" t="s">
        <v>88</v>
      </c>
      <c r="B72" s="450">
        <f>(Qgd_Q3+Qgs_Q3/2)*(RdsonDRT+Rgate3)/(VCC-Vsp_Q3)*1000000000</f>
        <v>2.5466237942122185</v>
      </c>
      <c r="C72" s="21" t="s">
        <v>75</v>
      </c>
      <c r="D72" s="114" t="s">
        <v>508</v>
      </c>
      <c r="G72">
        <v>63</v>
      </c>
      <c r="H72" s="548">
        <f t="shared" si="0"/>
        <v>60</v>
      </c>
      <c r="I72" s="4">
        <f t="shared" si="49"/>
        <v>1</v>
      </c>
      <c r="J72" s="360">
        <f t="shared" si="81"/>
        <v>6.3</v>
      </c>
      <c r="K72" s="4">
        <f t="shared" si="50"/>
        <v>5.833333333333333</v>
      </c>
      <c r="L72" s="4"/>
      <c r="M72" s="360">
        <f t="shared" si="51"/>
        <v>0.83524928157148581</v>
      </c>
      <c r="N72" s="4">
        <f t="shared" si="52"/>
        <v>1.3762959245307753</v>
      </c>
      <c r="O72" s="4">
        <f t="shared" si="35"/>
        <v>6.988147962265387</v>
      </c>
      <c r="P72" s="4">
        <f t="shared" si="36"/>
        <v>5.6118520377346126</v>
      </c>
      <c r="Q72" s="4">
        <f t="shared" si="53"/>
        <v>0</v>
      </c>
      <c r="R72" s="4">
        <f t="shared" si="54"/>
        <v>6.3125152836242702</v>
      </c>
      <c r="S72" s="360">
        <f t="shared" si="55"/>
        <v>0.47817419047188003</v>
      </c>
      <c r="T72" s="360">
        <f t="shared" si="56"/>
        <v>0.3</v>
      </c>
      <c r="U72" s="360" t="e">
        <f t="shared" si="57"/>
        <v>#VALUE!</v>
      </c>
      <c r="V72" s="4">
        <f t="shared" si="37"/>
        <v>0.39730241125621402</v>
      </c>
      <c r="W72" s="360">
        <f t="shared" si="58"/>
        <v>3.1569841198000366E-4</v>
      </c>
      <c r="X72" s="360">
        <f t="shared" si="38"/>
        <v>3.1569841198000366E-4</v>
      </c>
      <c r="Y72" s="4">
        <f t="shared" si="59"/>
        <v>2.341661720672497</v>
      </c>
      <c r="Z72" s="360">
        <f t="shared" si="12"/>
        <v>5.4833796140628787E-3</v>
      </c>
      <c r="AA72" s="541">
        <f t="shared" si="39"/>
        <v>5.4833796140628787E-3</v>
      </c>
      <c r="AB72" s="360">
        <f t="shared" si="60"/>
        <v>5.7691322936358507</v>
      </c>
      <c r="AC72" s="360">
        <f t="shared" si="61"/>
        <v>0.19969732452883232</v>
      </c>
      <c r="AD72" s="360">
        <f t="shared" si="62"/>
        <v>0.41123131004280666</v>
      </c>
      <c r="AE72" s="360">
        <f t="shared" si="63"/>
        <v>-0.52595999999999998</v>
      </c>
      <c r="AF72" s="360">
        <f t="shared" si="64"/>
        <v>0</v>
      </c>
      <c r="AG72" s="360" t="e">
        <f t="shared" si="65"/>
        <v>#VALUE!</v>
      </c>
      <c r="AH72" s="360">
        <f t="shared" si="66"/>
        <v>2.5622181375749316</v>
      </c>
      <c r="AI72" s="360">
        <f t="shared" si="67"/>
        <v>1.6412404461294879E-2</v>
      </c>
      <c r="AJ72" s="360">
        <f t="shared" si="68"/>
        <v>7.4087999999999987E-2</v>
      </c>
      <c r="AK72" s="360" t="e">
        <f t="shared" si="69"/>
        <v>#VALUE!</v>
      </c>
      <c r="AL72" s="360">
        <f t="shared" si="70"/>
        <v>7.4087999999999987E-2</v>
      </c>
      <c r="AM72" s="360">
        <f t="shared" si="71"/>
        <v>1.3607999999999998</v>
      </c>
      <c r="AN72" s="360">
        <f t="shared" si="72"/>
        <v>0.19923924602995002</v>
      </c>
      <c r="AO72" s="360">
        <f t="shared" si="73"/>
        <v>2.0999999999999999E-3</v>
      </c>
      <c r="AP72" s="360">
        <f t="shared" si="74"/>
        <v>9.8999999999999991E-2</v>
      </c>
      <c r="AQ72" s="360">
        <f t="shared" si="75"/>
        <v>1.1483999999999999</v>
      </c>
      <c r="AR72" s="360">
        <f t="shared" si="76"/>
        <v>1.089</v>
      </c>
      <c r="AS72" s="360">
        <f t="shared" si="48"/>
        <v>0.1011</v>
      </c>
      <c r="AT72" s="360" t="e">
        <f t="shared" si="41"/>
        <v>#VALUE!</v>
      </c>
      <c r="AU72">
        <f t="shared" si="77"/>
        <v>315</v>
      </c>
      <c r="AV72" s="542" t="e">
        <f t="shared" si="42"/>
        <v>#VALUE!</v>
      </c>
      <c r="AW72" s="551" t="e">
        <f t="shared" si="78"/>
        <v>#VALUE!</v>
      </c>
      <c r="AX72" s="551" t="e">
        <f t="shared" si="79"/>
        <v>#VALUE!</v>
      </c>
      <c r="AY72" s="9"/>
      <c r="AZ72" s="4" t="e">
        <f t="shared" si="43"/>
        <v>#VALUE!</v>
      </c>
      <c r="BA72" s="360" t="e">
        <f t="shared" si="80"/>
        <v>#VALUE!</v>
      </c>
      <c r="BB72" s="360" t="e">
        <f t="shared" si="44"/>
        <v>#VALUE!</v>
      </c>
      <c r="BC72" s="360" t="e">
        <f t="shared" si="45"/>
        <v>#VALUE!</v>
      </c>
      <c r="BD72" s="360" t="e">
        <f t="shared" si="46"/>
        <v>#VALUE!</v>
      </c>
      <c r="BE72" s="360">
        <f t="shared" si="47"/>
        <v>0.19923924602995002</v>
      </c>
      <c r="BK72" s="18"/>
      <c r="BL72" s="19"/>
    </row>
    <row r="73" spans="1:64" x14ac:dyDescent="0.2">
      <c r="A73" s="33" t="s">
        <v>89</v>
      </c>
      <c r="B73" s="450">
        <f>(Qgd_Q3+Qgs_Q3/2)*(RdsonDRT2+Rgate3)/(Vsp_Q3)*1000000000</f>
        <v>1.0797546012269938</v>
      </c>
      <c r="C73" s="21" t="s">
        <v>75</v>
      </c>
      <c r="D73" s="114" t="s">
        <v>509</v>
      </c>
      <c r="G73">
        <v>64</v>
      </c>
      <c r="H73" s="548">
        <f t="shared" ref="H73:H109" si="82">Vin</f>
        <v>60</v>
      </c>
      <c r="I73" s="4">
        <f t="shared" ref="I73:I109" si="83">MODE</f>
        <v>1</v>
      </c>
      <c r="J73" s="360">
        <f t="shared" si="81"/>
        <v>6.4</v>
      </c>
      <c r="K73" s="4">
        <f t="shared" ref="K73:K104" si="84">Vout2*J73/(Vin*Efficiency)</f>
        <v>5.9259259259259256</v>
      </c>
      <c r="L73" s="4"/>
      <c r="M73" s="360">
        <f t="shared" ref="M73:M109" si="85">(Vout2+(Rdson4+Rs+Rdcr)*J73)/(Vin+(Rs+Rdson2-Rdson1)*J73)</f>
        <v>0.83527968858316004</v>
      </c>
      <c r="N73" s="4">
        <f t="shared" ref="N73:N104" si="86">(Vin-(Rdson3+Rdcr2)*J73-Vout2)*M73/(Fsw*Lo_2)</f>
        <v>1.3760954442844697</v>
      </c>
      <c r="O73" s="4">
        <f t="shared" si="35"/>
        <v>7.0880477221422353</v>
      </c>
      <c r="P73" s="4">
        <f t="shared" si="36"/>
        <v>5.7119522778577654</v>
      </c>
      <c r="Q73" s="4">
        <f t="shared" ref="Q73:Q104" si="87">IF(MIN(Vin, -P73/(Coss_Q3+Coss_Q4)*0.00000002)&lt;0, 0, MIN(Vin, -P73/(Coss_Q3+Coss_Q4)*0.00000002))</f>
        <v>0</v>
      </c>
      <c r="R73" s="4">
        <f t="shared" ref="R73:R109" si="88">SQRT(J73^2+(N73^2)/12)</f>
        <v>6.4123165254569567</v>
      </c>
      <c r="S73" s="360">
        <f t="shared" ref="S73:S104" si="89">R73^2*Rdcr2</f>
        <v>0.49341363867178051</v>
      </c>
      <c r="T73" s="360">
        <f t="shared" ref="T73:T109" si="90">Core_Loss_Ch1</f>
        <v>0.3</v>
      </c>
      <c r="U73" s="360" t="e">
        <f t="shared" ref="U73:U104" si="91">(T73+S73*(1+Ltc*(Ta-25)))/(1-S73*Ltc*ThetaCa)</f>
        <v>#VALUE!</v>
      </c>
      <c r="V73" s="4">
        <f t="shared" si="37"/>
        <v>0.39724453759412814</v>
      </c>
      <c r="W73" s="360">
        <f t="shared" ref="W73:W104" si="92">Cout2_ESR*V73^2</f>
        <v>3.1560644529674535E-4</v>
      </c>
      <c r="X73" s="360">
        <f t="shared" si="38"/>
        <v>3.1560644529674535E-4</v>
      </c>
      <c r="Y73" s="4">
        <f t="shared" ref="Y73:Y109" si="93">SQRT(M73*(1-M73))*SQRT(J73^2+(N73^2)/12)</f>
        <v>2.3785073054011998</v>
      </c>
      <c r="Z73" s="360">
        <f t="shared" si="12"/>
        <v>5.6572970018468763E-3</v>
      </c>
      <c r="AA73" s="541">
        <f t="shared" si="39"/>
        <v>5.6572970018468763E-3</v>
      </c>
      <c r="AB73" s="360">
        <f t="shared" ref="AB73:AB109" si="94">SQRT(M73)*SQRT(J73^2+(N73^2)/12)</f>
        <v>5.8604492891788924</v>
      </c>
      <c r="AC73" s="360">
        <f t="shared" ref="AC73:AC104" si="95">Rdson3*AB73^2</f>
        <v>0.2060691952262243</v>
      </c>
      <c r="AD73" s="360">
        <f t="shared" ref="AD73:AD109" si="96">(Vin*J73/2)*Fsw*(Tr_Ch2+Tf_Ch2)</f>
        <v>0.41775879115459724</v>
      </c>
      <c r="AE73" s="360">
        <f t="shared" ref="AE73:AE109" si="97">(0.5*Coss_Q3*(Vin-Q73)^2-0.5*Coss_Q4*(Vin-Q73)^2+(Qoss_Q4*(Vin-Q73)/Vin)*Vin)*Fsw</f>
        <v>-0.52595999999999998</v>
      </c>
      <c r="AF73" s="360">
        <f t="shared" ref="AF73:AF109" si="98">IF(J73&gt;N73/2,0,ABS(J73-N73/2)*Vsd_Q3*Deadtime*Fsw)</f>
        <v>0</v>
      </c>
      <c r="AG73" s="360" t="e">
        <f t="shared" ref="AG73:AG104" si="99">(AF73+AE73+AD73+AC73*(1+RdsonTopTc*Ta-RdsonTopTc*25))/(1-AC73*RdsonTopTc*ThetaJA_Q2)</f>
        <v>#VALUE!</v>
      </c>
      <c r="AH73" s="360">
        <f t="shared" ref="AH73:AH109" si="100">SQRT((1-M73))*SQRT(J73^2+(N73^2)/12)</f>
        <v>2.6024867630039901</v>
      </c>
      <c r="AI73" s="360">
        <f t="shared" ref="AI73:AI104" si="101">Rdson4*AH73^2</f>
        <v>1.6932343379027465E-2</v>
      </c>
      <c r="AJ73" s="360">
        <f t="shared" ref="AJ73:AJ109" si="102">IF(J73&lt;N73/2,Deadtime*Fsw*IF(VfdSky_Q4&gt;0,0,Vsd_Q4)*(J73+N73/2),2*Deadtime*Fsw*IF(VfdSky_Q4&gt;0,0,Vsd_Q4)*J73)</f>
        <v>7.5263999999999998E-2</v>
      </c>
      <c r="AK73" s="360" t="e">
        <f t="shared" ref="AK73:AK104" si="103">(AJ73+AI73*(1+RdsonBotTc*Ta-RdsonBotTc*25))/(1-AI73*RdsonBotTc*ThetaJA_Q3)</f>
        <v>#VALUE!</v>
      </c>
      <c r="AL73" s="360">
        <f t="shared" ref="AL73:AL109" si="104">2*Deadtime*Fsw*IF(VfdSky_Q4&gt;0,VfdSky_Q4,Vsd_Q4)*J73</f>
        <v>7.5263999999999998E-2</v>
      </c>
      <c r="AM73" s="360">
        <f t="shared" ref="AM73:AM109" si="105">IF(QrrSky_Q4&gt;0,QrrSky_Q4,Qrr_Q4*J73/Iout2)*Fsw*Vin</f>
        <v>1.3824000000000001</v>
      </c>
      <c r="AN73" s="360">
        <f t="shared" ref="AN73:AN109" si="106">CHOOSE(SENSING_TYPE, Rs_Ch2*R73^2, 0)</f>
        <v>0.20558901611324187</v>
      </c>
      <c r="AO73" s="360">
        <f t="shared" ref="AO73:AO109" si="107">Iq*Vin</f>
        <v>2.0999999999999999E-3</v>
      </c>
      <c r="AP73" s="360">
        <f t="shared" ref="AP73:AP109" si="108">IF(Ext_VCC=1,  (Qg_Q3+Qg_Q4)*Fsw*VCC, (Qg_Q3+Qg_Q4)*Fsw*Vin)</f>
        <v>9.8999999999999991E-2</v>
      </c>
      <c r="AQ73" s="360">
        <f t="shared" ref="AQ73:AQ109" si="109">(Vin-VCC)*Fsw*(Qg_Q3+Qg_Q4)+(RdsonDRT+RdsonDRT2)*Fsw*Qg_Q3*VCC/(RdsonDRT+2*Rgate3+RdsonDRT2)+(RdsonDRB+RdsonDRB2)*Fsw*Qg_Q4*VCC/(RdsonDRB+2*Rgate4+RdsonDRB2)</f>
        <v>1.1483999999999999</v>
      </c>
      <c r="AR73" s="360">
        <f t="shared" ref="AR73:AR109" si="110">(Qg_Q3+Qg_Q4)*Fsw*(Vin-VCC)</f>
        <v>1.089</v>
      </c>
      <c r="AS73" s="360">
        <f t="shared" si="48"/>
        <v>0.1011</v>
      </c>
      <c r="AT73" s="360" t="e">
        <f t="shared" si="41"/>
        <v>#VALUE!</v>
      </c>
      <c r="AU73">
        <f t="shared" ref="AU73:AU109" si="111">Vout2*J73</f>
        <v>320</v>
      </c>
      <c r="AV73" s="542" t="e">
        <f t="shared" si="42"/>
        <v>#VALUE!</v>
      </c>
      <c r="AW73" s="551" t="e">
        <f t="shared" ref="AW73:AW109" si="112">ThetaJA_Q1*BC73</f>
        <v>#VALUE!</v>
      </c>
      <c r="AX73" s="551" t="e">
        <f t="shared" ref="AX73:AX109" si="113">ThetaJA_Q2*BD73</f>
        <v>#VALUE!</v>
      </c>
      <c r="AY73" s="9"/>
      <c r="AZ73" s="4" t="e">
        <f t="shared" si="43"/>
        <v>#VALUE!</v>
      </c>
      <c r="BA73" s="360" t="e">
        <f t="shared" ref="BA73:BA109" si="114">U73</f>
        <v>#VALUE!</v>
      </c>
      <c r="BB73" s="360" t="e">
        <f t="shared" si="44"/>
        <v>#VALUE!</v>
      </c>
      <c r="BC73" s="360" t="e">
        <f t="shared" si="45"/>
        <v>#VALUE!</v>
      </c>
      <c r="BD73" s="360" t="e">
        <f t="shared" si="46"/>
        <v>#VALUE!</v>
      </c>
      <c r="BE73" s="360">
        <f t="shared" si="47"/>
        <v>0.20558901611324187</v>
      </c>
      <c r="BK73" s="18"/>
      <c r="BL73" s="19"/>
    </row>
    <row r="74" spans="1:64" x14ac:dyDescent="0.2">
      <c r="A74" s="14" t="s">
        <v>114</v>
      </c>
      <c r="B74" s="15" t="s">
        <v>7</v>
      </c>
      <c r="C74" s="17" t="s">
        <v>76</v>
      </c>
      <c r="G74">
        <v>65</v>
      </c>
      <c r="H74" s="548">
        <f t="shared" si="82"/>
        <v>60</v>
      </c>
      <c r="I74" s="4">
        <f t="shared" si="83"/>
        <v>1</v>
      </c>
      <c r="J74" s="360">
        <f t="shared" ref="J74:J109" si="115">Iout2*G74/100</f>
        <v>6.5</v>
      </c>
      <c r="K74" s="4">
        <f t="shared" si="84"/>
        <v>6.0185185185185182</v>
      </c>
      <c r="L74" s="4"/>
      <c r="M74" s="360">
        <f t="shared" si="85"/>
        <v>0.83531009544282397</v>
      </c>
      <c r="N74" s="4">
        <f t="shared" si="86"/>
        <v>1.3758949455435718</v>
      </c>
      <c r="O74" s="4">
        <f t="shared" ref="O74:O109" si="116">J74+N74/2</f>
        <v>7.1879474727717856</v>
      </c>
      <c r="P74" s="4">
        <f t="shared" ref="P74:P109" si="117">J74-N74/2</f>
        <v>5.8120525272282144</v>
      </c>
      <c r="Q74" s="4">
        <f t="shared" si="87"/>
        <v>0</v>
      </c>
      <c r="R74" s="4">
        <f t="shared" si="88"/>
        <v>6.5121238656650542</v>
      </c>
      <c r="S74" s="360">
        <f t="shared" si="89"/>
        <v>0.50889308690117252</v>
      </c>
      <c r="T74" s="360">
        <f t="shared" si="90"/>
        <v>0.3</v>
      </c>
      <c r="U74" s="360" t="e">
        <f t="shared" si="91"/>
        <v>#VALUE!</v>
      </c>
      <c r="V74" s="4">
        <f t="shared" ref="V74:V109" si="118">N74/SQRT(12)</f>
        <v>0.39718665859311336</v>
      </c>
      <c r="W74" s="360">
        <f t="shared" si="92"/>
        <v>3.1551448352872479E-4</v>
      </c>
      <c r="X74" s="360">
        <f t="shared" ref="X74:X109" si="119">W74</f>
        <v>3.1551448352872479E-4</v>
      </c>
      <c r="Y74" s="4">
        <f t="shared" si="93"/>
        <v>2.4153496378524295</v>
      </c>
      <c r="Z74" s="360">
        <f t="shared" ref="Z74:Z109" si="120">RCinEsr*Y74^2</f>
        <v>5.8339138730738619E-3</v>
      </c>
      <c r="AA74" s="541">
        <f t="shared" ref="AA74:AA109" si="121">Z74</f>
        <v>5.8339138730738619E-3</v>
      </c>
      <c r="AB74" s="360">
        <f t="shared" si="94"/>
        <v>5.9517751762927249</v>
      </c>
      <c r="AC74" s="360">
        <f t="shared" si="95"/>
        <v>0.2125417664948058</v>
      </c>
      <c r="AD74" s="360">
        <f t="shared" si="96"/>
        <v>0.42428627226638782</v>
      </c>
      <c r="AE74" s="360">
        <f t="shared" si="97"/>
        <v>-0.52595999999999998</v>
      </c>
      <c r="AF74" s="360">
        <f t="shared" si="98"/>
        <v>0</v>
      </c>
      <c r="AG74" s="360" t="e">
        <f t="shared" si="99"/>
        <v>#VALUE!</v>
      </c>
      <c r="AH74" s="360">
        <f t="shared" si="100"/>
        <v>2.6427503651745212</v>
      </c>
      <c r="AI74" s="360">
        <f t="shared" si="101"/>
        <v>1.7460323731575161E-2</v>
      </c>
      <c r="AJ74" s="360">
        <f t="shared" si="102"/>
        <v>7.643999999999998E-2</v>
      </c>
      <c r="AK74" s="360" t="e">
        <f t="shared" si="103"/>
        <v>#VALUE!</v>
      </c>
      <c r="AL74" s="360">
        <f t="shared" si="104"/>
        <v>7.643999999999998E-2</v>
      </c>
      <c r="AM74" s="360">
        <f t="shared" si="105"/>
        <v>1.4040000000000001</v>
      </c>
      <c r="AN74" s="360">
        <f t="shared" si="106"/>
        <v>0.21203878620882186</v>
      </c>
      <c r="AO74" s="360">
        <f t="shared" si="107"/>
        <v>2.0999999999999999E-3</v>
      </c>
      <c r="AP74" s="360">
        <f t="shared" si="108"/>
        <v>9.8999999999999991E-2</v>
      </c>
      <c r="AQ74" s="360">
        <f t="shared" si="109"/>
        <v>1.1483999999999999</v>
      </c>
      <c r="AR74" s="360">
        <f t="shared" si="110"/>
        <v>1.089</v>
      </c>
      <c r="AS74" s="360">
        <f t="shared" si="48"/>
        <v>0.1011</v>
      </c>
      <c r="AT74" s="360" t="e">
        <f t="shared" ref="AT74:AT109" si="122">SUM(U74,X74,AA74,AG74,AK74,AL74,AM74,AS74,AN74)</f>
        <v>#VALUE!</v>
      </c>
      <c r="AU74">
        <f t="shared" si="111"/>
        <v>325</v>
      </c>
      <c r="AV74" s="542" t="e">
        <f t="shared" ref="AV74:AV109" si="123">AU74/(AU74+AT74)</f>
        <v>#VALUE!</v>
      </c>
      <c r="AW74" s="551" t="e">
        <f t="shared" si="112"/>
        <v>#VALUE!</v>
      </c>
      <c r="AX74" s="551" t="e">
        <f t="shared" si="113"/>
        <v>#VALUE!</v>
      </c>
      <c r="AY74" s="9"/>
      <c r="AZ74" s="4" t="e">
        <f t="shared" ref="AZ74:AZ109" si="124">AV74*100</f>
        <v>#VALUE!</v>
      </c>
      <c r="BA74" s="360" t="e">
        <f t="shared" si="114"/>
        <v>#VALUE!</v>
      </c>
      <c r="BB74" s="360" t="e">
        <f t="shared" ref="BB74:BB109" si="125">AG74+AK74+AM74</f>
        <v>#VALUE!</v>
      </c>
      <c r="BC74" s="360" t="e">
        <f t="shared" ref="BC74:BC109" si="126">AG74+AM74*0.66</f>
        <v>#VALUE!</v>
      </c>
      <c r="BD74" s="360" t="e">
        <f t="shared" ref="BD74:BD109" si="127">AK74+AM74*0.33</f>
        <v>#VALUE!</v>
      </c>
      <c r="BE74" s="360">
        <f t="shared" ref="BE74:BE109" si="128">AN74</f>
        <v>0.21203878620882186</v>
      </c>
      <c r="BK74" s="18"/>
      <c r="BL74" s="19"/>
    </row>
    <row r="75" spans="1:64" x14ac:dyDescent="0.2">
      <c r="A75" s="34" t="s">
        <v>115</v>
      </c>
      <c r="B75" s="603">
        <f>AS9</f>
        <v>0.1011</v>
      </c>
      <c r="C75" s="78" t="s">
        <v>116</v>
      </c>
      <c r="G75">
        <v>66</v>
      </c>
      <c r="H75" s="548">
        <f t="shared" si="82"/>
        <v>60</v>
      </c>
      <c r="I75" s="4">
        <f t="shared" si="83"/>
        <v>1</v>
      </c>
      <c r="J75" s="360">
        <f t="shared" si="115"/>
        <v>6.6</v>
      </c>
      <c r="K75" s="4">
        <f t="shared" si="84"/>
        <v>6.1111111111111107</v>
      </c>
      <c r="L75" s="4"/>
      <c r="M75" s="360">
        <f t="shared" si="85"/>
        <v>0.8353405021504785</v>
      </c>
      <c r="N75" s="4">
        <f t="shared" si="86"/>
        <v>1.375694428308218</v>
      </c>
      <c r="O75" s="4">
        <f t="shared" si="116"/>
        <v>7.2878472141541089</v>
      </c>
      <c r="P75" s="4">
        <f t="shared" si="117"/>
        <v>5.9121527858458904</v>
      </c>
      <c r="Q75" s="4">
        <f t="shared" si="87"/>
        <v>0</v>
      </c>
      <c r="R75" s="4">
        <f t="shared" si="88"/>
        <v>6.6119370280833625</v>
      </c>
      <c r="S75" s="360">
        <f t="shared" si="89"/>
        <v>0.52461253516007822</v>
      </c>
      <c r="T75" s="360">
        <f t="shared" si="90"/>
        <v>0.3</v>
      </c>
      <c r="U75" s="360" t="e">
        <f t="shared" si="91"/>
        <v>#VALUE!</v>
      </c>
      <c r="V75" s="4">
        <f t="shared" si="118"/>
        <v>0.39712877425320903</v>
      </c>
      <c r="W75" s="360">
        <f t="shared" si="92"/>
        <v>3.1542252667971247E-4</v>
      </c>
      <c r="X75" s="360">
        <f t="shared" si="119"/>
        <v>3.1542252667971247E-4</v>
      </c>
      <c r="Y75" s="4">
        <f t="shared" si="93"/>
        <v>2.4521886137799043</v>
      </c>
      <c r="Z75" s="360">
        <f t="shared" si="120"/>
        <v>6.0132289975518083E-3</v>
      </c>
      <c r="AA75" s="541">
        <f t="shared" si="121"/>
        <v>6.0132289975518083E-3</v>
      </c>
      <c r="AB75" s="360">
        <f t="shared" si="94"/>
        <v>6.0431097027596588</v>
      </c>
      <c r="AC75" s="360">
        <f t="shared" si="95"/>
        <v>0.21911504927752759</v>
      </c>
      <c r="AD75" s="360">
        <f t="shared" si="96"/>
        <v>0.4308137533781784</v>
      </c>
      <c r="AE75" s="360">
        <f t="shared" si="97"/>
        <v>-0.52595999999999998</v>
      </c>
      <c r="AF75" s="360">
        <f t="shared" si="98"/>
        <v>0</v>
      </c>
      <c r="AG75" s="360" t="e">
        <f t="shared" si="99"/>
        <v>#VALUE!</v>
      </c>
      <c r="AH75" s="360">
        <f t="shared" si="100"/>
        <v>2.6830088303529509</v>
      </c>
      <c r="AI75" s="360">
        <f t="shared" si="101"/>
        <v>1.7996340959379777E-2</v>
      </c>
      <c r="AJ75" s="360">
        <f t="shared" si="102"/>
        <v>7.7615999999999977E-2</v>
      </c>
      <c r="AK75" s="360" t="e">
        <f t="shared" si="103"/>
        <v>#VALUE!</v>
      </c>
      <c r="AL75" s="360">
        <f t="shared" si="104"/>
        <v>7.7615999999999977E-2</v>
      </c>
      <c r="AM75" s="360">
        <f t="shared" si="105"/>
        <v>1.4256</v>
      </c>
      <c r="AN75" s="360">
        <f t="shared" si="106"/>
        <v>0.21858855631669927</v>
      </c>
      <c r="AO75" s="360">
        <f t="shared" si="107"/>
        <v>2.0999999999999999E-3</v>
      </c>
      <c r="AP75" s="360">
        <f t="shared" si="108"/>
        <v>9.8999999999999991E-2</v>
      </c>
      <c r="AQ75" s="360">
        <f t="shared" si="109"/>
        <v>1.1483999999999999</v>
      </c>
      <c r="AR75" s="360">
        <f t="shared" si="110"/>
        <v>1.089</v>
      </c>
      <c r="AS75" s="360">
        <f t="shared" ref="AS75:AS109" si="129">SUM(AO75:AP75)</f>
        <v>0.1011</v>
      </c>
      <c r="AT75" s="360" t="e">
        <f t="shared" si="122"/>
        <v>#VALUE!</v>
      </c>
      <c r="AU75">
        <f t="shared" si="111"/>
        <v>330</v>
      </c>
      <c r="AV75" s="542" t="e">
        <f t="shared" si="123"/>
        <v>#VALUE!</v>
      </c>
      <c r="AW75" s="551" t="e">
        <f t="shared" si="112"/>
        <v>#VALUE!</v>
      </c>
      <c r="AX75" s="551" t="e">
        <f t="shared" si="113"/>
        <v>#VALUE!</v>
      </c>
      <c r="AY75" s="9"/>
      <c r="AZ75" s="4" t="e">
        <f t="shared" si="124"/>
        <v>#VALUE!</v>
      </c>
      <c r="BA75" s="360" t="e">
        <f t="shared" si="114"/>
        <v>#VALUE!</v>
      </c>
      <c r="BB75" s="360" t="e">
        <f t="shared" si="125"/>
        <v>#VALUE!</v>
      </c>
      <c r="BC75" s="360" t="e">
        <f t="shared" si="126"/>
        <v>#VALUE!</v>
      </c>
      <c r="BD75" s="360" t="e">
        <f t="shared" si="127"/>
        <v>#VALUE!</v>
      </c>
      <c r="BE75" s="360">
        <f t="shared" si="128"/>
        <v>0.21858855631669927</v>
      </c>
      <c r="BK75" s="18"/>
      <c r="BL75" s="19"/>
    </row>
    <row r="76" spans="1:64" x14ac:dyDescent="0.2">
      <c r="A76" s="34" t="s">
        <v>119</v>
      </c>
      <c r="B76" s="604">
        <f>B75*B62</f>
        <v>3.0329999999999999</v>
      </c>
      <c r="C76" s="440" t="s">
        <v>465</v>
      </c>
      <c r="G76">
        <v>67</v>
      </c>
      <c r="H76" s="548">
        <f t="shared" si="82"/>
        <v>60</v>
      </c>
      <c r="I76" s="4">
        <f t="shared" si="83"/>
        <v>1</v>
      </c>
      <c r="J76" s="360">
        <f t="shared" si="115"/>
        <v>6.7</v>
      </c>
      <c r="K76" s="4">
        <f t="shared" si="84"/>
        <v>6.2037037037037033</v>
      </c>
      <c r="L76" s="4"/>
      <c r="M76" s="360">
        <f t="shared" si="85"/>
        <v>0.83537090870612507</v>
      </c>
      <c r="N76" s="4">
        <f t="shared" si="86"/>
        <v>1.375493892578548</v>
      </c>
      <c r="O76" s="4">
        <f t="shared" si="116"/>
        <v>7.3877469462892744</v>
      </c>
      <c r="P76" s="4">
        <f t="shared" si="117"/>
        <v>6.0122530537107259</v>
      </c>
      <c r="Q76" s="4">
        <f t="shared" si="87"/>
        <v>0</v>
      </c>
      <c r="R76" s="4">
        <f t="shared" si="88"/>
        <v>6.7117557529588883</v>
      </c>
      <c r="S76" s="360">
        <f t="shared" si="89"/>
        <v>0.54057198344852075</v>
      </c>
      <c r="T76" s="360">
        <f t="shared" si="90"/>
        <v>0.3</v>
      </c>
      <c r="U76" s="360" t="e">
        <f t="shared" si="91"/>
        <v>#VALUE!</v>
      </c>
      <c r="V76" s="4">
        <f t="shared" si="118"/>
        <v>0.3970708845744555</v>
      </c>
      <c r="W76" s="360">
        <f t="shared" si="92"/>
        <v>3.1533057475348114E-4</v>
      </c>
      <c r="X76" s="360">
        <f t="shared" si="119"/>
        <v>3.1533057475348114E-4</v>
      </c>
      <c r="Y76" s="4">
        <f t="shared" si="93"/>
        <v>2.4890241350535693</v>
      </c>
      <c r="Z76" s="360">
        <f t="shared" si="120"/>
        <v>6.1952411448791692E-3</v>
      </c>
      <c r="AA76" s="541">
        <f t="shared" si="121"/>
        <v>6.1952411448791692E-3</v>
      </c>
      <c r="AB76" s="360">
        <f t="shared" si="94"/>
        <v>6.1344526313441579</v>
      </c>
      <c r="AC76" s="360">
        <f t="shared" si="95"/>
        <v>0.22578905451723158</v>
      </c>
      <c r="AD76" s="360">
        <f t="shared" si="96"/>
        <v>0.43734123448996898</v>
      </c>
      <c r="AE76" s="360">
        <f t="shared" si="97"/>
        <v>-0.52595999999999998</v>
      </c>
      <c r="AF76" s="360">
        <f t="shared" si="98"/>
        <v>0</v>
      </c>
      <c r="AG76" s="360" t="e">
        <f t="shared" si="99"/>
        <v>#VALUE!</v>
      </c>
      <c r="AH76" s="360">
        <f t="shared" si="100"/>
        <v>2.7232620515057793</v>
      </c>
      <c r="AI76" s="360">
        <f t="shared" si="101"/>
        <v>1.8540390502928664E-2</v>
      </c>
      <c r="AJ76" s="360">
        <f t="shared" si="102"/>
        <v>7.8791999999999987E-2</v>
      </c>
      <c r="AK76" s="360" t="e">
        <f t="shared" si="103"/>
        <v>#VALUE!</v>
      </c>
      <c r="AL76" s="360">
        <f t="shared" si="104"/>
        <v>7.8791999999999987E-2</v>
      </c>
      <c r="AM76" s="360">
        <f t="shared" si="105"/>
        <v>1.4472</v>
      </c>
      <c r="AN76" s="360">
        <f t="shared" si="106"/>
        <v>0.22523832643688366</v>
      </c>
      <c r="AO76" s="360">
        <f t="shared" si="107"/>
        <v>2.0999999999999999E-3</v>
      </c>
      <c r="AP76" s="360">
        <f t="shared" si="108"/>
        <v>9.8999999999999991E-2</v>
      </c>
      <c r="AQ76" s="360">
        <f t="shared" si="109"/>
        <v>1.1483999999999999</v>
      </c>
      <c r="AR76" s="360">
        <f t="shared" si="110"/>
        <v>1.089</v>
      </c>
      <c r="AS76" s="360">
        <f t="shared" si="129"/>
        <v>0.1011</v>
      </c>
      <c r="AT76" s="360" t="e">
        <f t="shared" si="122"/>
        <v>#VALUE!</v>
      </c>
      <c r="AU76">
        <f t="shared" si="111"/>
        <v>335</v>
      </c>
      <c r="AV76" s="542" t="e">
        <f t="shared" si="123"/>
        <v>#VALUE!</v>
      </c>
      <c r="AW76" s="551" t="e">
        <f t="shared" si="112"/>
        <v>#VALUE!</v>
      </c>
      <c r="AX76" s="551" t="e">
        <f t="shared" si="113"/>
        <v>#VALUE!</v>
      </c>
      <c r="AY76" s="9"/>
      <c r="AZ76" s="4" t="e">
        <f t="shared" si="124"/>
        <v>#VALUE!</v>
      </c>
      <c r="BA76" s="360" t="e">
        <f t="shared" si="114"/>
        <v>#VALUE!</v>
      </c>
      <c r="BB76" s="360" t="e">
        <f t="shared" si="125"/>
        <v>#VALUE!</v>
      </c>
      <c r="BC76" s="360" t="e">
        <f t="shared" si="126"/>
        <v>#VALUE!</v>
      </c>
      <c r="BD76" s="360" t="e">
        <f t="shared" si="127"/>
        <v>#VALUE!</v>
      </c>
      <c r="BE76" s="360">
        <f t="shared" si="128"/>
        <v>0.22523832643688366</v>
      </c>
      <c r="BK76" s="18"/>
      <c r="BL76" s="19"/>
    </row>
    <row r="77" spans="1:64" x14ac:dyDescent="0.2">
      <c r="A77" s="34" t="s">
        <v>210</v>
      </c>
      <c r="B77" s="604">
        <f>(Qg_Q3+Qg_Q4)*Fsw+Iq</f>
        <v>1.9834999999999998E-2</v>
      </c>
      <c r="C77" s="21" t="s">
        <v>1</v>
      </c>
      <c r="G77">
        <v>68</v>
      </c>
      <c r="H77" s="548">
        <f t="shared" si="82"/>
        <v>60</v>
      </c>
      <c r="I77" s="4">
        <f t="shared" si="83"/>
        <v>1</v>
      </c>
      <c r="J77" s="360">
        <f t="shared" si="115"/>
        <v>6.8</v>
      </c>
      <c r="K77" s="4">
        <f t="shared" si="84"/>
        <v>6.2962962962962967</v>
      </c>
      <c r="L77" s="4"/>
      <c r="M77" s="360">
        <f t="shared" si="85"/>
        <v>0.83540131510976467</v>
      </c>
      <c r="N77" s="4">
        <f t="shared" si="86"/>
        <v>1.3752933383547017</v>
      </c>
      <c r="O77" s="4">
        <f t="shared" si="116"/>
        <v>7.4876466691773507</v>
      </c>
      <c r="P77" s="4">
        <f t="shared" si="117"/>
        <v>6.112353330822649</v>
      </c>
      <c r="Q77" s="4">
        <f t="shared" si="87"/>
        <v>0</v>
      </c>
      <c r="R77" s="4">
        <f t="shared" si="88"/>
        <v>6.8115797957505348</v>
      </c>
      <c r="S77" s="360">
        <f t="shared" si="89"/>
        <v>0.55677143176652277</v>
      </c>
      <c r="T77" s="360">
        <f t="shared" si="90"/>
        <v>0.3</v>
      </c>
      <c r="U77" s="360" t="e">
        <f t="shared" si="91"/>
        <v>#VALUE!</v>
      </c>
      <c r="V77" s="4">
        <f t="shared" si="118"/>
        <v>0.39701298955689307</v>
      </c>
      <c r="W77" s="360">
        <f t="shared" si="92"/>
        <v>3.1523862775380333E-4</v>
      </c>
      <c r="X77" s="360">
        <f t="shared" si="119"/>
        <v>3.1523862775380333E-4</v>
      </c>
      <c r="Y77" s="4">
        <f t="shared" si="93"/>
        <v>2.5258561092122562</v>
      </c>
      <c r="Z77" s="360">
        <f t="shared" si="120"/>
        <v>6.3799490844448775E-3</v>
      </c>
      <c r="AA77" s="541">
        <f t="shared" si="121"/>
        <v>6.3799490844448775E-3</v>
      </c>
      <c r="AB77" s="360">
        <f t="shared" si="94"/>
        <v>6.225803738697115</v>
      </c>
      <c r="AC77" s="360">
        <f t="shared" si="95"/>
        <v>0.23256379315664988</v>
      </c>
      <c r="AD77" s="360">
        <f t="shared" si="96"/>
        <v>0.44386871560175956</v>
      </c>
      <c r="AE77" s="360">
        <f t="shared" si="97"/>
        <v>-0.52595999999999998</v>
      </c>
      <c r="AF77" s="360">
        <f t="shared" si="98"/>
        <v>0</v>
      </c>
      <c r="AG77" s="360" t="e">
        <f t="shared" si="99"/>
        <v>#VALUE!</v>
      </c>
      <c r="AH77" s="360">
        <f t="shared" si="100"/>
        <v>2.7635099278095456</v>
      </c>
      <c r="AI77" s="360">
        <f t="shared" si="101"/>
        <v>1.9092467802754802E-2</v>
      </c>
      <c r="AJ77" s="360">
        <f t="shared" si="102"/>
        <v>7.9967999999999984E-2</v>
      </c>
      <c r="AK77" s="360" t="e">
        <f t="shared" si="103"/>
        <v>#VALUE!</v>
      </c>
      <c r="AL77" s="360">
        <f t="shared" si="104"/>
        <v>7.9967999999999984E-2</v>
      </c>
      <c r="AM77" s="360">
        <f t="shared" si="105"/>
        <v>1.4687999999999999</v>
      </c>
      <c r="AN77" s="360">
        <f t="shared" si="106"/>
        <v>0.23198809656938449</v>
      </c>
      <c r="AO77" s="360">
        <f t="shared" si="107"/>
        <v>2.0999999999999999E-3</v>
      </c>
      <c r="AP77" s="360">
        <f t="shared" si="108"/>
        <v>9.8999999999999991E-2</v>
      </c>
      <c r="AQ77" s="360">
        <f t="shared" si="109"/>
        <v>1.1483999999999999</v>
      </c>
      <c r="AR77" s="360">
        <f t="shared" si="110"/>
        <v>1.089</v>
      </c>
      <c r="AS77" s="360">
        <f t="shared" si="129"/>
        <v>0.1011</v>
      </c>
      <c r="AT77" s="360" t="e">
        <f t="shared" si="122"/>
        <v>#VALUE!</v>
      </c>
      <c r="AU77">
        <f t="shared" si="111"/>
        <v>340</v>
      </c>
      <c r="AV77" s="542" t="e">
        <f t="shared" si="123"/>
        <v>#VALUE!</v>
      </c>
      <c r="AW77" s="551" t="e">
        <f t="shared" si="112"/>
        <v>#VALUE!</v>
      </c>
      <c r="AX77" s="551" t="e">
        <f t="shared" si="113"/>
        <v>#VALUE!</v>
      </c>
      <c r="AY77" s="9"/>
      <c r="AZ77" s="4" t="e">
        <f t="shared" si="124"/>
        <v>#VALUE!</v>
      </c>
      <c r="BA77" s="360" t="e">
        <f t="shared" si="114"/>
        <v>#VALUE!</v>
      </c>
      <c r="BB77" s="360" t="e">
        <f t="shared" si="125"/>
        <v>#VALUE!</v>
      </c>
      <c r="BC77" s="360" t="e">
        <f t="shared" si="126"/>
        <v>#VALUE!</v>
      </c>
      <c r="BD77" s="360" t="e">
        <f t="shared" si="127"/>
        <v>#VALUE!</v>
      </c>
      <c r="BE77" s="360">
        <f t="shared" si="128"/>
        <v>0.23198809656938449</v>
      </c>
      <c r="BK77" s="18"/>
      <c r="BL77" s="19"/>
    </row>
    <row r="78" spans="1:64" x14ac:dyDescent="0.2">
      <c r="A78" s="34" t="s">
        <v>211</v>
      </c>
      <c r="B78" s="605">
        <f>Qrr_Q4*Fsw</f>
        <v>3.5999999999999997E-2</v>
      </c>
      <c r="C78" s="21" t="s">
        <v>1</v>
      </c>
      <c r="G78">
        <v>69</v>
      </c>
      <c r="H78" s="548">
        <f t="shared" si="82"/>
        <v>60</v>
      </c>
      <c r="I78" s="4">
        <f t="shared" si="83"/>
        <v>1</v>
      </c>
      <c r="J78" s="360">
        <f t="shared" si="115"/>
        <v>6.9</v>
      </c>
      <c r="K78" s="4">
        <f t="shared" si="84"/>
        <v>6.3888888888888893</v>
      </c>
      <c r="L78" s="4"/>
      <c r="M78" s="360">
        <f t="shared" si="85"/>
        <v>0.83543172136139843</v>
      </c>
      <c r="N78" s="4">
        <f t="shared" si="86"/>
        <v>1.3750927656368162</v>
      </c>
      <c r="O78" s="4">
        <f t="shared" si="116"/>
        <v>7.5875463828184087</v>
      </c>
      <c r="P78" s="4">
        <f t="shared" si="117"/>
        <v>6.2124536171815921</v>
      </c>
      <c r="Q78" s="4">
        <f t="shared" si="87"/>
        <v>0</v>
      </c>
      <c r="R78" s="4">
        <f t="shared" si="88"/>
        <v>6.9114089260325375</v>
      </c>
      <c r="S78" s="360">
        <f t="shared" si="89"/>
        <v>0.57321088011410681</v>
      </c>
      <c r="T78" s="360">
        <f t="shared" si="90"/>
        <v>0.3</v>
      </c>
      <c r="U78" s="360" t="e">
        <f t="shared" si="91"/>
        <v>#VALUE!</v>
      </c>
      <c r="V78" s="4">
        <f t="shared" si="118"/>
        <v>0.39695508920056138</v>
      </c>
      <c r="W78" s="360">
        <f t="shared" si="92"/>
        <v>3.1514668568445131E-4</v>
      </c>
      <c r="X78" s="360">
        <f t="shared" si="119"/>
        <v>3.1514668568445131E-4</v>
      </c>
      <c r="Y78" s="4">
        <f t="shared" si="93"/>
        <v>2.5626844490550051</v>
      </c>
      <c r="Z78" s="360">
        <f t="shared" si="120"/>
        <v>6.567351585428355E-3</v>
      </c>
      <c r="AA78" s="541">
        <f t="shared" si="121"/>
        <v>6.567351585428355E-3</v>
      </c>
      <c r="AB78" s="360">
        <f t="shared" si="94"/>
        <v>6.3171628143548375</v>
      </c>
      <c r="AC78" s="360">
        <f t="shared" si="95"/>
        <v>0.23943927613840521</v>
      </c>
      <c r="AD78" s="360">
        <f t="shared" si="96"/>
        <v>0.45039619671355013</v>
      </c>
      <c r="AE78" s="360">
        <f t="shared" si="97"/>
        <v>-0.52595999999999998</v>
      </c>
      <c r="AF78" s="360">
        <f t="shared" si="98"/>
        <v>0</v>
      </c>
      <c r="AG78" s="360" t="e">
        <f t="shared" si="99"/>
        <v>#VALUE!</v>
      </c>
      <c r="AH78" s="360">
        <f t="shared" si="100"/>
        <v>2.8037523642031403</v>
      </c>
      <c r="AI78" s="360">
        <f t="shared" si="101"/>
        <v>1.9652568299436748E-2</v>
      </c>
      <c r="AJ78" s="360">
        <f t="shared" si="102"/>
        <v>8.1143999999999994E-2</v>
      </c>
      <c r="AK78" s="360" t="e">
        <f t="shared" si="103"/>
        <v>#VALUE!</v>
      </c>
      <c r="AL78" s="360">
        <f t="shared" si="104"/>
        <v>8.1143999999999994E-2</v>
      </c>
      <c r="AM78" s="360">
        <f t="shared" si="105"/>
        <v>1.4904000000000002</v>
      </c>
      <c r="AN78" s="360">
        <f t="shared" si="106"/>
        <v>0.23883786671421117</v>
      </c>
      <c r="AO78" s="360">
        <f t="shared" si="107"/>
        <v>2.0999999999999999E-3</v>
      </c>
      <c r="AP78" s="360">
        <f t="shared" si="108"/>
        <v>9.8999999999999991E-2</v>
      </c>
      <c r="AQ78" s="360">
        <f t="shared" si="109"/>
        <v>1.1483999999999999</v>
      </c>
      <c r="AR78" s="360">
        <f t="shared" si="110"/>
        <v>1.089</v>
      </c>
      <c r="AS78" s="360">
        <f t="shared" si="129"/>
        <v>0.1011</v>
      </c>
      <c r="AT78" s="360" t="e">
        <f t="shared" si="122"/>
        <v>#VALUE!</v>
      </c>
      <c r="AU78">
        <f t="shared" si="111"/>
        <v>345</v>
      </c>
      <c r="AV78" s="542" t="e">
        <f t="shared" si="123"/>
        <v>#VALUE!</v>
      </c>
      <c r="AW78" s="551" t="e">
        <f t="shared" si="112"/>
        <v>#VALUE!</v>
      </c>
      <c r="AX78" s="551" t="e">
        <f t="shared" si="113"/>
        <v>#VALUE!</v>
      </c>
      <c r="AY78" s="9"/>
      <c r="AZ78" s="4" t="e">
        <f t="shared" si="124"/>
        <v>#VALUE!</v>
      </c>
      <c r="BA78" s="360" t="e">
        <f t="shared" si="114"/>
        <v>#VALUE!</v>
      </c>
      <c r="BB78" s="360" t="e">
        <f t="shared" si="125"/>
        <v>#VALUE!</v>
      </c>
      <c r="BC78" s="360" t="e">
        <f t="shared" si="126"/>
        <v>#VALUE!</v>
      </c>
      <c r="BD78" s="360" t="e">
        <f t="shared" si="127"/>
        <v>#VALUE!</v>
      </c>
      <c r="BE78" s="360">
        <f t="shared" si="128"/>
        <v>0.23883786671421117</v>
      </c>
      <c r="BK78" s="18"/>
      <c r="BL78" s="19"/>
    </row>
    <row r="79" spans="1:64" x14ac:dyDescent="0.2">
      <c r="A79" s="34" t="s">
        <v>212</v>
      </c>
      <c r="B79" s="605">
        <f>Deadtime*Fsw*(Iripple2_Vinnom/2)*(Vsd_Q4)/Vin</f>
        <v>6.8230086039411587E-5</v>
      </c>
      <c r="C79" s="21"/>
      <c r="G79">
        <v>70</v>
      </c>
      <c r="H79" s="548">
        <f t="shared" si="82"/>
        <v>60</v>
      </c>
      <c r="I79" s="4">
        <f t="shared" si="83"/>
        <v>1</v>
      </c>
      <c r="J79" s="360">
        <f t="shared" si="115"/>
        <v>7</v>
      </c>
      <c r="K79" s="4">
        <f t="shared" si="84"/>
        <v>6.4814814814814818</v>
      </c>
      <c r="L79" s="4"/>
      <c r="M79" s="360">
        <f t="shared" si="85"/>
        <v>0.83546212746102766</v>
      </c>
      <c r="N79" s="4">
        <f t="shared" si="86"/>
        <v>1.3748921744250313</v>
      </c>
      <c r="O79" s="4">
        <f t="shared" si="116"/>
        <v>7.6874460872125159</v>
      </c>
      <c r="P79" s="4">
        <f t="shared" si="117"/>
        <v>6.3125539127874841</v>
      </c>
      <c r="Q79" s="4">
        <f t="shared" si="87"/>
        <v>0</v>
      </c>
      <c r="R79" s="4">
        <f t="shared" si="88"/>
        <v>7.0112429264913221</v>
      </c>
      <c r="S79" s="360">
        <f t="shared" si="89"/>
        <v>0.58989032849129519</v>
      </c>
      <c r="T79" s="360">
        <f t="shared" si="90"/>
        <v>0.3</v>
      </c>
      <c r="U79" s="360" t="e">
        <f t="shared" si="91"/>
        <v>#VALUE!</v>
      </c>
      <c r="V79" s="4">
        <f t="shared" si="118"/>
        <v>0.39689718350550091</v>
      </c>
      <c r="W79" s="360">
        <f t="shared" si="92"/>
        <v>3.1505474854919853E-4</v>
      </c>
      <c r="X79" s="360">
        <f t="shared" si="119"/>
        <v>3.1505474854919853E-4</v>
      </c>
      <c r="Y79" s="4">
        <f t="shared" si="93"/>
        <v>2.5995090722672041</v>
      </c>
      <c r="Z79" s="360">
        <f t="shared" si="120"/>
        <v>6.7574474167995001E-3</v>
      </c>
      <c r="AA79" s="541">
        <f t="shared" si="121"/>
        <v>6.7574474167995001E-3</v>
      </c>
      <c r="AB79" s="360">
        <f t="shared" si="94"/>
        <v>6.4085296598233175</v>
      </c>
      <c r="AC79" s="360">
        <f t="shared" si="95"/>
        <v>0.24641551440501103</v>
      </c>
      <c r="AD79" s="360">
        <f t="shared" si="96"/>
        <v>0.45692367782534077</v>
      </c>
      <c r="AE79" s="360">
        <f t="shared" si="97"/>
        <v>-0.52595999999999998</v>
      </c>
      <c r="AF79" s="360">
        <f t="shared" si="98"/>
        <v>0</v>
      </c>
      <c r="AG79" s="360" t="e">
        <f t="shared" si="99"/>
        <v>#VALUE!</v>
      </c>
      <c r="AH79" s="360">
        <f t="shared" si="100"/>
        <v>2.8439892709782573</v>
      </c>
      <c r="AI79" s="360">
        <f t="shared" si="101"/>
        <v>2.0220687433598599E-2</v>
      </c>
      <c r="AJ79" s="360">
        <f t="shared" si="102"/>
        <v>8.231999999999999E-2</v>
      </c>
      <c r="AK79" s="360" t="e">
        <f t="shared" si="103"/>
        <v>#VALUE!</v>
      </c>
      <c r="AL79" s="360">
        <f t="shared" si="104"/>
        <v>8.231999999999999E-2</v>
      </c>
      <c r="AM79" s="360">
        <f t="shared" si="105"/>
        <v>1.5119999999999998</v>
      </c>
      <c r="AN79" s="360">
        <f t="shared" si="106"/>
        <v>0.24578763687137301</v>
      </c>
      <c r="AO79" s="360">
        <f t="shared" si="107"/>
        <v>2.0999999999999999E-3</v>
      </c>
      <c r="AP79" s="360">
        <f t="shared" si="108"/>
        <v>9.8999999999999991E-2</v>
      </c>
      <c r="AQ79" s="360">
        <f t="shared" si="109"/>
        <v>1.1483999999999999</v>
      </c>
      <c r="AR79" s="360">
        <f t="shared" si="110"/>
        <v>1.089</v>
      </c>
      <c r="AS79" s="360">
        <f t="shared" si="129"/>
        <v>0.1011</v>
      </c>
      <c r="AT79" s="360" t="e">
        <f t="shared" si="122"/>
        <v>#VALUE!</v>
      </c>
      <c r="AU79">
        <f t="shared" si="111"/>
        <v>350</v>
      </c>
      <c r="AV79" s="542" t="e">
        <f t="shared" si="123"/>
        <v>#VALUE!</v>
      </c>
      <c r="AW79" s="551" t="e">
        <f t="shared" si="112"/>
        <v>#VALUE!</v>
      </c>
      <c r="AX79" s="551" t="e">
        <f t="shared" si="113"/>
        <v>#VALUE!</v>
      </c>
      <c r="AY79" s="9"/>
      <c r="AZ79" s="4" t="e">
        <f t="shared" si="124"/>
        <v>#VALUE!</v>
      </c>
      <c r="BA79" s="360" t="e">
        <f t="shared" si="114"/>
        <v>#VALUE!</v>
      </c>
      <c r="BB79" s="360" t="e">
        <f t="shared" si="125"/>
        <v>#VALUE!</v>
      </c>
      <c r="BC79" s="360" t="e">
        <f t="shared" si="126"/>
        <v>#VALUE!</v>
      </c>
      <c r="BD79" s="360" t="e">
        <f t="shared" si="127"/>
        <v>#VALUE!</v>
      </c>
      <c r="BE79" s="360">
        <f t="shared" si="128"/>
        <v>0.24578763687137301</v>
      </c>
      <c r="BK79" s="18"/>
      <c r="BL79" s="19"/>
    </row>
    <row r="80" spans="1:64" x14ac:dyDescent="0.2">
      <c r="A80" s="34" t="s">
        <v>45</v>
      </c>
      <c r="B80" s="605">
        <f>SUM(B77:B79)</f>
        <v>5.590323008603941E-2</v>
      </c>
      <c r="C80" s="21" t="s">
        <v>1</v>
      </c>
      <c r="G80">
        <v>71</v>
      </c>
      <c r="H80" s="548">
        <f t="shared" si="82"/>
        <v>60</v>
      </c>
      <c r="I80" s="4">
        <f t="shared" si="83"/>
        <v>1</v>
      </c>
      <c r="J80" s="360">
        <f t="shared" si="115"/>
        <v>7.1</v>
      </c>
      <c r="K80" s="4">
        <f t="shared" si="84"/>
        <v>6.5740740740740744</v>
      </c>
      <c r="L80" s="4"/>
      <c r="M80" s="360">
        <f t="shared" si="85"/>
        <v>0.83549253340865326</v>
      </c>
      <c r="N80" s="4">
        <f t="shared" si="86"/>
        <v>1.3746915647194839</v>
      </c>
      <c r="O80" s="4">
        <f t="shared" si="116"/>
        <v>7.7873457823597416</v>
      </c>
      <c r="P80" s="4">
        <f t="shared" si="117"/>
        <v>6.4126542176402577</v>
      </c>
      <c r="Q80" s="4">
        <f t="shared" si="87"/>
        <v>0</v>
      </c>
      <c r="R80" s="4">
        <f t="shared" si="88"/>
        <v>7.1110815920066557</v>
      </c>
      <c r="S80" s="360">
        <f t="shared" si="89"/>
        <v>0.606809776898111</v>
      </c>
      <c r="T80" s="360">
        <f t="shared" si="90"/>
        <v>0.3</v>
      </c>
      <c r="U80" s="360" t="e">
        <f t="shared" si="91"/>
        <v>#VALUE!</v>
      </c>
      <c r="V80" s="4">
        <f t="shared" si="118"/>
        <v>0.39683927247175099</v>
      </c>
      <c r="W80" s="360">
        <f t="shared" si="92"/>
        <v>3.1496281635181727E-4</v>
      </c>
      <c r="X80" s="360">
        <f t="shared" si="119"/>
        <v>3.1496281635181727E-4</v>
      </c>
      <c r="Y80" s="4">
        <f t="shared" si="93"/>
        <v>2.6363299010781507</v>
      </c>
      <c r="Z80" s="360">
        <f t="shared" si="120"/>
        <v>6.9502353473187327E-3</v>
      </c>
      <c r="AA80" s="541">
        <f t="shared" si="121"/>
        <v>6.9502353473187327E-3</v>
      </c>
      <c r="AB80" s="360">
        <f t="shared" si="94"/>
        <v>6.4999040877394387</v>
      </c>
      <c r="AC80" s="360">
        <f t="shared" si="95"/>
        <v>0.2534925188988712</v>
      </c>
      <c r="AD80" s="360">
        <f t="shared" si="96"/>
        <v>0.46345115893713135</v>
      </c>
      <c r="AE80" s="360">
        <f t="shared" si="97"/>
        <v>-0.52595999999999998</v>
      </c>
      <c r="AF80" s="360">
        <f t="shared" si="98"/>
        <v>0</v>
      </c>
      <c r="AG80" s="360" t="e">
        <f t="shared" si="99"/>
        <v>#VALUE!</v>
      </c>
      <c r="AH80" s="360">
        <f t="shared" si="100"/>
        <v>2.8842205634042704</v>
      </c>
      <c r="AI80" s="360">
        <f t="shared" si="101"/>
        <v>2.0796820645910118E-2</v>
      </c>
      <c r="AJ80" s="360">
        <f t="shared" si="102"/>
        <v>8.3495999999999987E-2</v>
      </c>
      <c r="AK80" s="360" t="e">
        <f t="shared" si="103"/>
        <v>#VALUE!</v>
      </c>
      <c r="AL80" s="360">
        <f t="shared" si="104"/>
        <v>8.3495999999999987E-2</v>
      </c>
      <c r="AM80" s="360">
        <f t="shared" si="105"/>
        <v>1.5335999999999999</v>
      </c>
      <c r="AN80" s="360">
        <f t="shared" si="106"/>
        <v>0.25283740704087959</v>
      </c>
      <c r="AO80" s="360">
        <f t="shared" si="107"/>
        <v>2.0999999999999999E-3</v>
      </c>
      <c r="AP80" s="360">
        <f t="shared" si="108"/>
        <v>9.8999999999999991E-2</v>
      </c>
      <c r="AQ80" s="360">
        <f t="shared" si="109"/>
        <v>1.1483999999999999</v>
      </c>
      <c r="AR80" s="360">
        <f t="shared" si="110"/>
        <v>1.089</v>
      </c>
      <c r="AS80" s="360">
        <f t="shared" si="129"/>
        <v>0.1011</v>
      </c>
      <c r="AT80" s="360" t="e">
        <f t="shared" si="122"/>
        <v>#VALUE!</v>
      </c>
      <c r="AU80">
        <f t="shared" si="111"/>
        <v>355</v>
      </c>
      <c r="AV80" s="542" t="e">
        <f t="shared" si="123"/>
        <v>#VALUE!</v>
      </c>
      <c r="AW80" s="551" t="e">
        <f t="shared" si="112"/>
        <v>#VALUE!</v>
      </c>
      <c r="AX80" s="551" t="e">
        <f t="shared" si="113"/>
        <v>#VALUE!</v>
      </c>
      <c r="AY80" s="9"/>
      <c r="AZ80" s="4" t="e">
        <f t="shared" si="124"/>
        <v>#VALUE!</v>
      </c>
      <c r="BA80" s="360" t="e">
        <f t="shared" si="114"/>
        <v>#VALUE!</v>
      </c>
      <c r="BB80" s="360" t="e">
        <f t="shared" si="125"/>
        <v>#VALUE!</v>
      </c>
      <c r="BC80" s="360" t="e">
        <f t="shared" si="126"/>
        <v>#VALUE!</v>
      </c>
      <c r="BD80" s="360" t="e">
        <f t="shared" si="127"/>
        <v>#VALUE!</v>
      </c>
      <c r="BE80" s="360">
        <f t="shared" si="128"/>
        <v>0.25283740704087959</v>
      </c>
      <c r="BK80" s="18"/>
      <c r="BL80" s="19"/>
    </row>
    <row r="81" spans="1:64" x14ac:dyDescent="0.2">
      <c r="A81" s="2"/>
      <c r="G81">
        <v>72</v>
      </c>
      <c r="H81" s="548">
        <f t="shared" si="82"/>
        <v>60</v>
      </c>
      <c r="I81" s="4">
        <f t="shared" si="83"/>
        <v>1</v>
      </c>
      <c r="J81" s="360">
        <f t="shared" si="115"/>
        <v>7.2</v>
      </c>
      <c r="K81" s="4">
        <f t="shared" si="84"/>
        <v>6.666666666666667</v>
      </c>
      <c r="L81" s="4"/>
      <c r="M81" s="360">
        <f t="shared" si="85"/>
        <v>0.83552293920427656</v>
      </c>
      <c r="N81" s="4">
        <f t="shared" si="86"/>
        <v>1.3744909365203144</v>
      </c>
      <c r="O81" s="4">
        <f t="shared" si="116"/>
        <v>7.8872454682601578</v>
      </c>
      <c r="P81" s="4">
        <f t="shared" si="117"/>
        <v>6.5127545317398425</v>
      </c>
      <c r="Q81" s="4">
        <f t="shared" si="87"/>
        <v>0</v>
      </c>
      <c r="R81" s="4">
        <f t="shared" si="88"/>
        <v>7.2109247288089238</v>
      </c>
      <c r="S81" s="360">
        <f t="shared" si="89"/>
        <v>0.62396922533457666</v>
      </c>
      <c r="T81" s="360">
        <f t="shared" si="90"/>
        <v>0.3</v>
      </c>
      <c r="U81" s="360" t="e">
        <f t="shared" si="91"/>
        <v>#VALUE!</v>
      </c>
      <c r="V81" s="4">
        <f t="shared" si="118"/>
        <v>0.39678135609935217</v>
      </c>
      <c r="W81" s="360">
        <f t="shared" si="92"/>
        <v>3.1487088909608178E-4</v>
      </c>
      <c r="X81" s="360">
        <f t="shared" si="119"/>
        <v>3.1487088909608178E-4</v>
      </c>
      <c r="Y81" s="4">
        <f t="shared" si="93"/>
        <v>2.6731468619469734</v>
      </c>
      <c r="Z81" s="360">
        <f t="shared" si="120"/>
        <v>7.1457141455369515E-3</v>
      </c>
      <c r="AA81" s="541">
        <f t="shared" si="121"/>
        <v>7.1457141455369515E-3</v>
      </c>
      <c r="AB81" s="360">
        <f t="shared" si="94"/>
        <v>6.5912859211016954</v>
      </c>
      <c r="AC81" s="360">
        <f t="shared" si="95"/>
        <v>0.26067030056228058</v>
      </c>
      <c r="AD81" s="360">
        <f t="shared" si="96"/>
        <v>0.46997864004892193</v>
      </c>
      <c r="AE81" s="360">
        <f t="shared" si="97"/>
        <v>-0.52595999999999998</v>
      </c>
      <c r="AF81" s="360">
        <f t="shared" si="98"/>
        <v>0</v>
      </c>
      <c r="AG81" s="360" t="e">
        <f t="shared" si="99"/>
        <v>#VALUE!</v>
      </c>
      <c r="AH81" s="360">
        <f t="shared" si="100"/>
        <v>2.9244461613841746</v>
      </c>
      <c r="AI81" s="360">
        <f t="shared" si="101"/>
        <v>2.1380963377086584E-2</v>
      </c>
      <c r="AJ81" s="360">
        <f t="shared" si="102"/>
        <v>8.4671999999999983E-2</v>
      </c>
      <c r="AK81" s="360" t="e">
        <f t="shared" si="103"/>
        <v>#VALUE!</v>
      </c>
      <c r="AL81" s="360">
        <f t="shared" si="104"/>
        <v>8.4671999999999983E-2</v>
      </c>
      <c r="AM81" s="360">
        <f t="shared" si="105"/>
        <v>1.5551999999999999</v>
      </c>
      <c r="AN81" s="360">
        <f t="shared" si="106"/>
        <v>0.25998717722274028</v>
      </c>
      <c r="AO81" s="360">
        <f t="shared" si="107"/>
        <v>2.0999999999999999E-3</v>
      </c>
      <c r="AP81" s="360">
        <f t="shared" si="108"/>
        <v>9.8999999999999991E-2</v>
      </c>
      <c r="AQ81" s="360">
        <f t="shared" si="109"/>
        <v>1.1483999999999999</v>
      </c>
      <c r="AR81" s="360">
        <f t="shared" si="110"/>
        <v>1.089</v>
      </c>
      <c r="AS81" s="360">
        <f t="shared" si="129"/>
        <v>0.1011</v>
      </c>
      <c r="AT81" s="360" t="e">
        <f t="shared" si="122"/>
        <v>#VALUE!</v>
      </c>
      <c r="AU81">
        <f t="shared" si="111"/>
        <v>360</v>
      </c>
      <c r="AV81" s="542" t="e">
        <f t="shared" si="123"/>
        <v>#VALUE!</v>
      </c>
      <c r="AW81" s="551" t="e">
        <f t="shared" si="112"/>
        <v>#VALUE!</v>
      </c>
      <c r="AX81" s="551" t="e">
        <f t="shared" si="113"/>
        <v>#VALUE!</v>
      </c>
      <c r="AY81" s="9"/>
      <c r="AZ81" s="4" t="e">
        <f t="shared" si="124"/>
        <v>#VALUE!</v>
      </c>
      <c r="BA81" s="360" t="e">
        <f t="shared" si="114"/>
        <v>#VALUE!</v>
      </c>
      <c r="BB81" s="360" t="e">
        <f t="shared" si="125"/>
        <v>#VALUE!</v>
      </c>
      <c r="BC81" s="360" t="e">
        <f t="shared" si="126"/>
        <v>#VALUE!</v>
      </c>
      <c r="BD81" s="360" t="e">
        <f t="shared" si="127"/>
        <v>#VALUE!</v>
      </c>
      <c r="BE81" s="360">
        <f t="shared" si="128"/>
        <v>0.25998717722274028</v>
      </c>
      <c r="BK81" s="18"/>
      <c r="BL81" s="19"/>
    </row>
    <row r="82" spans="1:64" x14ac:dyDescent="0.2">
      <c r="A82" s="2"/>
      <c r="G82">
        <v>73</v>
      </c>
      <c r="H82" s="548">
        <f t="shared" si="82"/>
        <v>60</v>
      </c>
      <c r="I82" s="4">
        <f t="shared" si="83"/>
        <v>1</v>
      </c>
      <c r="J82" s="360">
        <f t="shared" si="115"/>
        <v>7.3</v>
      </c>
      <c r="K82" s="4">
        <f t="shared" si="84"/>
        <v>6.7592592592592595</v>
      </c>
      <c r="L82" s="4"/>
      <c r="M82" s="360">
        <f t="shared" si="85"/>
        <v>0.83555334484789856</v>
      </c>
      <c r="N82" s="4">
        <f t="shared" si="86"/>
        <v>1.3742902898276617</v>
      </c>
      <c r="O82" s="4">
        <f t="shared" si="116"/>
        <v>7.9871451449138302</v>
      </c>
      <c r="P82" s="4">
        <f t="shared" si="117"/>
        <v>6.6128548550861694</v>
      </c>
      <c r="Q82" s="4">
        <f t="shared" si="87"/>
        <v>0</v>
      </c>
      <c r="R82" s="4">
        <f t="shared" si="88"/>
        <v>7.3107721537053036</v>
      </c>
      <c r="S82" s="360">
        <f t="shared" si="89"/>
        <v>0.64136867380071461</v>
      </c>
      <c r="T82" s="360">
        <f t="shared" si="90"/>
        <v>0.3</v>
      </c>
      <c r="U82" s="360" t="e">
        <f t="shared" si="91"/>
        <v>#VALUE!</v>
      </c>
      <c r="V82" s="4">
        <f t="shared" si="118"/>
        <v>0.39672343438834468</v>
      </c>
      <c r="W82" s="360">
        <f t="shared" si="92"/>
        <v>3.1477896678576645E-4</v>
      </c>
      <c r="X82" s="360">
        <f t="shared" si="119"/>
        <v>3.1477896678576645E-4</v>
      </c>
      <c r="Y82" s="4">
        <f t="shared" si="93"/>
        <v>2.7099598852742424</v>
      </c>
      <c r="Z82" s="360">
        <f t="shared" si="120"/>
        <v>7.3438825797955852E-3</v>
      </c>
      <c r="AA82" s="541">
        <f t="shared" si="121"/>
        <v>7.3438825797955852E-3</v>
      </c>
      <c r="AB82" s="360">
        <f t="shared" si="94"/>
        <v>6.6826749925637801</v>
      </c>
      <c r="AC82" s="360">
        <f t="shared" si="95"/>
        <v>0.26794887033742393</v>
      </c>
      <c r="AD82" s="360">
        <f t="shared" si="96"/>
        <v>0.4765061211607125</v>
      </c>
      <c r="AE82" s="360">
        <f t="shared" si="97"/>
        <v>-0.52595999999999998</v>
      </c>
      <c r="AF82" s="360">
        <f t="shared" si="98"/>
        <v>0</v>
      </c>
      <c r="AG82" s="360" t="e">
        <f t="shared" si="99"/>
        <v>#VALUE!</v>
      </c>
      <c r="AH82" s="360">
        <f t="shared" si="100"/>
        <v>2.9646659891386689</v>
      </c>
      <c r="AI82" s="360">
        <f t="shared" si="101"/>
        <v>2.1973111067888906E-2</v>
      </c>
      <c r="AJ82" s="360">
        <f t="shared" si="102"/>
        <v>8.584799999999998E-2</v>
      </c>
      <c r="AK82" s="360" t="e">
        <f t="shared" si="103"/>
        <v>#VALUE!</v>
      </c>
      <c r="AL82" s="360">
        <f t="shared" si="104"/>
        <v>8.584799999999998E-2</v>
      </c>
      <c r="AM82" s="360">
        <f t="shared" si="105"/>
        <v>1.5768</v>
      </c>
      <c r="AN82" s="360">
        <f t="shared" si="106"/>
        <v>0.26723694741696441</v>
      </c>
      <c r="AO82" s="360">
        <f t="shared" si="107"/>
        <v>2.0999999999999999E-3</v>
      </c>
      <c r="AP82" s="360">
        <f t="shared" si="108"/>
        <v>9.8999999999999991E-2</v>
      </c>
      <c r="AQ82" s="360">
        <f t="shared" si="109"/>
        <v>1.1483999999999999</v>
      </c>
      <c r="AR82" s="360">
        <f t="shared" si="110"/>
        <v>1.089</v>
      </c>
      <c r="AS82" s="360">
        <f t="shared" si="129"/>
        <v>0.1011</v>
      </c>
      <c r="AT82" s="360" t="e">
        <f t="shared" si="122"/>
        <v>#VALUE!</v>
      </c>
      <c r="AU82">
        <f t="shared" si="111"/>
        <v>365</v>
      </c>
      <c r="AV82" s="542" t="e">
        <f t="shared" si="123"/>
        <v>#VALUE!</v>
      </c>
      <c r="AW82" s="551" t="e">
        <f t="shared" si="112"/>
        <v>#VALUE!</v>
      </c>
      <c r="AX82" s="551" t="e">
        <f t="shared" si="113"/>
        <v>#VALUE!</v>
      </c>
      <c r="AY82" s="9"/>
      <c r="AZ82" s="4" t="e">
        <f t="shared" si="124"/>
        <v>#VALUE!</v>
      </c>
      <c r="BA82" s="360" t="e">
        <f t="shared" si="114"/>
        <v>#VALUE!</v>
      </c>
      <c r="BB82" s="360" t="e">
        <f t="shared" si="125"/>
        <v>#VALUE!</v>
      </c>
      <c r="BC82" s="360" t="e">
        <f t="shared" si="126"/>
        <v>#VALUE!</v>
      </c>
      <c r="BD82" s="360" t="e">
        <f t="shared" si="127"/>
        <v>#VALUE!</v>
      </c>
      <c r="BE82" s="360">
        <f t="shared" si="128"/>
        <v>0.26723694741696441</v>
      </c>
      <c r="BK82" s="18"/>
      <c r="BL82" s="19"/>
    </row>
    <row r="83" spans="1:64" x14ac:dyDescent="0.2">
      <c r="A83" s="2"/>
      <c r="G83">
        <v>74</v>
      </c>
      <c r="H83" s="548">
        <f t="shared" si="82"/>
        <v>60</v>
      </c>
      <c r="I83" s="4">
        <f t="shared" si="83"/>
        <v>1</v>
      </c>
      <c r="J83" s="360">
        <f t="shared" si="115"/>
        <v>7.4</v>
      </c>
      <c r="K83" s="4">
        <f t="shared" si="84"/>
        <v>6.8518518518518521</v>
      </c>
      <c r="L83" s="4"/>
      <c r="M83" s="360">
        <f t="shared" si="85"/>
        <v>0.83558375033952059</v>
      </c>
      <c r="N83" s="4">
        <f t="shared" si="86"/>
        <v>1.3740896246416632</v>
      </c>
      <c r="O83" s="4">
        <f t="shared" si="116"/>
        <v>8.0870448123208316</v>
      </c>
      <c r="P83" s="4">
        <f t="shared" si="117"/>
        <v>6.7129551876791691</v>
      </c>
      <c r="Q83" s="4">
        <f t="shared" si="87"/>
        <v>0</v>
      </c>
      <c r="R83" s="4">
        <f t="shared" si="88"/>
        <v>7.4106236933683478</v>
      </c>
      <c r="S83" s="360">
        <f t="shared" si="89"/>
        <v>0.65900812229654793</v>
      </c>
      <c r="T83" s="360">
        <f t="shared" si="90"/>
        <v>0.3</v>
      </c>
      <c r="U83" s="360" t="e">
        <f t="shared" si="91"/>
        <v>#VALUE!</v>
      </c>
      <c r="V83" s="4">
        <f t="shared" si="118"/>
        <v>0.39666550733876804</v>
      </c>
      <c r="W83" s="360">
        <f t="shared" si="92"/>
        <v>3.1468704942464446E-4</v>
      </c>
      <c r="X83" s="360">
        <f t="shared" si="119"/>
        <v>3.1468704942464446E-4</v>
      </c>
      <c r="Y83" s="4">
        <f t="shared" si="93"/>
        <v>2.7467689051368249</v>
      </c>
      <c r="Z83" s="360">
        <f t="shared" si="120"/>
        <v>7.5447394182265523E-3</v>
      </c>
      <c r="AA83" s="541">
        <f t="shared" si="121"/>
        <v>7.5447394182265523E-3</v>
      </c>
      <c r="AB83" s="360">
        <f t="shared" si="94"/>
        <v>6.7740711437851697</v>
      </c>
      <c r="AC83" s="360">
        <f t="shared" si="95"/>
        <v>0.2753282391663775</v>
      </c>
      <c r="AD83" s="360">
        <f t="shared" si="96"/>
        <v>0.48303360227250308</v>
      </c>
      <c r="AE83" s="360">
        <f t="shared" si="97"/>
        <v>-0.52595999999999998</v>
      </c>
      <c r="AF83" s="360">
        <f t="shared" si="98"/>
        <v>0</v>
      </c>
      <c r="AG83" s="360" t="e">
        <f t="shared" si="99"/>
        <v>#VALUE!</v>
      </c>
      <c r="AH83" s="360">
        <f t="shared" si="100"/>
        <v>3.0048799749157062</v>
      </c>
      <c r="AI83" s="360">
        <f t="shared" si="101"/>
        <v>2.2573259159123539E-2</v>
      </c>
      <c r="AJ83" s="360">
        <f t="shared" si="102"/>
        <v>8.702399999999999E-2</v>
      </c>
      <c r="AK83" s="360" t="e">
        <f t="shared" si="103"/>
        <v>#VALUE!</v>
      </c>
      <c r="AL83" s="360">
        <f t="shared" si="104"/>
        <v>8.702399999999999E-2</v>
      </c>
      <c r="AM83" s="360">
        <f t="shared" si="105"/>
        <v>1.5984</v>
      </c>
      <c r="AN83" s="360">
        <f t="shared" si="106"/>
        <v>0.27458671762356163</v>
      </c>
      <c r="AO83" s="360">
        <f t="shared" si="107"/>
        <v>2.0999999999999999E-3</v>
      </c>
      <c r="AP83" s="360">
        <f t="shared" si="108"/>
        <v>9.8999999999999991E-2</v>
      </c>
      <c r="AQ83" s="360">
        <f t="shared" si="109"/>
        <v>1.1483999999999999</v>
      </c>
      <c r="AR83" s="360">
        <f t="shared" si="110"/>
        <v>1.089</v>
      </c>
      <c r="AS83" s="360">
        <f t="shared" si="129"/>
        <v>0.1011</v>
      </c>
      <c r="AT83" s="360" t="e">
        <f t="shared" si="122"/>
        <v>#VALUE!</v>
      </c>
      <c r="AU83">
        <f t="shared" si="111"/>
        <v>370</v>
      </c>
      <c r="AV83" s="542" t="e">
        <f t="shared" si="123"/>
        <v>#VALUE!</v>
      </c>
      <c r="AW83" s="551" t="e">
        <f t="shared" si="112"/>
        <v>#VALUE!</v>
      </c>
      <c r="AX83" s="551" t="e">
        <f t="shared" si="113"/>
        <v>#VALUE!</v>
      </c>
      <c r="AY83" s="9"/>
      <c r="AZ83" s="4" t="e">
        <f t="shared" si="124"/>
        <v>#VALUE!</v>
      </c>
      <c r="BA83" s="360" t="e">
        <f t="shared" si="114"/>
        <v>#VALUE!</v>
      </c>
      <c r="BB83" s="360" t="e">
        <f t="shared" si="125"/>
        <v>#VALUE!</v>
      </c>
      <c r="BC83" s="360" t="e">
        <f t="shared" si="126"/>
        <v>#VALUE!</v>
      </c>
      <c r="BD83" s="360" t="e">
        <f t="shared" si="127"/>
        <v>#VALUE!</v>
      </c>
      <c r="BE83" s="360">
        <f t="shared" si="128"/>
        <v>0.27458671762356163</v>
      </c>
      <c r="BK83" s="18"/>
      <c r="BL83" s="19"/>
    </row>
    <row r="84" spans="1:64" x14ac:dyDescent="0.2">
      <c r="G84">
        <v>75</v>
      </c>
      <c r="H84" s="548">
        <f t="shared" si="82"/>
        <v>60</v>
      </c>
      <c r="I84" s="4">
        <f t="shared" si="83"/>
        <v>1</v>
      </c>
      <c r="J84" s="360">
        <f t="shared" si="115"/>
        <v>7.5</v>
      </c>
      <c r="K84" s="4">
        <f t="shared" si="84"/>
        <v>6.9444444444444446</v>
      </c>
      <c r="L84" s="4"/>
      <c r="M84" s="360">
        <f t="shared" si="85"/>
        <v>0.83561415567914354</v>
      </c>
      <c r="N84" s="4">
        <f t="shared" si="86"/>
        <v>1.3738889409624586</v>
      </c>
      <c r="O84" s="4">
        <f t="shared" si="116"/>
        <v>8.1869444704812295</v>
      </c>
      <c r="P84" s="4">
        <f t="shared" si="117"/>
        <v>6.8130555295187705</v>
      </c>
      <c r="Q84" s="4">
        <f t="shared" si="87"/>
        <v>0</v>
      </c>
      <c r="R84" s="4">
        <f t="shared" si="88"/>
        <v>7.5104791836811753</v>
      </c>
      <c r="S84" s="360">
        <f t="shared" si="89"/>
        <v>0.67688757082209905</v>
      </c>
      <c r="T84" s="360">
        <f t="shared" si="90"/>
        <v>0.3</v>
      </c>
      <c r="U84" s="360" t="e">
        <f t="shared" si="91"/>
        <v>#VALUE!</v>
      </c>
      <c r="V84" s="4">
        <f t="shared" si="118"/>
        <v>0.39660757495066268</v>
      </c>
      <c r="W84" s="360">
        <f t="shared" si="92"/>
        <v>3.1459513701649101E-4</v>
      </c>
      <c r="X84" s="360">
        <f t="shared" si="119"/>
        <v>3.1459513701649101E-4</v>
      </c>
      <c r="Y84" s="4">
        <f t="shared" si="93"/>
        <v>2.7835738590438575</v>
      </c>
      <c r="Z84" s="360">
        <f t="shared" si="120"/>
        <v>7.7482834287523131E-3</v>
      </c>
      <c r="AA84" s="541">
        <f t="shared" si="121"/>
        <v>7.7482834287523131E-3</v>
      </c>
      <c r="AB84" s="360">
        <f t="shared" si="94"/>
        <v>6.8654742248333607</v>
      </c>
      <c r="AC84" s="360">
        <f t="shared" si="95"/>
        <v>0.2828084179911074</v>
      </c>
      <c r="AD84" s="360">
        <f t="shared" si="96"/>
        <v>0.48956108338429366</v>
      </c>
      <c r="AE84" s="360">
        <f t="shared" si="97"/>
        <v>-0.52595999999999998</v>
      </c>
      <c r="AF84" s="360">
        <f t="shared" si="98"/>
        <v>0</v>
      </c>
      <c r="AG84" s="360" t="e">
        <f t="shared" si="99"/>
        <v>#VALUE!</v>
      </c>
      <c r="AH84" s="360">
        <f t="shared" si="100"/>
        <v>3.0450880507231681</v>
      </c>
      <c r="AI84" s="360">
        <f t="shared" si="101"/>
        <v>2.3181403091642561E-2</v>
      </c>
      <c r="AJ84" s="360">
        <f t="shared" si="102"/>
        <v>8.8199999999999987E-2</v>
      </c>
      <c r="AK84" s="360" t="e">
        <f t="shared" si="103"/>
        <v>#VALUE!</v>
      </c>
      <c r="AL84" s="360">
        <f t="shared" si="104"/>
        <v>8.8199999999999987E-2</v>
      </c>
      <c r="AM84" s="360">
        <f t="shared" si="105"/>
        <v>1.6199999999999999</v>
      </c>
      <c r="AN84" s="360">
        <f t="shared" si="106"/>
        <v>0.28203648784254126</v>
      </c>
      <c r="AO84" s="360">
        <f t="shared" si="107"/>
        <v>2.0999999999999999E-3</v>
      </c>
      <c r="AP84" s="360">
        <f t="shared" si="108"/>
        <v>9.8999999999999991E-2</v>
      </c>
      <c r="AQ84" s="360">
        <f t="shared" si="109"/>
        <v>1.1483999999999999</v>
      </c>
      <c r="AR84" s="360">
        <f t="shared" si="110"/>
        <v>1.089</v>
      </c>
      <c r="AS84" s="360">
        <f t="shared" si="129"/>
        <v>0.1011</v>
      </c>
      <c r="AT84" s="360" t="e">
        <f t="shared" si="122"/>
        <v>#VALUE!</v>
      </c>
      <c r="AU84">
        <f t="shared" si="111"/>
        <v>375</v>
      </c>
      <c r="AV84" s="542" t="e">
        <f t="shared" si="123"/>
        <v>#VALUE!</v>
      </c>
      <c r="AW84" s="551" t="e">
        <f t="shared" si="112"/>
        <v>#VALUE!</v>
      </c>
      <c r="AX84" s="551" t="e">
        <f t="shared" si="113"/>
        <v>#VALUE!</v>
      </c>
      <c r="AY84" s="9"/>
      <c r="AZ84" s="4" t="e">
        <f t="shared" si="124"/>
        <v>#VALUE!</v>
      </c>
      <c r="BA84" s="360" t="e">
        <f t="shared" si="114"/>
        <v>#VALUE!</v>
      </c>
      <c r="BB84" s="360" t="e">
        <f t="shared" si="125"/>
        <v>#VALUE!</v>
      </c>
      <c r="BC84" s="360" t="e">
        <f t="shared" si="126"/>
        <v>#VALUE!</v>
      </c>
      <c r="BD84" s="360" t="e">
        <f t="shared" si="127"/>
        <v>#VALUE!</v>
      </c>
      <c r="BE84" s="360">
        <f t="shared" si="128"/>
        <v>0.28203648784254126</v>
      </c>
      <c r="BK84" s="18"/>
      <c r="BL84" s="19"/>
    </row>
    <row r="85" spans="1:64" x14ac:dyDescent="0.2">
      <c r="G85">
        <v>76</v>
      </c>
      <c r="H85" s="548">
        <f t="shared" si="82"/>
        <v>60</v>
      </c>
      <c r="I85" s="4">
        <f t="shared" si="83"/>
        <v>1</v>
      </c>
      <c r="J85" s="360">
        <f t="shared" si="115"/>
        <v>7.6</v>
      </c>
      <c r="K85" s="4">
        <f t="shared" si="84"/>
        <v>7.0370370370370372</v>
      </c>
      <c r="L85" s="4"/>
      <c r="M85" s="360">
        <f t="shared" si="85"/>
        <v>0.83564456086676864</v>
      </c>
      <c r="N85" s="4">
        <f t="shared" si="86"/>
        <v>1.3736882387901852</v>
      </c>
      <c r="O85" s="4">
        <f t="shared" si="116"/>
        <v>8.2868441193950915</v>
      </c>
      <c r="P85" s="4">
        <f t="shared" si="117"/>
        <v>6.9131558806049069</v>
      </c>
      <c r="Q85" s="4">
        <f t="shared" si="87"/>
        <v>0</v>
      </c>
      <c r="R85" s="4">
        <f t="shared" si="88"/>
        <v>7.6103384691341116</v>
      </c>
      <c r="S85" s="360">
        <f t="shared" si="89"/>
        <v>0.6950070193773904</v>
      </c>
      <c r="T85" s="360">
        <f t="shared" si="90"/>
        <v>0.3</v>
      </c>
      <c r="U85" s="360" t="e">
        <f t="shared" si="91"/>
        <v>#VALUE!</v>
      </c>
      <c r="V85" s="4">
        <f t="shared" si="118"/>
        <v>0.39654963722406822</v>
      </c>
      <c r="W85" s="360">
        <f t="shared" si="92"/>
        <v>3.1450322956508021E-4</v>
      </c>
      <c r="X85" s="360">
        <f t="shared" si="119"/>
        <v>3.1450322956508021E-4</v>
      </c>
      <c r="Y85" s="4">
        <f t="shared" si="93"/>
        <v>2.8203746877118716</v>
      </c>
      <c r="Z85" s="360">
        <f t="shared" si="120"/>
        <v>7.9545133790858372E-3</v>
      </c>
      <c r="AA85" s="541">
        <f t="shared" si="121"/>
        <v>7.9545133790858372E-3</v>
      </c>
      <c r="AB85" s="360">
        <f t="shared" si="94"/>
        <v>6.9568840936330893</v>
      </c>
      <c r="AC85" s="360">
        <f t="shared" si="95"/>
        <v>0.29038941775347055</v>
      </c>
      <c r="AD85" s="360">
        <f t="shared" si="96"/>
        <v>0.49608856449608424</v>
      </c>
      <c r="AE85" s="360">
        <f t="shared" si="97"/>
        <v>-0.52595999999999998</v>
      </c>
      <c r="AF85" s="360">
        <f t="shared" si="98"/>
        <v>0</v>
      </c>
      <c r="AG85" s="360" t="e">
        <f t="shared" si="99"/>
        <v>#VALUE!</v>
      </c>
      <c r="AH85" s="360">
        <f t="shared" si="100"/>
        <v>3.0852901520825293</v>
      </c>
      <c r="AI85" s="360">
        <f t="shared" si="101"/>
        <v>2.3797538306343593E-2</v>
      </c>
      <c r="AJ85" s="360">
        <f t="shared" si="102"/>
        <v>8.9375999999999983E-2</v>
      </c>
      <c r="AK85" s="360" t="e">
        <f t="shared" si="103"/>
        <v>#VALUE!</v>
      </c>
      <c r="AL85" s="360">
        <f t="shared" si="104"/>
        <v>8.9375999999999983E-2</v>
      </c>
      <c r="AM85" s="360">
        <f t="shared" si="105"/>
        <v>1.6415999999999999</v>
      </c>
      <c r="AN85" s="360">
        <f t="shared" si="106"/>
        <v>0.28958625807391269</v>
      </c>
      <c r="AO85" s="360">
        <f t="shared" si="107"/>
        <v>2.0999999999999999E-3</v>
      </c>
      <c r="AP85" s="360">
        <f t="shared" si="108"/>
        <v>9.8999999999999991E-2</v>
      </c>
      <c r="AQ85" s="360">
        <f t="shared" si="109"/>
        <v>1.1483999999999999</v>
      </c>
      <c r="AR85" s="360">
        <f t="shared" si="110"/>
        <v>1.089</v>
      </c>
      <c r="AS85" s="360">
        <f t="shared" si="129"/>
        <v>0.1011</v>
      </c>
      <c r="AT85" s="360" t="e">
        <f t="shared" si="122"/>
        <v>#VALUE!</v>
      </c>
      <c r="AU85">
        <f t="shared" si="111"/>
        <v>380</v>
      </c>
      <c r="AV85" s="542" t="e">
        <f t="shared" si="123"/>
        <v>#VALUE!</v>
      </c>
      <c r="AW85" s="551" t="e">
        <f t="shared" si="112"/>
        <v>#VALUE!</v>
      </c>
      <c r="AX85" s="551" t="e">
        <f t="shared" si="113"/>
        <v>#VALUE!</v>
      </c>
      <c r="AY85" s="9"/>
      <c r="AZ85" s="4" t="e">
        <f t="shared" si="124"/>
        <v>#VALUE!</v>
      </c>
      <c r="BA85" s="360" t="e">
        <f t="shared" si="114"/>
        <v>#VALUE!</v>
      </c>
      <c r="BB85" s="360" t="e">
        <f t="shared" si="125"/>
        <v>#VALUE!</v>
      </c>
      <c r="BC85" s="360" t="e">
        <f t="shared" si="126"/>
        <v>#VALUE!</v>
      </c>
      <c r="BD85" s="360" t="e">
        <f t="shared" si="127"/>
        <v>#VALUE!</v>
      </c>
      <c r="BE85" s="360">
        <f t="shared" si="128"/>
        <v>0.28958625807391269</v>
      </c>
      <c r="BK85" s="18"/>
      <c r="BL85" s="19"/>
    </row>
    <row r="86" spans="1:64" x14ac:dyDescent="0.2">
      <c r="G86">
        <v>77</v>
      </c>
      <c r="H86" s="548">
        <f t="shared" si="82"/>
        <v>60</v>
      </c>
      <c r="I86" s="4">
        <f t="shared" si="83"/>
        <v>1</v>
      </c>
      <c r="J86" s="360">
        <f t="shared" si="115"/>
        <v>7.7</v>
      </c>
      <c r="K86" s="4">
        <f t="shared" si="84"/>
        <v>7.1296296296296298</v>
      </c>
      <c r="L86" s="4"/>
      <c r="M86" s="360">
        <f t="shared" si="85"/>
        <v>0.83567496590239709</v>
      </c>
      <c r="N86" s="4">
        <f t="shared" si="86"/>
        <v>1.3734875181249835</v>
      </c>
      <c r="O86" s="4">
        <f t="shared" si="116"/>
        <v>8.386743759062492</v>
      </c>
      <c r="P86" s="4">
        <f t="shared" si="117"/>
        <v>7.0132562409375083</v>
      </c>
      <c r="Q86" s="4">
        <f t="shared" si="87"/>
        <v>0</v>
      </c>
      <c r="R86" s="4">
        <f t="shared" si="88"/>
        <v>7.7102014022681082</v>
      </c>
      <c r="S86" s="360">
        <f t="shared" si="89"/>
        <v>0.71336646796244529</v>
      </c>
      <c r="T86" s="360">
        <f t="shared" si="90"/>
        <v>0.3</v>
      </c>
      <c r="U86" s="360" t="e">
        <f t="shared" si="91"/>
        <v>#VALUE!</v>
      </c>
      <c r="V86" s="4">
        <f t="shared" si="118"/>
        <v>0.39649169415902513</v>
      </c>
      <c r="W86" s="360">
        <f t="shared" si="92"/>
        <v>3.1441132707418784E-4</v>
      </c>
      <c r="X86" s="360">
        <f t="shared" si="119"/>
        <v>3.1441132707418784E-4</v>
      </c>
      <c r="Y86" s="4">
        <f t="shared" si="93"/>
        <v>2.8571713348573677</v>
      </c>
      <c r="Z86" s="360">
        <f t="shared" si="120"/>
        <v>8.1634280367306328E-3</v>
      </c>
      <c r="AA86" s="541">
        <f t="shared" si="121"/>
        <v>8.1634280367306328E-3</v>
      </c>
      <c r="AB86" s="360">
        <f t="shared" si="94"/>
        <v>7.0483006154582508</v>
      </c>
      <c r="AC86" s="360">
        <f t="shared" si="95"/>
        <v>0.29807124939521495</v>
      </c>
      <c r="AD86" s="360">
        <f t="shared" si="96"/>
        <v>0.50261604560787487</v>
      </c>
      <c r="AE86" s="360">
        <f t="shared" si="97"/>
        <v>-0.52595999999999998</v>
      </c>
      <c r="AF86" s="360">
        <f t="shared" si="98"/>
        <v>0</v>
      </c>
      <c r="AG86" s="360" t="e">
        <f t="shared" si="99"/>
        <v>#VALUE!</v>
      </c>
      <c r="AH86" s="360">
        <f t="shared" si="100"/>
        <v>3.1254862178016314</v>
      </c>
      <c r="AI86" s="360">
        <f t="shared" si="101"/>
        <v>2.4421660244169866E-2</v>
      </c>
      <c r="AJ86" s="360">
        <f t="shared" si="102"/>
        <v>9.055199999999998E-2</v>
      </c>
      <c r="AK86" s="360" t="e">
        <f t="shared" si="103"/>
        <v>#VALUE!</v>
      </c>
      <c r="AL86" s="360">
        <f t="shared" si="104"/>
        <v>9.055199999999998E-2</v>
      </c>
      <c r="AM86" s="360">
        <f t="shared" si="105"/>
        <v>1.6631999999999998</v>
      </c>
      <c r="AN86" s="360">
        <f t="shared" si="106"/>
        <v>0.29723602831768553</v>
      </c>
      <c r="AO86" s="360">
        <f t="shared" si="107"/>
        <v>2.0999999999999999E-3</v>
      </c>
      <c r="AP86" s="360">
        <f t="shared" si="108"/>
        <v>9.8999999999999991E-2</v>
      </c>
      <c r="AQ86" s="360">
        <f t="shared" si="109"/>
        <v>1.1483999999999999</v>
      </c>
      <c r="AR86" s="360">
        <f t="shared" si="110"/>
        <v>1.089</v>
      </c>
      <c r="AS86" s="360">
        <f t="shared" si="129"/>
        <v>0.1011</v>
      </c>
      <c r="AT86" s="360" t="e">
        <f t="shared" si="122"/>
        <v>#VALUE!</v>
      </c>
      <c r="AU86">
        <f t="shared" si="111"/>
        <v>385</v>
      </c>
      <c r="AV86" s="542" t="e">
        <f t="shared" si="123"/>
        <v>#VALUE!</v>
      </c>
      <c r="AW86" s="551" t="e">
        <f t="shared" si="112"/>
        <v>#VALUE!</v>
      </c>
      <c r="AX86" s="551" t="e">
        <f t="shared" si="113"/>
        <v>#VALUE!</v>
      </c>
      <c r="AY86" s="9"/>
      <c r="AZ86" s="4" t="e">
        <f t="shared" si="124"/>
        <v>#VALUE!</v>
      </c>
      <c r="BA86" s="360" t="e">
        <f t="shared" si="114"/>
        <v>#VALUE!</v>
      </c>
      <c r="BB86" s="360" t="e">
        <f t="shared" si="125"/>
        <v>#VALUE!</v>
      </c>
      <c r="BC86" s="360" t="e">
        <f t="shared" si="126"/>
        <v>#VALUE!</v>
      </c>
      <c r="BD86" s="360" t="e">
        <f t="shared" si="127"/>
        <v>#VALUE!</v>
      </c>
      <c r="BE86" s="360">
        <f t="shared" si="128"/>
        <v>0.29723602831768553</v>
      </c>
      <c r="BK86" s="18"/>
      <c r="BL86" s="19"/>
    </row>
    <row r="87" spans="1:64" x14ac:dyDescent="0.2">
      <c r="G87">
        <v>78</v>
      </c>
      <c r="H87" s="548">
        <f t="shared" si="82"/>
        <v>60</v>
      </c>
      <c r="I87" s="4">
        <f t="shared" si="83"/>
        <v>1</v>
      </c>
      <c r="J87" s="360">
        <f t="shared" si="115"/>
        <v>7.8</v>
      </c>
      <c r="K87" s="4">
        <f t="shared" si="84"/>
        <v>7.2222222222222223</v>
      </c>
      <c r="L87" s="4"/>
      <c r="M87" s="360">
        <f t="shared" si="85"/>
        <v>0.83570537078603002</v>
      </c>
      <c r="N87" s="4">
        <f t="shared" si="86"/>
        <v>1.3732867789669903</v>
      </c>
      <c r="O87" s="4">
        <f t="shared" si="116"/>
        <v>8.4866433894834952</v>
      </c>
      <c r="P87" s="4">
        <f t="shared" si="117"/>
        <v>7.1133566105165045</v>
      </c>
      <c r="Q87" s="4">
        <f t="shared" si="87"/>
        <v>0</v>
      </c>
      <c r="R87" s="4">
        <f t="shared" si="88"/>
        <v>7.8100678431607617</v>
      </c>
      <c r="S87" s="360">
        <f t="shared" si="89"/>
        <v>0.73196591657728549</v>
      </c>
      <c r="T87" s="360">
        <f t="shared" si="90"/>
        <v>0.3</v>
      </c>
      <c r="U87" s="360" t="e">
        <f t="shared" si="91"/>
        <v>#VALUE!</v>
      </c>
      <c r="V87" s="4">
        <f t="shared" si="118"/>
        <v>0.396433745755573</v>
      </c>
      <c r="W87" s="360">
        <f t="shared" si="92"/>
        <v>3.1431942954758855E-4</v>
      </c>
      <c r="X87" s="360">
        <f t="shared" si="119"/>
        <v>3.1431942954758855E-4</v>
      </c>
      <c r="Y87" s="4">
        <f t="shared" si="93"/>
        <v>2.8939637470052602</v>
      </c>
      <c r="Z87" s="360">
        <f t="shared" si="120"/>
        <v>8.3750261689807242E-3</v>
      </c>
      <c r="AA87" s="541">
        <f t="shared" si="121"/>
        <v>8.3750261689807242E-3</v>
      </c>
      <c r="AB87" s="360">
        <f t="shared" si="94"/>
        <v>7.1397236624626954</v>
      </c>
      <c r="AC87" s="360">
        <f t="shared" si="95"/>
        <v>0.30585392385797833</v>
      </c>
      <c r="AD87" s="360">
        <f t="shared" si="96"/>
        <v>0.50914352671966545</v>
      </c>
      <c r="AE87" s="360">
        <f t="shared" si="97"/>
        <v>-0.52595999999999998</v>
      </c>
      <c r="AF87" s="360">
        <f t="shared" si="98"/>
        <v>0</v>
      </c>
      <c r="AG87" s="360" t="e">
        <f t="shared" si="99"/>
        <v>#VALUE!</v>
      </c>
      <c r="AH87" s="360">
        <f t="shared" si="100"/>
        <v>3.1656761897648451</v>
      </c>
      <c r="AI87" s="360">
        <f t="shared" si="101"/>
        <v>2.5053764346110171E-2</v>
      </c>
      <c r="AJ87" s="360">
        <f t="shared" si="102"/>
        <v>9.1727999999999976E-2</v>
      </c>
      <c r="AK87" s="360" t="e">
        <f t="shared" si="103"/>
        <v>#VALUE!</v>
      </c>
      <c r="AL87" s="360">
        <f t="shared" si="104"/>
        <v>9.1727999999999976E-2</v>
      </c>
      <c r="AM87" s="360">
        <f t="shared" si="105"/>
        <v>1.6847999999999999</v>
      </c>
      <c r="AN87" s="360">
        <f t="shared" si="106"/>
        <v>0.30498579857386898</v>
      </c>
      <c r="AO87" s="360">
        <f t="shared" si="107"/>
        <v>2.0999999999999999E-3</v>
      </c>
      <c r="AP87" s="360">
        <f t="shared" si="108"/>
        <v>9.8999999999999991E-2</v>
      </c>
      <c r="AQ87" s="360">
        <f t="shared" si="109"/>
        <v>1.1483999999999999</v>
      </c>
      <c r="AR87" s="360">
        <f t="shared" si="110"/>
        <v>1.089</v>
      </c>
      <c r="AS87" s="360">
        <f t="shared" si="129"/>
        <v>0.1011</v>
      </c>
      <c r="AT87" s="360" t="e">
        <f t="shared" si="122"/>
        <v>#VALUE!</v>
      </c>
      <c r="AU87">
        <f t="shared" si="111"/>
        <v>390</v>
      </c>
      <c r="AV87" s="542" t="e">
        <f t="shared" si="123"/>
        <v>#VALUE!</v>
      </c>
      <c r="AW87" s="551" t="e">
        <f t="shared" si="112"/>
        <v>#VALUE!</v>
      </c>
      <c r="AX87" s="551" t="e">
        <f t="shared" si="113"/>
        <v>#VALUE!</v>
      </c>
      <c r="AY87" s="9"/>
      <c r="AZ87" s="4" t="e">
        <f t="shared" si="124"/>
        <v>#VALUE!</v>
      </c>
      <c r="BA87" s="360" t="e">
        <f t="shared" si="114"/>
        <v>#VALUE!</v>
      </c>
      <c r="BB87" s="360" t="e">
        <f t="shared" si="125"/>
        <v>#VALUE!</v>
      </c>
      <c r="BC87" s="360" t="e">
        <f t="shared" si="126"/>
        <v>#VALUE!</v>
      </c>
      <c r="BD87" s="360" t="e">
        <f t="shared" si="127"/>
        <v>#VALUE!</v>
      </c>
      <c r="BE87" s="360">
        <f t="shared" si="128"/>
        <v>0.30498579857386898</v>
      </c>
      <c r="BK87" s="18"/>
      <c r="BL87" s="19"/>
    </row>
    <row r="88" spans="1:64" x14ac:dyDescent="0.2">
      <c r="G88">
        <v>79</v>
      </c>
      <c r="H88" s="548">
        <f t="shared" si="82"/>
        <v>60</v>
      </c>
      <c r="I88" s="4">
        <f t="shared" si="83"/>
        <v>1</v>
      </c>
      <c r="J88" s="360">
        <f t="shared" si="115"/>
        <v>7.9</v>
      </c>
      <c r="K88" s="4">
        <f t="shared" si="84"/>
        <v>7.3148148148148149</v>
      </c>
      <c r="L88" s="4"/>
      <c r="M88" s="360">
        <f t="shared" si="85"/>
        <v>0.83573577551766853</v>
      </c>
      <c r="N88" s="4">
        <f t="shared" si="86"/>
        <v>1.3730860213163449</v>
      </c>
      <c r="O88" s="4">
        <f t="shared" si="116"/>
        <v>8.5865430106581719</v>
      </c>
      <c r="P88" s="4">
        <f t="shared" si="117"/>
        <v>7.2134569893418279</v>
      </c>
      <c r="Q88" s="4">
        <f t="shared" si="87"/>
        <v>0</v>
      </c>
      <c r="R88" s="4">
        <f t="shared" si="88"/>
        <v>7.9099376589512085</v>
      </c>
      <c r="S88" s="360">
        <f t="shared" si="89"/>
        <v>0.75080536522193431</v>
      </c>
      <c r="T88" s="360">
        <f t="shared" si="90"/>
        <v>0.3</v>
      </c>
      <c r="U88" s="360" t="e">
        <f t="shared" si="91"/>
        <v>#VALUE!</v>
      </c>
      <c r="V88" s="4">
        <f t="shared" si="118"/>
        <v>0.396375792013752</v>
      </c>
      <c r="W88" s="360">
        <f t="shared" si="92"/>
        <v>3.1422753698905835E-4</v>
      </c>
      <c r="X88" s="360">
        <f t="shared" si="119"/>
        <v>3.1422753698905835E-4</v>
      </c>
      <c r="Y88" s="4">
        <f t="shared" si="93"/>
        <v>2.9307518733118134</v>
      </c>
      <c r="Z88" s="360">
        <f t="shared" si="120"/>
        <v>8.5893065429207046E-3</v>
      </c>
      <c r="AA88" s="541">
        <f t="shared" si="121"/>
        <v>8.5893065429207046E-3</v>
      </c>
      <c r="AB88" s="360">
        <f t="shared" si="94"/>
        <v>7.2311531132465294</v>
      </c>
      <c r="AC88" s="360">
        <f t="shared" si="95"/>
        <v>0.31373745208328985</v>
      </c>
      <c r="AD88" s="360">
        <f t="shared" si="96"/>
        <v>0.51567100783145603</v>
      </c>
      <c r="AE88" s="360">
        <f t="shared" si="97"/>
        <v>-0.52595999999999998</v>
      </c>
      <c r="AF88" s="360">
        <f t="shared" si="98"/>
        <v>0</v>
      </c>
      <c r="AG88" s="360" t="e">
        <f t="shared" si="99"/>
        <v>#VALUE!</v>
      </c>
      <c r="AH88" s="360">
        <f t="shared" si="100"/>
        <v>3.2058600127391021</v>
      </c>
      <c r="AI88" s="360">
        <f t="shared" si="101"/>
        <v>2.5693846053198893E-2</v>
      </c>
      <c r="AJ88" s="360">
        <f t="shared" si="102"/>
        <v>9.2903999999999987E-2</v>
      </c>
      <c r="AK88" s="360" t="e">
        <f t="shared" si="103"/>
        <v>#VALUE!</v>
      </c>
      <c r="AL88" s="360">
        <f t="shared" si="104"/>
        <v>9.2903999999999987E-2</v>
      </c>
      <c r="AM88" s="360">
        <f t="shared" si="105"/>
        <v>1.7063999999999999</v>
      </c>
      <c r="AN88" s="360">
        <f t="shared" si="106"/>
        <v>0.3128355688424726</v>
      </c>
      <c r="AO88" s="360">
        <f t="shared" si="107"/>
        <v>2.0999999999999999E-3</v>
      </c>
      <c r="AP88" s="360">
        <f t="shared" si="108"/>
        <v>9.8999999999999991E-2</v>
      </c>
      <c r="AQ88" s="360">
        <f t="shared" si="109"/>
        <v>1.1483999999999999</v>
      </c>
      <c r="AR88" s="360">
        <f t="shared" si="110"/>
        <v>1.089</v>
      </c>
      <c r="AS88" s="360">
        <f t="shared" si="129"/>
        <v>0.1011</v>
      </c>
      <c r="AT88" s="360" t="e">
        <f t="shared" si="122"/>
        <v>#VALUE!</v>
      </c>
      <c r="AU88">
        <f t="shared" si="111"/>
        <v>395</v>
      </c>
      <c r="AV88" s="542" t="e">
        <f t="shared" si="123"/>
        <v>#VALUE!</v>
      </c>
      <c r="AW88" s="551" t="e">
        <f t="shared" si="112"/>
        <v>#VALUE!</v>
      </c>
      <c r="AX88" s="551" t="e">
        <f t="shared" si="113"/>
        <v>#VALUE!</v>
      </c>
      <c r="AY88" s="9"/>
      <c r="AZ88" s="4" t="e">
        <f t="shared" si="124"/>
        <v>#VALUE!</v>
      </c>
      <c r="BA88" s="360" t="e">
        <f t="shared" si="114"/>
        <v>#VALUE!</v>
      </c>
      <c r="BB88" s="360" t="e">
        <f t="shared" si="125"/>
        <v>#VALUE!</v>
      </c>
      <c r="BC88" s="360" t="e">
        <f t="shared" si="126"/>
        <v>#VALUE!</v>
      </c>
      <c r="BD88" s="360" t="e">
        <f t="shared" si="127"/>
        <v>#VALUE!</v>
      </c>
      <c r="BE88" s="360">
        <f t="shared" si="128"/>
        <v>0.3128355688424726</v>
      </c>
      <c r="BK88" s="18"/>
      <c r="BL88" s="19"/>
    </row>
    <row r="89" spans="1:64" x14ac:dyDescent="0.2">
      <c r="G89">
        <v>80</v>
      </c>
      <c r="H89" s="548">
        <f t="shared" si="82"/>
        <v>60</v>
      </c>
      <c r="I89" s="4">
        <f t="shared" si="83"/>
        <v>1</v>
      </c>
      <c r="J89" s="360">
        <f t="shared" si="115"/>
        <v>8</v>
      </c>
      <c r="K89" s="4">
        <f t="shared" si="84"/>
        <v>7.4074074074074074</v>
      </c>
      <c r="L89" s="4"/>
      <c r="M89" s="360">
        <f t="shared" si="85"/>
        <v>0.83576618009731385</v>
      </c>
      <c r="N89" s="4">
        <f t="shared" si="86"/>
        <v>1.3728852451731874</v>
      </c>
      <c r="O89" s="4">
        <f t="shared" si="116"/>
        <v>8.6864426225865934</v>
      </c>
      <c r="P89" s="4">
        <f t="shared" si="117"/>
        <v>7.3135573774134066</v>
      </c>
      <c r="Q89" s="4">
        <f t="shared" si="87"/>
        <v>0</v>
      </c>
      <c r="R89" s="4">
        <f t="shared" si="88"/>
        <v>8.0098107234004718</v>
      </c>
      <c r="S89" s="360">
        <f t="shared" si="89"/>
        <v>0.76988481389641428</v>
      </c>
      <c r="T89" s="360">
        <f t="shared" si="90"/>
        <v>0.3</v>
      </c>
      <c r="U89" s="360" t="e">
        <f t="shared" si="91"/>
        <v>#VALUE!</v>
      </c>
      <c r="V89" s="4">
        <f t="shared" si="118"/>
        <v>0.39631783293360257</v>
      </c>
      <c r="W89" s="360">
        <f t="shared" si="92"/>
        <v>3.1413564940237384E-4</v>
      </c>
      <c r="X89" s="360">
        <f t="shared" si="119"/>
        <v>3.1413564940237384E-4</v>
      </c>
      <c r="Y89" s="4">
        <f t="shared" si="93"/>
        <v>2.9675356654007863</v>
      </c>
      <c r="Z89" s="360">
        <f t="shared" si="120"/>
        <v>8.8062679254256888E-3</v>
      </c>
      <c r="AA89" s="541">
        <f t="shared" si="121"/>
        <v>8.8062679254256888E-3</v>
      </c>
      <c r="AB89" s="360">
        <f t="shared" si="94"/>
        <v>7.3225888524547651</v>
      </c>
      <c r="AC89" s="360">
        <f t="shared" si="95"/>
        <v>0.32172184501256879</v>
      </c>
      <c r="AD89" s="360">
        <f t="shared" si="96"/>
        <v>0.52219848894324661</v>
      </c>
      <c r="AE89" s="360">
        <f t="shared" si="97"/>
        <v>-0.52595999999999998</v>
      </c>
      <c r="AF89" s="360">
        <f t="shared" si="98"/>
        <v>0</v>
      </c>
      <c r="AG89" s="360" t="e">
        <f t="shared" si="99"/>
        <v>#VALUE!</v>
      </c>
      <c r="AH89" s="360">
        <f t="shared" si="100"/>
        <v>3.2460376341944026</v>
      </c>
      <c r="AI89" s="360">
        <f t="shared" si="101"/>
        <v>2.6341900806515987E-2</v>
      </c>
      <c r="AJ89" s="360">
        <f t="shared" si="102"/>
        <v>9.4079999999999983E-2</v>
      </c>
      <c r="AK89" s="360" t="e">
        <f t="shared" si="103"/>
        <v>#VALUE!</v>
      </c>
      <c r="AL89" s="360">
        <f t="shared" si="104"/>
        <v>9.4079999999999983E-2</v>
      </c>
      <c r="AM89" s="360">
        <f t="shared" si="105"/>
        <v>1.7279999999999998</v>
      </c>
      <c r="AN89" s="360">
        <f t="shared" si="106"/>
        <v>0.32078533912350593</v>
      </c>
      <c r="AO89" s="360">
        <f t="shared" si="107"/>
        <v>2.0999999999999999E-3</v>
      </c>
      <c r="AP89" s="360">
        <f t="shared" si="108"/>
        <v>9.8999999999999991E-2</v>
      </c>
      <c r="AQ89" s="360">
        <f t="shared" si="109"/>
        <v>1.1483999999999999</v>
      </c>
      <c r="AR89" s="360">
        <f t="shared" si="110"/>
        <v>1.089</v>
      </c>
      <c r="AS89" s="360">
        <f t="shared" si="129"/>
        <v>0.1011</v>
      </c>
      <c r="AT89" s="360" t="e">
        <f t="shared" si="122"/>
        <v>#VALUE!</v>
      </c>
      <c r="AU89">
        <f t="shared" si="111"/>
        <v>400</v>
      </c>
      <c r="AV89" s="542" t="e">
        <f t="shared" si="123"/>
        <v>#VALUE!</v>
      </c>
      <c r="AW89" s="551" t="e">
        <f t="shared" si="112"/>
        <v>#VALUE!</v>
      </c>
      <c r="AX89" s="551" t="e">
        <f t="shared" si="113"/>
        <v>#VALUE!</v>
      </c>
      <c r="AY89" s="9"/>
      <c r="AZ89" s="4" t="e">
        <f t="shared" si="124"/>
        <v>#VALUE!</v>
      </c>
      <c r="BA89" s="360" t="e">
        <f t="shared" si="114"/>
        <v>#VALUE!</v>
      </c>
      <c r="BB89" s="360" t="e">
        <f t="shared" si="125"/>
        <v>#VALUE!</v>
      </c>
      <c r="BC89" s="360" t="e">
        <f t="shared" si="126"/>
        <v>#VALUE!</v>
      </c>
      <c r="BD89" s="360" t="e">
        <f t="shared" si="127"/>
        <v>#VALUE!</v>
      </c>
      <c r="BE89" s="360">
        <f t="shared" si="128"/>
        <v>0.32078533912350593</v>
      </c>
      <c r="BK89" s="18"/>
      <c r="BL89" s="19"/>
    </row>
    <row r="90" spans="1:64" x14ac:dyDescent="0.2">
      <c r="G90">
        <v>81</v>
      </c>
      <c r="H90" s="548">
        <f t="shared" si="82"/>
        <v>60</v>
      </c>
      <c r="I90" s="4">
        <f t="shared" si="83"/>
        <v>1</v>
      </c>
      <c r="J90" s="360">
        <f t="shared" si="115"/>
        <v>8.1</v>
      </c>
      <c r="K90" s="4">
        <f t="shared" si="84"/>
        <v>7.5</v>
      </c>
      <c r="L90" s="4"/>
      <c r="M90" s="360">
        <f t="shared" si="85"/>
        <v>0.83579658452496708</v>
      </c>
      <c r="N90" s="4">
        <f t="shared" si="86"/>
        <v>1.3726844505376548</v>
      </c>
      <c r="O90" s="4">
        <f t="shared" si="116"/>
        <v>8.786342225268827</v>
      </c>
      <c r="P90" s="4">
        <f t="shared" si="117"/>
        <v>7.4136577747311723</v>
      </c>
      <c r="Q90" s="4">
        <f t="shared" si="87"/>
        <v>0</v>
      </c>
      <c r="R90" s="4">
        <f t="shared" si="88"/>
        <v>8.1096869164842396</v>
      </c>
      <c r="S90" s="360">
        <f t="shared" si="89"/>
        <v>0.78920426260074794</v>
      </c>
      <c r="T90" s="360">
        <f t="shared" si="90"/>
        <v>0.3</v>
      </c>
      <c r="U90" s="360" t="e">
        <f t="shared" si="91"/>
        <v>#VALUE!</v>
      </c>
      <c r="V90" s="4">
        <f t="shared" si="118"/>
        <v>0.39625986851516426</v>
      </c>
      <c r="W90" s="360">
        <f t="shared" si="92"/>
        <v>3.1404376679131053E-4</v>
      </c>
      <c r="X90" s="360">
        <f t="shared" si="119"/>
        <v>3.1404376679131053E-4</v>
      </c>
      <c r="Y90" s="4">
        <f t="shared" si="93"/>
        <v>3.0043150772116674</v>
      </c>
      <c r="Z90" s="360">
        <f t="shared" si="120"/>
        <v>9.0259090831613462E-3</v>
      </c>
      <c r="AA90" s="541">
        <f t="shared" si="121"/>
        <v>9.0259090831613462E-3</v>
      </c>
      <c r="AB90" s="360">
        <f t="shared" si="94"/>
        <v>7.4140307704055868</v>
      </c>
      <c r="AC90" s="360">
        <f t="shared" si="95"/>
        <v>0.32980711358712517</v>
      </c>
      <c r="AD90" s="360">
        <f t="shared" si="96"/>
        <v>0.52872597005503719</v>
      </c>
      <c r="AE90" s="360">
        <f t="shared" si="97"/>
        <v>-0.52595999999999998</v>
      </c>
      <c r="AF90" s="360">
        <f t="shared" si="98"/>
        <v>0</v>
      </c>
      <c r="AG90" s="360" t="e">
        <f t="shared" si="99"/>
        <v>#VALUE!</v>
      </c>
      <c r="AH90" s="360">
        <f t="shared" si="100"/>
        <v>3.2862090041375636</v>
      </c>
      <c r="AI90" s="360">
        <f t="shared" si="101"/>
        <v>2.6997924047186993E-2</v>
      </c>
      <c r="AJ90" s="360">
        <f t="shared" si="102"/>
        <v>9.525599999999998E-2</v>
      </c>
      <c r="AK90" s="360" t="e">
        <f t="shared" si="103"/>
        <v>#VALUE!</v>
      </c>
      <c r="AL90" s="360">
        <f t="shared" si="104"/>
        <v>9.525599999999998E-2</v>
      </c>
      <c r="AM90" s="360">
        <f t="shared" si="105"/>
        <v>1.7495999999999998</v>
      </c>
      <c r="AN90" s="360">
        <f t="shared" si="106"/>
        <v>0.3288351094169783</v>
      </c>
      <c r="AO90" s="360">
        <f t="shared" si="107"/>
        <v>2.0999999999999999E-3</v>
      </c>
      <c r="AP90" s="360">
        <f t="shared" si="108"/>
        <v>9.8999999999999991E-2</v>
      </c>
      <c r="AQ90" s="360">
        <f t="shared" si="109"/>
        <v>1.1483999999999999</v>
      </c>
      <c r="AR90" s="360">
        <f t="shared" si="110"/>
        <v>1.089</v>
      </c>
      <c r="AS90" s="360">
        <f t="shared" si="129"/>
        <v>0.1011</v>
      </c>
      <c r="AT90" s="360" t="e">
        <f t="shared" si="122"/>
        <v>#VALUE!</v>
      </c>
      <c r="AU90">
        <f t="shared" si="111"/>
        <v>405</v>
      </c>
      <c r="AV90" s="542" t="e">
        <f t="shared" si="123"/>
        <v>#VALUE!</v>
      </c>
      <c r="AW90" s="551" t="e">
        <f t="shared" si="112"/>
        <v>#VALUE!</v>
      </c>
      <c r="AX90" s="551" t="e">
        <f t="shared" si="113"/>
        <v>#VALUE!</v>
      </c>
      <c r="AY90" s="9"/>
      <c r="AZ90" s="4" t="e">
        <f t="shared" si="124"/>
        <v>#VALUE!</v>
      </c>
      <c r="BA90" s="360" t="e">
        <f t="shared" si="114"/>
        <v>#VALUE!</v>
      </c>
      <c r="BB90" s="360" t="e">
        <f t="shared" si="125"/>
        <v>#VALUE!</v>
      </c>
      <c r="BC90" s="360" t="e">
        <f t="shared" si="126"/>
        <v>#VALUE!</v>
      </c>
      <c r="BD90" s="360" t="e">
        <f t="shared" si="127"/>
        <v>#VALUE!</v>
      </c>
      <c r="BE90" s="360">
        <f t="shared" si="128"/>
        <v>0.3288351094169783</v>
      </c>
      <c r="BK90" s="18"/>
      <c r="BL90" s="19"/>
    </row>
    <row r="91" spans="1:64" x14ac:dyDescent="0.2">
      <c r="G91">
        <v>82</v>
      </c>
      <c r="H91" s="548">
        <f t="shared" si="82"/>
        <v>60</v>
      </c>
      <c r="I91" s="4">
        <f t="shared" si="83"/>
        <v>1</v>
      </c>
      <c r="J91" s="360">
        <f t="shared" si="115"/>
        <v>8.1999999999999993</v>
      </c>
      <c r="K91" s="4">
        <f t="shared" si="84"/>
        <v>7.5925925925925917</v>
      </c>
      <c r="L91" s="4"/>
      <c r="M91" s="360">
        <f t="shared" si="85"/>
        <v>0.83582698880062911</v>
      </c>
      <c r="N91" s="4">
        <f t="shared" si="86"/>
        <v>1.3724836374098865</v>
      </c>
      <c r="O91" s="4">
        <f t="shared" si="116"/>
        <v>8.8862418187049421</v>
      </c>
      <c r="P91" s="4">
        <f t="shared" si="117"/>
        <v>7.5137581812950565</v>
      </c>
      <c r="Q91" s="4">
        <f t="shared" si="87"/>
        <v>0</v>
      </c>
      <c r="R91" s="4">
        <f t="shared" si="88"/>
        <v>8.2095661240153142</v>
      </c>
      <c r="S91" s="360">
        <f t="shared" si="89"/>
        <v>0.80876371133495784</v>
      </c>
      <c r="T91" s="360">
        <f t="shared" si="90"/>
        <v>0.3</v>
      </c>
      <c r="U91" s="360" t="e">
        <f t="shared" si="91"/>
        <v>#VALUE!</v>
      </c>
      <c r="V91" s="4">
        <f t="shared" si="118"/>
        <v>0.39620189875847739</v>
      </c>
      <c r="W91" s="360">
        <f t="shared" si="92"/>
        <v>3.1395188915964557E-4</v>
      </c>
      <c r="X91" s="360">
        <f t="shared" si="119"/>
        <v>3.1395188915964557E-4</v>
      </c>
      <c r="Y91" s="4">
        <f t="shared" si="93"/>
        <v>3.0410900648589689</v>
      </c>
      <c r="Z91" s="360">
        <f t="shared" si="120"/>
        <v>9.2482287825839272E-3</v>
      </c>
      <c r="AA91" s="541">
        <f t="shared" si="121"/>
        <v>9.2482287825839272E-3</v>
      </c>
      <c r="AB91" s="360">
        <f t="shared" si="94"/>
        <v>7.5054787627456907</v>
      </c>
      <c r="AC91" s="360">
        <f t="shared" si="95"/>
        <v>0.33799326874815949</v>
      </c>
      <c r="AD91" s="360">
        <f t="shared" si="96"/>
        <v>0.53525345116682765</v>
      </c>
      <c r="AE91" s="360">
        <f t="shared" si="97"/>
        <v>-0.52595999999999998</v>
      </c>
      <c r="AF91" s="360">
        <f t="shared" si="98"/>
        <v>0</v>
      </c>
      <c r="AG91" s="360" t="e">
        <f t="shared" si="99"/>
        <v>#VALUE!</v>
      </c>
      <c r="AH91" s="360">
        <f t="shared" si="100"/>
        <v>3.3263740749580819</v>
      </c>
      <c r="AI91" s="360">
        <f t="shared" si="101"/>
        <v>2.7661911216383089E-2</v>
      </c>
      <c r="AJ91" s="360">
        <f t="shared" si="102"/>
        <v>9.6431999999999976E-2</v>
      </c>
      <c r="AK91" s="360" t="e">
        <f t="shared" si="103"/>
        <v>#VALUE!</v>
      </c>
      <c r="AL91" s="360">
        <f t="shared" si="104"/>
        <v>9.6431999999999976E-2</v>
      </c>
      <c r="AM91" s="360">
        <f t="shared" si="105"/>
        <v>1.7711999999999997</v>
      </c>
      <c r="AN91" s="360">
        <f t="shared" si="106"/>
        <v>0.33698487972289909</v>
      </c>
      <c r="AO91" s="360">
        <f t="shared" si="107"/>
        <v>2.0999999999999999E-3</v>
      </c>
      <c r="AP91" s="360">
        <f t="shared" si="108"/>
        <v>9.8999999999999991E-2</v>
      </c>
      <c r="AQ91" s="360">
        <f t="shared" si="109"/>
        <v>1.1483999999999999</v>
      </c>
      <c r="AR91" s="360">
        <f t="shared" si="110"/>
        <v>1.089</v>
      </c>
      <c r="AS91" s="360">
        <f t="shared" si="129"/>
        <v>0.1011</v>
      </c>
      <c r="AT91" s="360" t="e">
        <f t="shared" si="122"/>
        <v>#VALUE!</v>
      </c>
      <c r="AU91">
        <f t="shared" si="111"/>
        <v>409.99999999999994</v>
      </c>
      <c r="AV91" s="542" t="e">
        <f t="shared" si="123"/>
        <v>#VALUE!</v>
      </c>
      <c r="AW91" s="551" t="e">
        <f t="shared" si="112"/>
        <v>#VALUE!</v>
      </c>
      <c r="AX91" s="551" t="e">
        <f t="shared" si="113"/>
        <v>#VALUE!</v>
      </c>
      <c r="AY91" s="9"/>
      <c r="AZ91" s="4" t="e">
        <f t="shared" si="124"/>
        <v>#VALUE!</v>
      </c>
      <c r="BA91" s="360" t="e">
        <f t="shared" si="114"/>
        <v>#VALUE!</v>
      </c>
      <c r="BB91" s="360" t="e">
        <f t="shared" si="125"/>
        <v>#VALUE!</v>
      </c>
      <c r="BC91" s="360" t="e">
        <f t="shared" si="126"/>
        <v>#VALUE!</v>
      </c>
      <c r="BD91" s="360" t="e">
        <f t="shared" si="127"/>
        <v>#VALUE!</v>
      </c>
      <c r="BE91" s="360">
        <f t="shared" si="128"/>
        <v>0.33698487972289909</v>
      </c>
      <c r="BK91" s="18"/>
      <c r="BL91" s="19"/>
    </row>
    <row r="92" spans="1:64" x14ac:dyDescent="0.2">
      <c r="G92">
        <v>83</v>
      </c>
      <c r="H92" s="548">
        <f t="shared" si="82"/>
        <v>60</v>
      </c>
      <c r="I92" s="4">
        <f t="shared" si="83"/>
        <v>1</v>
      </c>
      <c r="J92" s="360">
        <f t="shared" si="115"/>
        <v>8.3000000000000007</v>
      </c>
      <c r="K92" s="4">
        <f t="shared" si="84"/>
        <v>7.685185185185186</v>
      </c>
      <c r="L92" s="4"/>
      <c r="M92" s="360">
        <f t="shared" si="85"/>
        <v>0.8358573929243015</v>
      </c>
      <c r="N92" s="4">
        <f t="shared" si="86"/>
        <v>1.3722828057900205</v>
      </c>
      <c r="O92" s="4">
        <f t="shared" si="116"/>
        <v>8.9861414028950115</v>
      </c>
      <c r="P92" s="4">
        <f t="shared" si="117"/>
        <v>7.6138585971049908</v>
      </c>
      <c r="Q92" s="4">
        <f t="shared" si="87"/>
        <v>0</v>
      </c>
      <c r="R92" s="4">
        <f t="shared" si="88"/>
        <v>8.3094482372932319</v>
      </c>
      <c r="S92" s="360">
        <f t="shared" si="89"/>
        <v>0.82856316009906728</v>
      </c>
      <c r="T92" s="360">
        <f t="shared" si="90"/>
        <v>0.3</v>
      </c>
      <c r="U92" s="360" t="e">
        <f t="shared" si="91"/>
        <v>#VALUE!</v>
      </c>
      <c r="V92" s="4">
        <f t="shared" si="118"/>
        <v>0.39614392366358164</v>
      </c>
      <c r="W92" s="360">
        <f t="shared" si="92"/>
        <v>3.1386001651115519E-4</v>
      </c>
      <c r="X92" s="360">
        <f t="shared" si="119"/>
        <v>3.1386001651115519E-4</v>
      </c>
      <c r="Y92" s="4">
        <f t="shared" si="93"/>
        <v>3.0778605865016382</v>
      </c>
      <c r="Z92" s="360">
        <f t="shared" si="120"/>
        <v>9.4732257899402088E-3</v>
      </c>
      <c r="AA92" s="541">
        <f t="shared" si="121"/>
        <v>9.4732257899402088E-3</v>
      </c>
      <c r="AB92" s="360">
        <f t="shared" si="94"/>
        <v>7.5969327301304466</v>
      </c>
      <c r="AC92" s="360">
        <f t="shared" si="95"/>
        <v>0.34628032143676346</v>
      </c>
      <c r="AD92" s="360">
        <f t="shared" si="96"/>
        <v>0.54178093227861845</v>
      </c>
      <c r="AE92" s="360">
        <f t="shared" si="97"/>
        <v>-0.52595999999999998</v>
      </c>
      <c r="AF92" s="360">
        <f t="shared" si="98"/>
        <v>0</v>
      </c>
      <c r="AG92" s="360" t="e">
        <f t="shared" si="99"/>
        <v>#VALUE!</v>
      </c>
      <c r="AH92" s="360">
        <f t="shared" si="100"/>
        <v>3.3665328012850777</v>
      </c>
      <c r="AI92" s="360">
        <f t="shared" si="101"/>
        <v>2.8333857755320883E-2</v>
      </c>
      <c r="AJ92" s="360">
        <f t="shared" si="102"/>
        <v>9.7607999999999986E-2</v>
      </c>
      <c r="AK92" s="360" t="e">
        <f t="shared" si="103"/>
        <v>#VALUE!</v>
      </c>
      <c r="AL92" s="360">
        <f t="shared" si="104"/>
        <v>9.7607999999999986E-2</v>
      </c>
      <c r="AM92" s="360">
        <f t="shared" si="105"/>
        <v>1.7927999999999999</v>
      </c>
      <c r="AN92" s="360">
        <f t="shared" si="106"/>
        <v>0.34523465004127801</v>
      </c>
      <c r="AO92" s="360">
        <f t="shared" si="107"/>
        <v>2.0999999999999999E-3</v>
      </c>
      <c r="AP92" s="360">
        <f t="shared" si="108"/>
        <v>9.8999999999999991E-2</v>
      </c>
      <c r="AQ92" s="360">
        <f t="shared" si="109"/>
        <v>1.1483999999999999</v>
      </c>
      <c r="AR92" s="360">
        <f t="shared" si="110"/>
        <v>1.089</v>
      </c>
      <c r="AS92" s="360">
        <f t="shared" si="129"/>
        <v>0.1011</v>
      </c>
      <c r="AT92" s="360" t="e">
        <f t="shared" si="122"/>
        <v>#VALUE!</v>
      </c>
      <c r="AU92">
        <f t="shared" si="111"/>
        <v>415.00000000000006</v>
      </c>
      <c r="AV92" s="542" t="e">
        <f t="shared" si="123"/>
        <v>#VALUE!</v>
      </c>
      <c r="AW92" s="551" t="e">
        <f t="shared" si="112"/>
        <v>#VALUE!</v>
      </c>
      <c r="AX92" s="551" t="e">
        <f t="shared" si="113"/>
        <v>#VALUE!</v>
      </c>
      <c r="AY92" s="9"/>
      <c r="AZ92" s="4" t="e">
        <f t="shared" si="124"/>
        <v>#VALUE!</v>
      </c>
      <c r="BA92" s="360" t="e">
        <f t="shared" si="114"/>
        <v>#VALUE!</v>
      </c>
      <c r="BB92" s="360" t="e">
        <f t="shared" si="125"/>
        <v>#VALUE!</v>
      </c>
      <c r="BC92" s="360" t="e">
        <f t="shared" si="126"/>
        <v>#VALUE!</v>
      </c>
      <c r="BD92" s="360" t="e">
        <f t="shared" si="127"/>
        <v>#VALUE!</v>
      </c>
      <c r="BE92" s="360">
        <f t="shared" si="128"/>
        <v>0.34523465004127801</v>
      </c>
      <c r="BK92" s="18"/>
      <c r="BL92" s="19"/>
    </row>
    <row r="93" spans="1:64" x14ac:dyDescent="0.2">
      <c r="G93">
        <v>84</v>
      </c>
      <c r="H93" s="548">
        <f t="shared" si="82"/>
        <v>60</v>
      </c>
      <c r="I93" s="4">
        <f t="shared" si="83"/>
        <v>1</v>
      </c>
      <c r="J93" s="360">
        <f t="shared" si="115"/>
        <v>8.4</v>
      </c>
      <c r="K93" s="4">
        <f t="shared" si="84"/>
        <v>7.7777777777777777</v>
      </c>
      <c r="L93" s="4"/>
      <c r="M93" s="360">
        <f t="shared" si="85"/>
        <v>0.83588779689598525</v>
      </c>
      <c r="N93" s="4">
        <f t="shared" si="86"/>
        <v>1.3720819556781958</v>
      </c>
      <c r="O93" s="4">
        <f t="shared" si="116"/>
        <v>9.0860409778390974</v>
      </c>
      <c r="P93" s="4">
        <f t="shared" si="117"/>
        <v>7.7139590221609025</v>
      </c>
      <c r="Q93" s="4">
        <f t="shared" si="87"/>
        <v>0</v>
      </c>
      <c r="R93" s="4">
        <f t="shared" si="88"/>
        <v>8.4093331527788102</v>
      </c>
      <c r="S93" s="360">
        <f t="shared" si="89"/>
        <v>0.84860260889309758</v>
      </c>
      <c r="T93" s="360">
        <f t="shared" si="90"/>
        <v>0.3</v>
      </c>
      <c r="U93" s="360" t="e">
        <f t="shared" si="91"/>
        <v>#VALUE!</v>
      </c>
      <c r="V93" s="4">
        <f t="shared" si="118"/>
        <v>0.39608594323051727</v>
      </c>
      <c r="W93" s="360">
        <f t="shared" si="92"/>
        <v>3.1376814884961712E-4</v>
      </c>
      <c r="X93" s="360">
        <f t="shared" si="119"/>
        <v>3.1376814884961712E-4</v>
      </c>
      <c r="Y93" s="4">
        <f t="shared" si="93"/>
        <v>3.1146266022217719</v>
      </c>
      <c r="Z93" s="360">
        <f t="shared" si="120"/>
        <v>9.7008988712675402E-3</v>
      </c>
      <c r="AA93" s="541">
        <f t="shared" si="121"/>
        <v>9.7008988712675402E-3</v>
      </c>
      <c r="AB93" s="360">
        <f t="shared" si="94"/>
        <v>7.6883925779267894</v>
      </c>
      <c r="AC93" s="360">
        <f t="shared" si="95"/>
        <v>0.35466828259391847</v>
      </c>
      <c r="AD93" s="360">
        <f t="shared" si="96"/>
        <v>0.54830841339040892</v>
      </c>
      <c r="AE93" s="360">
        <f t="shared" si="97"/>
        <v>-0.52595999999999998</v>
      </c>
      <c r="AF93" s="360">
        <f t="shared" si="98"/>
        <v>0</v>
      </c>
      <c r="AG93" s="360" t="e">
        <f t="shared" si="99"/>
        <v>#VALUE!</v>
      </c>
      <c r="AH93" s="360">
        <f t="shared" si="100"/>
        <v>3.4066851398544404</v>
      </c>
      <c r="AI93" s="360">
        <f t="shared" si="101"/>
        <v>2.901375910526267E-2</v>
      </c>
      <c r="AJ93" s="360">
        <f t="shared" si="102"/>
        <v>9.8783999999999983E-2</v>
      </c>
      <c r="AK93" s="360" t="e">
        <f t="shared" si="103"/>
        <v>#VALUE!</v>
      </c>
      <c r="AL93" s="360">
        <f t="shared" si="104"/>
        <v>9.8783999999999983E-2</v>
      </c>
      <c r="AM93" s="360">
        <f t="shared" si="105"/>
        <v>1.8143999999999998</v>
      </c>
      <c r="AN93" s="360">
        <f t="shared" si="106"/>
        <v>0.35358442037212401</v>
      </c>
      <c r="AO93" s="360">
        <f t="shared" si="107"/>
        <v>2.0999999999999999E-3</v>
      </c>
      <c r="AP93" s="360">
        <f t="shared" si="108"/>
        <v>9.8999999999999991E-2</v>
      </c>
      <c r="AQ93" s="360">
        <f t="shared" si="109"/>
        <v>1.1483999999999999</v>
      </c>
      <c r="AR93" s="360">
        <f t="shared" si="110"/>
        <v>1.089</v>
      </c>
      <c r="AS93" s="360">
        <f t="shared" si="129"/>
        <v>0.1011</v>
      </c>
      <c r="AT93" s="360" t="e">
        <f t="shared" si="122"/>
        <v>#VALUE!</v>
      </c>
      <c r="AU93">
        <f t="shared" si="111"/>
        <v>420</v>
      </c>
      <c r="AV93" s="542" t="e">
        <f t="shared" si="123"/>
        <v>#VALUE!</v>
      </c>
      <c r="AW93" s="551" t="e">
        <f t="shared" si="112"/>
        <v>#VALUE!</v>
      </c>
      <c r="AX93" s="551" t="e">
        <f t="shared" si="113"/>
        <v>#VALUE!</v>
      </c>
      <c r="AY93" s="9"/>
      <c r="AZ93" s="4" t="e">
        <f t="shared" si="124"/>
        <v>#VALUE!</v>
      </c>
      <c r="BA93" s="360" t="e">
        <f t="shared" si="114"/>
        <v>#VALUE!</v>
      </c>
      <c r="BB93" s="360" t="e">
        <f t="shared" si="125"/>
        <v>#VALUE!</v>
      </c>
      <c r="BC93" s="360" t="e">
        <f t="shared" si="126"/>
        <v>#VALUE!</v>
      </c>
      <c r="BD93" s="360" t="e">
        <f t="shared" si="127"/>
        <v>#VALUE!</v>
      </c>
      <c r="BE93" s="360">
        <f t="shared" si="128"/>
        <v>0.35358442037212401</v>
      </c>
      <c r="BK93" s="18"/>
      <c r="BL93" s="19"/>
    </row>
    <row r="94" spans="1:64" x14ac:dyDescent="0.2">
      <c r="G94">
        <v>85</v>
      </c>
      <c r="H94" s="548">
        <f t="shared" si="82"/>
        <v>60</v>
      </c>
      <c r="I94" s="4">
        <f t="shared" si="83"/>
        <v>1</v>
      </c>
      <c r="J94" s="360">
        <f t="shared" si="115"/>
        <v>8.5</v>
      </c>
      <c r="K94" s="4">
        <f t="shared" si="84"/>
        <v>7.8703703703703702</v>
      </c>
      <c r="L94" s="4"/>
      <c r="M94" s="360">
        <f t="shared" si="85"/>
        <v>0.83591820071568135</v>
      </c>
      <c r="N94" s="4">
        <f t="shared" si="86"/>
        <v>1.3718810870745521</v>
      </c>
      <c r="O94" s="4">
        <f t="shared" si="116"/>
        <v>9.1859405435372761</v>
      </c>
      <c r="P94" s="4">
        <f t="shared" si="117"/>
        <v>7.8140594564627239</v>
      </c>
      <c r="Q94" s="4">
        <f t="shared" si="87"/>
        <v>0</v>
      </c>
      <c r="R94" s="4">
        <f t="shared" si="88"/>
        <v>8.5092207717915862</v>
      </c>
      <c r="S94" s="360">
        <f t="shared" si="89"/>
        <v>0.86888205771707283</v>
      </c>
      <c r="T94" s="360">
        <f t="shared" si="90"/>
        <v>0.3</v>
      </c>
      <c r="U94" s="360" t="e">
        <f t="shared" si="91"/>
        <v>#VALUE!</v>
      </c>
      <c r="V94" s="4">
        <f t="shared" si="118"/>
        <v>0.39602795745932456</v>
      </c>
      <c r="W94" s="360">
        <f t="shared" si="92"/>
        <v>3.1367628617880915E-4</v>
      </c>
      <c r="X94" s="360">
        <f t="shared" si="119"/>
        <v>3.1367628617880915E-4</v>
      </c>
      <c r="Y94" s="4">
        <f t="shared" si="93"/>
        <v>3.1513880739118556</v>
      </c>
      <c r="Z94" s="360">
        <f t="shared" si="120"/>
        <v>9.9312467923938757E-3</v>
      </c>
      <c r="AA94" s="541">
        <f t="shared" si="121"/>
        <v>9.9312467923938757E-3</v>
      </c>
      <c r="AB94" s="360">
        <f t="shared" si="94"/>
        <v>7.7798582159370273</v>
      </c>
      <c r="AC94" s="360">
        <f t="shared" si="95"/>
        <v>0.36315716316049718</v>
      </c>
      <c r="AD94" s="360">
        <f t="shared" si="96"/>
        <v>0.5548358945021995</v>
      </c>
      <c r="AE94" s="360">
        <f t="shared" si="97"/>
        <v>-0.52595999999999998</v>
      </c>
      <c r="AF94" s="360">
        <f t="shared" si="98"/>
        <v>0</v>
      </c>
      <c r="AG94" s="360" t="e">
        <f t="shared" si="99"/>
        <v>#VALUE!</v>
      </c>
      <c r="AH94" s="360">
        <f t="shared" si="100"/>
        <v>3.4468310493852963</v>
      </c>
      <c r="AI94" s="360">
        <f t="shared" si="101"/>
        <v>2.9701610707516358E-2</v>
      </c>
      <c r="AJ94" s="360">
        <f t="shared" si="102"/>
        <v>9.9959999999999979E-2</v>
      </c>
      <c r="AK94" s="360" t="e">
        <f t="shared" si="103"/>
        <v>#VALUE!</v>
      </c>
      <c r="AL94" s="360">
        <f t="shared" si="104"/>
        <v>9.9959999999999979E-2</v>
      </c>
      <c r="AM94" s="360">
        <f t="shared" si="105"/>
        <v>1.8359999999999999</v>
      </c>
      <c r="AN94" s="360">
        <f t="shared" si="106"/>
        <v>0.36203419071544701</v>
      </c>
      <c r="AO94" s="360">
        <f t="shared" si="107"/>
        <v>2.0999999999999999E-3</v>
      </c>
      <c r="AP94" s="360">
        <f t="shared" si="108"/>
        <v>9.8999999999999991E-2</v>
      </c>
      <c r="AQ94" s="360">
        <f t="shared" si="109"/>
        <v>1.1483999999999999</v>
      </c>
      <c r="AR94" s="360">
        <f t="shared" si="110"/>
        <v>1.089</v>
      </c>
      <c r="AS94" s="360">
        <f t="shared" si="129"/>
        <v>0.1011</v>
      </c>
      <c r="AT94" s="360" t="e">
        <f t="shared" si="122"/>
        <v>#VALUE!</v>
      </c>
      <c r="AU94">
        <f t="shared" si="111"/>
        <v>425</v>
      </c>
      <c r="AV94" s="542" t="e">
        <f t="shared" si="123"/>
        <v>#VALUE!</v>
      </c>
      <c r="AW94" s="551" t="e">
        <f t="shared" si="112"/>
        <v>#VALUE!</v>
      </c>
      <c r="AX94" s="551" t="e">
        <f t="shared" si="113"/>
        <v>#VALUE!</v>
      </c>
      <c r="AY94" s="9"/>
      <c r="AZ94" s="4" t="e">
        <f t="shared" si="124"/>
        <v>#VALUE!</v>
      </c>
      <c r="BA94" s="360" t="e">
        <f t="shared" si="114"/>
        <v>#VALUE!</v>
      </c>
      <c r="BB94" s="360" t="e">
        <f t="shared" si="125"/>
        <v>#VALUE!</v>
      </c>
      <c r="BC94" s="360" t="e">
        <f t="shared" si="126"/>
        <v>#VALUE!</v>
      </c>
      <c r="BD94" s="360" t="e">
        <f t="shared" si="127"/>
        <v>#VALUE!</v>
      </c>
      <c r="BE94" s="360">
        <f t="shared" si="128"/>
        <v>0.36203419071544701</v>
      </c>
      <c r="BK94" s="18"/>
      <c r="BL94" s="19"/>
    </row>
    <row r="95" spans="1:64" x14ac:dyDescent="0.2">
      <c r="G95">
        <v>86</v>
      </c>
      <c r="H95" s="548">
        <f t="shared" si="82"/>
        <v>60</v>
      </c>
      <c r="I95" s="4">
        <f t="shared" si="83"/>
        <v>1</v>
      </c>
      <c r="J95" s="360">
        <f t="shared" si="115"/>
        <v>8.6</v>
      </c>
      <c r="K95" s="4">
        <f t="shared" si="84"/>
        <v>7.9629629629629628</v>
      </c>
      <c r="L95" s="4"/>
      <c r="M95" s="360">
        <f t="shared" si="85"/>
        <v>0.83594860438339091</v>
      </c>
      <c r="N95" s="4">
        <f t="shared" si="86"/>
        <v>1.3716801999792263</v>
      </c>
      <c r="O95" s="4">
        <f t="shared" si="116"/>
        <v>9.2858400999896133</v>
      </c>
      <c r="P95" s="4">
        <f t="shared" si="117"/>
        <v>7.9141599000103868</v>
      </c>
      <c r="Q95" s="4">
        <f t="shared" si="87"/>
        <v>0</v>
      </c>
      <c r="R95" s="4">
        <f t="shared" si="88"/>
        <v>8.6091110002282605</v>
      </c>
      <c r="S95" s="360">
        <f t="shared" si="89"/>
        <v>0.8894015065710148</v>
      </c>
      <c r="T95" s="360">
        <f t="shared" si="90"/>
        <v>0.3</v>
      </c>
      <c r="U95" s="360" t="e">
        <f t="shared" si="91"/>
        <v>#VALUE!</v>
      </c>
      <c r="V95" s="4">
        <f t="shared" si="118"/>
        <v>0.395969966350043</v>
      </c>
      <c r="W95" s="360">
        <f t="shared" si="92"/>
        <v>3.1358442850250838E-4</v>
      </c>
      <c r="X95" s="360">
        <f t="shared" si="119"/>
        <v>3.1358442850250838E-4</v>
      </c>
      <c r="Y95" s="4">
        <f t="shared" si="93"/>
        <v>3.1881449651698275</v>
      </c>
      <c r="Z95" s="360">
        <f t="shared" si="120"/>
        <v>1.0164268318937721E-2</v>
      </c>
      <c r="AA95" s="541">
        <f t="shared" si="121"/>
        <v>1.0164268318937721E-2</v>
      </c>
      <c r="AB95" s="360">
        <f t="shared" si="94"/>
        <v>7.8713295581418201</v>
      </c>
      <c r="AC95" s="360">
        <f t="shared" si="95"/>
        <v>0.37174697407726259</v>
      </c>
      <c r="AD95" s="360">
        <f t="shared" si="96"/>
        <v>0.56136337561399008</v>
      </c>
      <c r="AE95" s="360">
        <f t="shared" si="97"/>
        <v>-0.52595999999999998</v>
      </c>
      <c r="AF95" s="360">
        <f t="shared" si="98"/>
        <v>0</v>
      </c>
      <c r="AG95" s="360" t="e">
        <f t="shared" si="99"/>
        <v>#VALUE!</v>
      </c>
      <c r="AH95" s="360">
        <f t="shared" si="100"/>
        <v>3.48697049046506</v>
      </c>
      <c r="AI95" s="360">
        <f t="shared" si="101"/>
        <v>3.0397408003435353E-2</v>
      </c>
      <c r="AJ95" s="360">
        <f t="shared" si="102"/>
        <v>0.10113599999999998</v>
      </c>
      <c r="AK95" s="360" t="e">
        <f t="shared" si="103"/>
        <v>#VALUE!</v>
      </c>
      <c r="AL95" s="360">
        <f t="shared" si="104"/>
        <v>0.10113599999999998</v>
      </c>
      <c r="AM95" s="360">
        <f t="shared" si="105"/>
        <v>1.8575999999999997</v>
      </c>
      <c r="AN95" s="360">
        <f t="shared" si="106"/>
        <v>0.37058396107125618</v>
      </c>
      <c r="AO95" s="360">
        <f t="shared" si="107"/>
        <v>2.0999999999999999E-3</v>
      </c>
      <c r="AP95" s="360">
        <f t="shared" si="108"/>
        <v>9.8999999999999991E-2</v>
      </c>
      <c r="AQ95" s="360">
        <f t="shared" si="109"/>
        <v>1.1483999999999999</v>
      </c>
      <c r="AR95" s="360">
        <f t="shared" si="110"/>
        <v>1.089</v>
      </c>
      <c r="AS95" s="360">
        <f t="shared" si="129"/>
        <v>0.1011</v>
      </c>
      <c r="AT95" s="360" t="e">
        <f t="shared" si="122"/>
        <v>#VALUE!</v>
      </c>
      <c r="AU95">
        <f t="shared" si="111"/>
        <v>430</v>
      </c>
      <c r="AV95" s="542" t="e">
        <f t="shared" si="123"/>
        <v>#VALUE!</v>
      </c>
      <c r="AW95" s="551" t="e">
        <f t="shared" si="112"/>
        <v>#VALUE!</v>
      </c>
      <c r="AX95" s="551" t="e">
        <f t="shared" si="113"/>
        <v>#VALUE!</v>
      </c>
      <c r="AY95" s="9"/>
      <c r="AZ95" s="4" t="e">
        <f t="shared" si="124"/>
        <v>#VALUE!</v>
      </c>
      <c r="BA95" s="360" t="e">
        <f t="shared" si="114"/>
        <v>#VALUE!</v>
      </c>
      <c r="BB95" s="360" t="e">
        <f t="shared" si="125"/>
        <v>#VALUE!</v>
      </c>
      <c r="BC95" s="360" t="e">
        <f t="shared" si="126"/>
        <v>#VALUE!</v>
      </c>
      <c r="BD95" s="360" t="e">
        <f t="shared" si="127"/>
        <v>#VALUE!</v>
      </c>
      <c r="BE95" s="360">
        <f t="shared" si="128"/>
        <v>0.37058396107125618</v>
      </c>
      <c r="BK95" s="18"/>
      <c r="BL95" s="19"/>
    </row>
    <row r="96" spans="1:64" x14ac:dyDescent="0.2">
      <c r="G96">
        <v>87</v>
      </c>
      <c r="H96" s="548">
        <f t="shared" si="82"/>
        <v>60</v>
      </c>
      <c r="I96" s="4">
        <f t="shared" si="83"/>
        <v>1</v>
      </c>
      <c r="J96" s="360">
        <f t="shared" si="115"/>
        <v>8.6999999999999993</v>
      </c>
      <c r="K96" s="4">
        <f t="shared" si="84"/>
        <v>8.0555555555555554</v>
      </c>
      <c r="L96" s="4"/>
      <c r="M96" s="360">
        <f t="shared" si="85"/>
        <v>0.83597900789911528</v>
      </c>
      <c r="N96" s="4">
        <f t="shared" si="86"/>
        <v>1.3714792943923588</v>
      </c>
      <c r="O96" s="4">
        <f t="shared" si="116"/>
        <v>9.3857396471961785</v>
      </c>
      <c r="P96" s="4">
        <f t="shared" si="117"/>
        <v>8.0142603528038201</v>
      </c>
      <c r="Q96" s="4">
        <f t="shared" si="87"/>
        <v>0</v>
      </c>
      <c r="R96" s="4">
        <f t="shared" si="88"/>
        <v>8.7090037483005034</v>
      </c>
      <c r="S96" s="360">
        <f t="shared" si="89"/>
        <v>0.91016095545494657</v>
      </c>
      <c r="T96" s="360">
        <f t="shared" si="90"/>
        <v>0.3</v>
      </c>
      <c r="U96" s="360" t="e">
        <f t="shared" si="91"/>
        <v>#VALUE!</v>
      </c>
      <c r="V96" s="4">
        <f t="shared" si="118"/>
        <v>0.39591196990271321</v>
      </c>
      <c r="W96" s="360">
        <f t="shared" si="92"/>
        <v>3.1349257582449379E-4</v>
      </c>
      <c r="X96" s="360">
        <f t="shared" si="119"/>
        <v>3.1349257582449379E-4</v>
      </c>
      <c r="Y96" s="4">
        <f t="shared" si="93"/>
        <v>3.2248972412013628</v>
      </c>
      <c r="Z96" s="360">
        <f t="shared" si="120"/>
        <v>1.0399962216308161E-2</v>
      </c>
      <c r="AA96" s="541">
        <f t="shared" si="121"/>
        <v>1.0399962216308161E-2</v>
      </c>
      <c r="AB96" s="360">
        <f t="shared" si="94"/>
        <v>7.9628065224608315</v>
      </c>
      <c r="AC96" s="360">
        <f t="shared" si="95"/>
        <v>0.38043772628486855</v>
      </c>
      <c r="AD96" s="360">
        <f t="shared" si="96"/>
        <v>0.56789085672578066</v>
      </c>
      <c r="AE96" s="360">
        <f t="shared" si="97"/>
        <v>-0.52595999999999998</v>
      </c>
      <c r="AF96" s="360">
        <f t="shared" si="98"/>
        <v>0</v>
      </c>
      <c r="AG96" s="360" t="e">
        <f t="shared" si="99"/>
        <v>#VALUE!</v>
      </c>
      <c r="AH96" s="360">
        <f t="shared" si="100"/>
        <v>3.5271034254423923</v>
      </c>
      <c r="AI96" s="360">
        <f t="shared" si="101"/>
        <v>3.1101146434418647E-2</v>
      </c>
      <c r="AJ96" s="360">
        <f t="shared" si="102"/>
        <v>0.10231199999999997</v>
      </c>
      <c r="AK96" s="360" t="e">
        <f t="shared" si="103"/>
        <v>#VALUE!</v>
      </c>
      <c r="AL96" s="360">
        <f t="shared" si="104"/>
        <v>0.10231199999999997</v>
      </c>
      <c r="AM96" s="360">
        <f t="shared" si="105"/>
        <v>1.8791999999999995</v>
      </c>
      <c r="AN96" s="360">
        <f t="shared" si="106"/>
        <v>0.37923373143956107</v>
      </c>
      <c r="AO96" s="360">
        <f t="shared" si="107"/>
        <v>2.0999999999999999E-3</v>
      </c>
      <c r="AP96" s="360">
        <f t="shared" si="108"/>
        <v>9.8999999999999991E-2</v>
      </c>
      <c r="AQ96" s="360">
        <f t="shared" si="109"/>
        <v>1.1483999999999999</v>
      </c>
      <c r="AR96" s="360">
        <f t="shared" si="110"/>
        <v>1.089</v>
      </c>
      <c r="AS96" s="360">
        <f t="shared" si="129"/>
        <v>0.1011</v>
      </c>
      <c r="AT96" s="360" t="e">
        <f t="shared" si="122"/>
        <v>#VALUE!</v>
      </c>
      <c r="AU96">
        <f t="shared" si="111"/>
        <v>434.99999999999994</v>
      </c>
      <c r="AV96" s="542" t="e">
        <f t="shared" si="123"/>
        <v>#VALUE!</v>
      </c>
      <c r="AW96" s="551" t="e">
        <f t="shared" si="112"/>
        <v>#VALUE!</v>
      </c>
      <c r="AX96" s="551" t="e">
        <f t="shared" si="113"/>
        <v>#VALUE!</v>
      </c>
      <c r="AY96" s="9"/>
      <c r="AZ96" s="4" t="e">
        <f t="shared" si="124"/>
        <v>#VALUE!</v>
      </c>
      <c r="BA96" s="360" t="e">
        <f t="shared" si="114"/>
        <v>#VALUE!</v>
      </c>
      <c r="BB96" s="360" t="e">
        <f t="shared" si="125"/>
        <v>#VALUE!</v>
      </c>
      <c r="BC96" s="360" t="e">
        <f t="shared" si="126"/>
        <v>#VALUE!</v>
      </c>
      <c r="BD96" s="360" t="e">
        <f t="shared" si="127"/>
        <v>#VALUE!</v>
      </c>
      <c r="BE96" s="360">
        <f t="shared" si="128"/>
        <v>0.37923373143956107</v>
      </c>
      <c r="BK96" s="18"/>
      <c r="BL96" s="19"/>
    </row>
    <row r="97" spans="7:64" x14ac:dyDescent="0.2">
      <c r="G97">
        <v>88</v>
      </c>
      <c r="H97" s="548">
        <f t="shared" si="82"/>
        <v>60</v>
      </c>
      <c r="I97" s="4">
        <f t="shared" si="83"/>
        <v>1</v>
      </c>
      <c r="J97" s="360">
        <f t="shared" si="115"/>
        <v>8.8000000000000007</v>
      </c>
      <c r="K97" s="4">
        <f t="shared" si="84"/>
        <v>8.1481481481481488</v>
      </c>
      <c r="L97" s="4"/>
      <c r="M97" s="360">
        <f t="shared" si="85"/>
        <v>0.83600941126285555</v>
      </c>
      <c r="N97" s="4">
        <f t="shared" si="86"/>
        <v>1.3712783703140863</v>
      </c>
      <c r="O97" s="4">
        <f t="shared" si="116"/>
        <v>9.4856391851570443</v>
      </c>
      <c r="P97" s="4">
        <f t="shared" si="117"/>
        <v>8.1143608148429571</v>
      </c>
      <c r="Q97" s="4">
        <f t="shared" si="87"/>
        <v>0</v>
      </c>
      <c r="R97" s="4">
        <f t="shared" si="88"/>
        <v>8.8088989302905656</v>
      </c>
      <c r="S97" s="360">
        <f t="shared" si="89"/>
        <v>0.93116040436889125</v>
      </c>
      <c r="T97" s="360">
        <f t="shared" si="90"/>
        <v>0.3</v>
      </c>
      <c r="U97" s="360" t="e">
        <f t="shared" si="91"/>
        <v>#VALUE!</v>
      </c>
      <c r="V97" s="4">
        <f t="shared" si="118"/>
        <v>0.39585396811737456</v>
      </c>
      <c r="W97" s="360">
        <f t="shared" si="92"/>
        <v>3.1340072814854279E-4</v>
      </c>
      <c r="X97" s="360">
        <f t="shared" si="119"/>
        <v>3.1340072814854279E-4</v>
      </c>
      <c r="Y97" s="4">
        <f t="shared" si="93"/>
        <v>3.2616448687287964</v>
      </c>
      <c r="Z97" s="360">
        <f t="shared" si="120"/>
        <v>1.0638327249704888E-2</v>
      </c>
      <c r="AA97" s="541">
        <f t="shared" si="121"/>
        <v>1.0638327249704888E-2</v>
      </c>
      <c r="AB97" s="360">
        <f t="shared" si="94"/>
        <v>8.0542890305296311</v>
      </c>
      <c r="AC97" s="360">
        <f t="shared" si="95"/>
        <v>0.38922943072385968</v>
      </c>
      <c r="AD97" s="360">
        <f t="shared" si="96"/>
        <v>0.57441833783757124</v>
      </c>
      <c r="AE97" s="360">
        <f t="shared" si="97"/>
        <v>-0.52595999999999998</v>
      </c>
      <c r="AF97" s="360">
        <f t="shared" si="98"/>
        <v>0</v>
      </c>
      <c r="AG97" s="360" t="e">
        <f t="shared" si="99"/>
        <v>#VALUE!</v>
      </c>
      <c r="AH97" s="360">
        <f t="shared" si="100"/>
        <v>3.5672298183274274</v>
      </c>
      <c r="AI97" s="360">
        <f t="shared" si="101"/>
        <v>3.1812821441910825E-2</v>
      </c>
      <c r="AJ97" s="360">
        <f t="shared" si="102"/>
        <v>0.103488</v>
      </c>
      <c r="AK97" s="360" t="e">
        <f t="shared" si="103"/>
        <v>#VALUE!</v>
      </c>
      <c r="AL97" s="360">
        <f t="shared" si="104"/>
        <v>0.103488</v>
      </c>
      <c r="AM97" s="360">
        <f t="shared" si="105"/>
        <v>1.9008</v>
      </c>
      <c r="AN97" s="360">
        <f t="shared" si="106"/>
        <v>0.38798350182037133</v>
      </c>
      <c r="AO97" s="360">
        <f t="shared" si="107"/>
        <v>2.0999999999999999E-3</v>
      </c>
      <c r="AP97" s="360">
        <f t="shared" si="108"/>
        <v>9.8999999999999991E-2</v>
      </c>
      <c r="AQ97" s="360">
        <f t="shared" si="109"/>
        <v>1.1483999999999999</v>
      </c>
      <c r="AR97" s="360">
        <f t="shared" si="110"/>
        <v>1.089</v>
      </c>
      <c r="AS97" s="360">
        <f t="shared" si="129"/>
        <v>0.1011</v>
      </c>
      <c r="AT97" s="360" t="e">
        <f t="shared" si="122"/>
        <v>#VALUE!</v>
      </c>
      <c r="AU97">
        <f t="shared" si="111"/>
        <v>440.00000000000006</v>
      </c>
      <c r="AV97" s="542" t="e">
        <f t="shared" si="123"/>
        <v>#VALUE!</v>
      </c>
      <c r="AW97" s="551" t="e">
        <f t="shared" si="112"/>
        <v>#VALUE!</v>
      </c>
      <c r="AX97" s="551" t="e">
        <f t="shared" si="113"/>
        <v>#VALUE!</v>
      </c>
      <c r="AY97" s="9"/>
      <c r="AZ97" s="4" t="e">
        <f t="shared" si="124"/>
        <v>#VALUE!</v>
      </c>
      <c r="BA97" s="360" t="e">
        <f t="shared" si="114"/>
        <v>#VALUE!</v>
      </c>
      <c r="BB97" s="360" t="e">
        <f t="shared" si="125"/>
        <v>#VALUE!</v>
      </c>
      <c r="BC97" s="360" t="e">
        <f t="shared" si="126"/>
        <v>#VALUE!</v>
      </c>
      <c r="BD97" s="360" t="e">
        <f t="shared" si="127"/>
        <v>#VALUE!</v>
      </c>
      <c r="BE97" s="360">
        <f t="shared" si="128"/>
        <v>0.38798350182037133</v>
      </c>
      <c r="BK97" s="18"/>
      <c r="BL97" s="19"/>
    </row>
    <row r="98" spans="7:64" x14ac:dyDescent="0.2">
      <c r="G98">
        <v>89</v>
      </c>
      <c r="H98" s="548">
        <f t="shared" si="82"/>
        <v>60</v>
      </c>
      <c r="I98" s="4">
        <f t="shared" si="83"/>
        <v>1</v>
      </c>
      <c r="J98" s="360">
        <f t="shared" si="115"/>
        <v>8.9</v>
      </c>
      <c r="K98" s="4">
        <f t="shared" si="84"/>
        <v>8.2407407407407405</v>
      </c>
      <c r="L98" s="4"/>
      <c r="M98" s="360">
        <f t="shared" si="85"/>
        <v>0.83603981447461262</v>
      </c>
      <c r="N98" s="4">
        <f t="shared" si="86"/>
        <v>1.3710774277445483</v>
      </c>
      <c r="O98" s="4">
        <f t="shared" si="116"/>
        <v>9.5855387138722747</v>
      </c>
      <c r="P98" s="4">
        <f t="shared" si="117"/>
        <v>8.214461286127726</v>
      </c>
      <c r="Q98" s="4">
        <f t="shared" si="87"/>
        <v>0</v>
      </c>
      <c r="R98" s="4">
        <f t="shared" si="88"/>
        <v>8.9087964643232933</v>
      </c>
      <c r="S98" s="360">
        <f t="shared" si="89"/>
        <v>0.95239985331287069</v>
      </c>
      <c r="T98" s="360">
        <f t="shared" si="90"/>
        <v>0.3</v>
      </c>
      <c r="U98" s="360" t="e">
        <f t="shared" si="91"/>
        <v>#VALUE!</v>
      </c>
      <c r="V98" s="4">
        <f t="shared" si="118"/>
        <v>0.39579596099406733</v>
      </c>
      <c r="W98" s="360">
        <f t="shared" si="92"/>
        <v>3.1330888547843454E-4</v>
      </c>
      <c r="X98" s="360">
        <f t="shared" si="119"/>
        <v>3.1330888547843454E-4</v>
      </c>
      <c r="Y98" s="4">
        <f t="shared" si="93"/>
        <v>3.298387815906155</v>
      </c>
      <c r="Z98" s="360">
        <f t="shared" si="120"/>
        <v>1.0879362184118176E-2</v>
      </c>
      <c r="AA98" s="541">
        <f t="shared" si="121"/>
        <v>1.0879362184118176E-2</v>
      </c>
      <c r="AB98" s="360">
        <f t="shared" si="94"/>
        <v>8.1457770074915743</v>
      </c>
      <c r="AC98" s="360">
        <f t="shared" si="95"/>
        <v>0.39812209833467033</v>
      </c>
      <c r="AD98" s="360">
        <f t="shared" si="96"/>
        <v>0.58094581894936181</v>
      </c>
      <c r="AE98" s="360">
        <f t="shared" si="97"/>
        <v>-0.52595999999999998</v>
      </c>
      <c r="AF98" s="360">
        <f t="shared" si="98"/>
        <v>0</v>
      </c>
      <c r="AG98" s="360" t="e">
        <f t="shared" si="99"/>
        <v>#VALUE!</v>
      </c>
      <c r="AH98" s="360">
        <f t="shared" si="100"/>
        <v>3.6073496346986982</v>
      </c>
      <c r="AI98" s="360">
        <f t="shared" si="101"/>
        <v>3.2532428467402077E-2</v>
      </c>
      <c r="AJ98" s="360">
        <f t="shared" si="102"/>
        <v>0.10466399999999998</v>
      </c>
      <c r="AK98" s="360" t="e">
        <f t="shared" si="103"/>
        <v>#VALUE!</v>
      </c>
      <c r="AL98" s="360">
        <f t="shared" si="104"/>
        <v>0.10466399999999998</v>
      </c>
      <c r="AM98" s="360">
        <f t="shared" si="105"/>
        <v>1.9223999999999999</v>
      </c>
      <c r="AN98" s="360">
        <f t="shared" si="106"/>
        <v>0.39683327221369608</v>
      </c>
      <c r="AO98" s="360">
        <f t="shared" si="107"/>
        <v>2.0999999999999999E-3</v>
      </c>
      <c r="AP98" s="360">
        <f t="shared" si="108"/>
        <v>9.8999999999999991E-2</v>
      </c>
      <c r="AQ98" s="360">
        <f t="shared" si="109"/>
        <v>1.1483999999999999</v>
      </c>
      <c r="AR98" s="360">
        <f t="shared" si="110"/>
        <v>1.089</v>
      </c>
      <c r="AS98" s="360">
        <f t="shared" si="129"/>
        <v>0.1011</v>
      </c>
      <c r="AT98" s="360" t="e">
        <f t="shared" si="122"/>
        <v>#VALUE!</v>
      </c>
      <c r="AU98">
        <f t="shared" si="111"/>
        <v>445</v>
      </c>
      <c r="AV98" s="542" t="e">
        <f t="shared" si="123"/>
        <v>#VALUE!</v>
      </c>
      <c r="AW98" s="551" t="e">
        <f t="shared" si="112"/>
        <v>#VALUE!</v>
      </c>
      <c r="AX98" s="551" t="e">
        <f t="shared" si="113"/>
        <v>#VALUE!</v>
      </c>
      <c r="AY98" s="9"/>
      <c r="AZ98" s="4" t="e">
        <f t="shared" si="124"/>
        <v>#VALUE!</v>
      </c>
      <c r="BA98" s="360" t="e">
        <f t="shared" si="114"/>
        <v>#VALUE!</v>
      </c>
      <c r="BB98" s="360" t="e">
        <f t="shared" si="125"/>
        <v>#VALUE!</v>
      </c>
      <c r="BC98" s="360" t="e">
        <f t="shared" si="126"/>
        <v>#VALUE!</v>
      </c>
      <c r="BD98" s="360" t="e">
        <f t="shared" si="127"/>
        <v>#VALUE!</v>
      </c>
      <c r="BE98" s="360">
        <f t="shared" si="128"/>
        <v>0.39683327221369608</v>
      </c>
      <c r="BK98" s="18"/>
      <c r="BL98" s="19"/>
    </row>
    <row r="99" spans="7:64" x14ac:dyDescent="0.2">
      <c r="G99">
        <v>90</v>
      </c>
      <c r="H99" s="548">
        <f t="shared" si="82"/>
        <v>60</v>
      </c>
      <c r="I99" s="4">
        <f t="shared" si="83"/>
        <v>1</v>
      </c>
      <c r="J99" s="360">
        <f t="shared" si="115"/>
        <v>9</v>
      </c>
      <c r="K99" s="4">
        <f t="shared" si="84"/>
        <v>8.3333333333333339</v>
      </c>
      <c r="L99" s="4"/>
      <c r="M99" s="360">
        <f t="shared" si="85"/>
        <v>0.83607021753438804</v>
      </c>
      <c r="N99" s="4">
        <f t="shared" si="86"/>
        <v>1.3708764666838849</v>
      </c>
      <c r="O99" s="4">
        <f t="shared" si="116"/>
        <v>9.6854382333419426</v>
      </c>
      <c r="P99" s="4">
        <f t="shared" si="117"/>
        <v>8.3145617666580574</v>
      </c>
      <c r="Q99" s="4">
        <f t="shared" si="87"/>
        <v>0</v>
      </c>
      <c r="R99" s="4">
        <f t="shared" si="88"/>
        <v>9.0086962721533119</v>
      </c>
      <c r="S99" s="360">
        <f t="shared" si="89"/>
        <v>0.97387930228690789</v>
      </c>
      <c r="T99" s="360">
        <f t="shared" si="90"/>
        <v>0.3</v>
      </c>
      <c r="U99" s="360" t="e">
        <f t="shared" si="91"/>
        <v>#VALUE!</v>
      </c>
      <c r="V99" s="4">
        <f t="shared" si="118"/>
        <v>0.39573794853283201</v>
      </c>
      <c r="W99" s="360">
        <f t="shared" si="92"/>
        <v>3.1321704781794879E-4</v>
      </c>
      <c r="X99" s="360">
        <f t="shared" si="119"/>
        <v>3.1321704781794879E-4</v>
      </c>
      <c r="Y99" s="4">
        <f t="shared" si="93"/>
        <v>3.3351260522398385</v>
      </c>
      <c r="Z99" s="360">
        <f t="shared" si="120"/>
        <v>1.112306578432889E-2</v>
      </c>
      <c r="AA99" s="541">
        <f t="shared" si="121"/>
        <v>1.112306578432889E-2</v>
      </c>
      <c r="AB99" s="360">
        <f t="shared" si="94"/>
        <v>8.2372703818035351</v>
      </c>
      <c r="AC99" s="360">
        <f t="shared" si="95"/>
        <v>0.40711574005762657</v>
      </c>
      <c r="AD99" s="360">
        <f t="shared" si="96"/>
        <v>0.58747330006115239</v>
      </c>
      <c r="AE99" s="360">
        <f t="shared" si="97"/>
        <v>-0.52595999999999998</v>
      </c>
      <c r="AF99" s="360">
        <f t="shared" si="98"/>
        <v>0</v>
      </c>
      <c r="AG99" s="360" t="e">
        <f t="shared" si="99"/>
        <v>#VALUE!</v>
      </c>
      <c r="AH99" s="360">
        <f t="shared" si="100"/>
        <v>3.647462841616242</v>
      </c>
      <c r="AI99" s="360">
        <f t="shared" si="101"/>
        <v>3.3259962952428078E-2</v>
      </c>
      <c r="AJ99" s="360">
        <f t="shared" si="102"/>
        <v>0.10583999999999998</v>
      </c>
      <c r="AK99" s="360" t="e">
        <f t="shared" si="103"/>
        <v>#VALUE!</v>
      </c>
      <c r="AL99" s="360">
        <f t="shared" si="104"/>
        <v>0.10583999999999998</v>
      </c>
      <c r="AM99" s="360">
        <f t="shared" si="105"/>
        <v>1.944</v>
      </c>
      <c r="AN99" s="360">
        <f t="shared" si="106"/>
        <v>0.40578304261954495</v>
      </c>
      <c r="AO99" s="360">
        <f t="shared" si="107"/>
        <v>2.0999999999999999E-3</v>
      </c>
      <c r="AP99" s="360">
        <f t="shared" si="108"/>
        <v>9.8999999999999991E-2</v>
      </c>
      <c r="AQ99" s="360">
        <f t="shared" si="109"/>
        <v>1.1483999999999999</v>
      </c>
      <c r="AR99" s="360">
        <f t="shared" si="110"/>
        <v>1.089</v>
      </c>
      <c r="AS99" s="360">
        <f t="shared" si="129"/>
        <v>0.1011</v>
      </c>
      <c r="AT99" s="360" t="e">
        <f t="shared" si="122"/>
        <v>#VALUE!</v>
      </c>
      <c r="AU99">
        <f t="shared" si="111"/>
        <v>450</v>
      </c>
      <c r="AV99" s="542" t="e">
        <f t="shared" si="123"/>
        <v>#VALUE!</v>
      </c>
      <c r="AW99" s="551" t="e">
        <f t="shared" si="112"/>
        <v>#VALUE!</v>
      </c>
      <c r="AX99" s="551" t="e">
        <f t="shared" si="113"/>
        <v>#VALUE!</v>
      </c>
      <c r="AY99" s="9"/>
      <c r="AZ99" s="4" t="e">
        <f t="shared" si="124"/>
        <v>#VALUE!</v>
      </c>
      <c r="BA99" s="360" t="e">
        <f t="shared" si="114"/>
        <v>#VALUE!</v>
      </c>
      <c r="BB99" s="360" t="e">
        <f t="shared" si="125"/>
        <v>#VALUE!</v>
      </c>
      <c r="BC99" s="360" t="e">
        <f t="shared" si="126"/>
        <v>#VALUE!</v>
      </c>
      <c r="BD99" s="360" t="e">
        <f t="shared" si="127"/>
        <v>#VALUE!</v>
      </c>
      <c r="BE99" s="360">
        <f t="shared" si="128"/>
        <v>0.40578304261954495</v>
      </c>
      <c r="BK99" s="18"/>
      <c r="BL99" s="19"/>
    </row>
    <row r="100" spans="7:64" x14ac:dyDescent="0.2">
      <c r="G100">
        <v>91</v>
      </c>
      <c r="H100" s="548">
        <f t="shared" si="82"/>
        <v>60</v>
      </c>
      <c r="I100" s="4">
        <f t="shared" si="83"/>
        <v>1</v>
      </c>
      <c r="J100" s="360">
        <f t="shared" si="115"/>
        <v>9.1</v>
      </c>
      <c r="K100" s="4">
        <f t="shared" si="84"/>
        <v>8.4259259259259256</v>
      </c>
      <c r="L100" s="4"/>
      <c r="M100" s="360">
        <f t="shared" si="85"/>
        <v>0.83610062044218281</v>
      </c>
      <c r="N100" s="4">
        <f t="shared" si="86"/>
        <v>1.3706754871322326</v>
      </c>
      <c r="O100" s="4">
        <f t="shared" si="116"/>
        <v>9.7853377435661155</v>
      </c>
      <c r="P100" s="4">
        <f t="shared" si="117"/>
        <v>8.4146622564338838</v>
      </c>
      <c r="Q100" s="4">
        <f t="shared" si="87"/>
        <v>0</v>
      </c>
      <c r="R100" s="4">
        <f t="shared" si="88"/>
        <v>9.1085982789661664</v>
      </c>
      <c r="S100" s="360">
        <f t="shared" si="89"/>
        <v>0.99559875129102482</v>
      </c>
      <c r="T100" s="360">
        <f t="shared" si="90"/>
        <v>0.3</v>
      </c>
      <c r="U100" s="360" t="e">
        <f t="shared" si="91"/>
        <v>#VALUE!</v>
      </c>
      <c r="V100" s="4">
        <f t="shared" si="118"/>
        <v>0.395679930733708</v>
      </c>
      <c r="W100" s="360">
        <f t="shared" si="92"/>
        <v>3.1312521517086391E-4</v>
      </c>
      <c r="X100" s="360">
        <f t="shared" si="119"/>
        <v>3.1312521517086391E-4</v>
      </c>
      <c r="Y100" s="4">
        <f t="shared" si="93"/>
        <v>3.3718595485145149</v>
      </c>
      <c r="Z100" s="360">
        <f t="shared" si="120"/>
        <v>1.1369436814908507E-2</v>
      </c>
      <c r="AA100" s="541">
        <f t="shared" si="121"/>
        <v>1.1369436814908507E-2</v>
      </c>
      <c r="AB100" s="360">
        <f t="shared" si="94"/>
        <v>8.3287690850543683</v>
      </c>
      <c r="AC100" s="360">
        <f t="shared" si="95"/>
        <v>0.41621036683294427</v>
      </c>
      <c r="AD100" s="360">
        <f t="shared" si="96"/>
        <v>0.59400078117294297</v>
      </c>
      <c r="AE100" s="360">
        <f t="shared" si="97"/>
        <v>-0.52595999999999998</v>
      </c>
      <c r="AF100" s="360">
        <f t="shared" si="98"/>
        <v>0</v>
      </c>
      <c r="AG100" s="360" t="e">
        <f t="shared" si="99"/>
        <v>#VALUE!</v>
      </c>
      <c r="AH100" s="360">
        <f t="shared" si="100"/>
        <v>3.6875694075404253</v>
      </c>
      <c r="AI100" s="360">
        <f t="shared" si="101"/>
        <v>3.3995420338570108E-2</v>
      </c>
      <c r="AJ100" s="360">
        <f t="shared" si="102"/>
        <v>0.10701599999999997</v>
      </c>
      <c r="AK100" s="360" t="e">
        <f t="shared" si="103"/>
        <v>#VALUE!</v>
      </c>
      <c r="AL100" s="360">
        <f t="shared" si="104"/>
        <v>0.10701599999999997</v>
      </c>
      <c r="AM100" s="360">
        <f t="shared" si="105"/>
        <v>1.9655999999999998</v>
      </c>
      <c r="AN100" s="360">
        <f t="shared" si="106"/>
        <v>0.41483281303792702</v>
      </c>
      <c r="AO100" s="360">
        <f t="shared" si="107"/>
        <v>2.0999999999999999E-3</v>
      </c>
      <c r="AP100" s="360">
        <f t="shared" si="108"/>
        <v>9.8999999999999991E-2</v>
      </c>
      <c r="AQ100" s="360">
        <f t="shared" si="109"/>
        <v>1.1483999999999999</v>
      </c>
      <c r="AR100" s="360">
        <f t="shared" si="110"/>
        <v>1.089</v>
      </c>
      <c r="AS100" s="360">
        <f t="shared" si="129"/>
        <v>0.1011</v>
      </c>
      <c r="AT100" s="360" t="e">
        <f t="shared" si="122"/>
        <v>#VALUE!</v>
      </c>
      <c r="AU100">
        <f t="shared" si="111"/>
        <v>455</v>
      </c>
      <c r="AV100" s="542" t="e">
        <f t="shared" si="123"/>
        <v>#VALUE!</v>
      </c>
      <c r="AW100" s="551" t="e">
        <f t="shared" si="112"/>
        <v>#VALUE!</v>
      </c>
      <c r="AX100" s="551" t="e">
        <f t="shared" si="113"/>
        <v>#VALUE!</v>
      </c>
      <c r="AY100" s="9"/>
      <c r="AZ100" s="4" t="e">
        <f t="shared" si="124"/>
        <v>#VALUE!</v>
      </c>
      <c r="BA100" s="360" t="e">
        <f t="shared" si="114"/>
        <v>#VALUE!</v>
      </c>
      <c r="BB100" s="360" t="e">
        <f t="shared" si="125"/>
        <v>#VALUE!</v>
      </c>
      <c r="BC100" s="360" t="e">
        <f t="shared" si="126"/>
        <v>#VALUE!</v>
      </c>
      <c r="BD100" s="360" t="e">
        <f t="shared" si="127"/>
        <v>#VALUE!</v>
      </c>
      <c r="BE100" s="360">
        <f t="shared" si="128"/>
        <v>0.41483281303792702</v>
      </c>
      <c r="BK100" s="18"/>
      <c r="BL100" s="19"/>
    </row>
    <row r="101" spans="7:64" x14ac:dyDescent="0.2">
      <c r="G101">
        <v>92</v>
      </c>
      <c r="H101" s="548">
        <f t="shared" si="82"/>
        <v>60</v>
      </c>
      <c r="I101" s="4">
        <f t="shared" si="83"/>
        <v>1</v>
      </c>
      <c r="J101" s="360">
        <f t="shared" si="115"/>
        <v>9.1999999999999993</v>
      </c>
      <c r="K101" s="4">
        <f t="shared" si="84"/>
        <v>8.5185185185185173</v>
      </c>
      <c r="L101" s="4"/>
      <c r="M101" s="360">
        <f t="shared" si="85"/>
        <v>0.83613102319799781</v>
      </c>
      <c r="N101" s="4">
        <f t="shared" si="86"/>
        <v>1.3704744890897318</v>
      </c>
      <c r="O101" s="4">
        <f t="shared" si="116"/>
        <v>9.8852372445448644</v>
      </c>
      <c r="P101" s="4">
        <f t="shared" si="117"/>
        <v>8.5147627554551342</v>
      </c>
      <c r="Q101" s="4">
        <f t="shared" si="87"/>
        <v>0</v>
      </c>
      <c r="R101" s="4">
        <f t="shared" si="88"/>
        <v>9.2085024131924111</v>
      </c>
      <c r="S101" s="360">
        <f t="shared" si="89"/>
        <v>1.0175582003252455</v>
      </c>
      <c r="T101" s="360">
        <f t="shared" si="90"/>
        <v>0.3</v>
      </c>
      <c r="U101" s="360" t="e">
        <f t="shared" si="91"/>
        <v>#VALUE!</v>
      </c>
      <c r="V101" s="4">
        <f t="shared" si="118"/>
        <v>0.39562190759673577</v>
      </c>
      <c r="W101" s="360">
        <f t="shared" si="92"/>
        <v>3.1303338754096026E-4</v>
      </c>
      <c r="X101" s="360">
        <f t="shared" si="119"/>
        <v>3.1303338754096026E-4</v>
      </c>
      <c r="Y101" s="4">
        <f t="shared" si="93"/>
        <v>3.4085882767238322</v>
      </c>
      <c r="Z101" s="360">
        <f t="shared" si="120"/>
        <v>1.1618474040219144E-2</v>
      </c>
      <c r="AA101" s="541">
        <f t="shared" si="121"/>
        <v>1.1618474040219144E-2</v>
      </c>
      <c r="AB101" s="360">
        <f t="shared" si="94"/>
        <v>8.4202730517951956</v>
      </c>
      <c r="AC101" s="360">
        <f t="shared" si="95"/>
        <v>0.42540598960073028</v>
      </c>
      <c r="AD101" s="360">
        <f t="shared" si="96"/>
        <v>0.60052826228473355</v>
      </c>
      <c r="AE101" s="360">
        <f t="shared" si="97"/>
        <v>-0.52595999999999998</v>
      </c>
      <c r="AF101" s="360">
        <f t="shared" si="98"/>
        <v>0</v>
      </c>
      <c r="AG101" s="360" t="e">
        <f t="shared" si="99"/>
        <v>#VALUE!</v>
      </c>
      <c r="AH101" s="360">
        <f t="shared" si="100"/>
        <v>3.7276693022560443</v>
      </c>
      <c r="AI101" s="360">
        <f t="shared" si="101"/>
        <v>3.4738796067455162E-2</v>
      </c>
      <c r="AJ101" s="360">
        <f t="shared" si="102"/>
        <v>0.10819199999999997</v>
      </c>
      <c r="AK101" s="360" t="e">
        <f t="shared" si="103"/>
        <v>#VALUE!</v>
      </c>
      <c r="AL101" s="360">
        <f t="shared" si="104"/>
        <v>0.10819199999999997</v>
      </c>
      <c r="AM101" s="360">
        <f t="shared" si="105"/>
        <v>1.9871999999999994</v>
      </c>
      <c r="AN101" s="360">
        <f t="shared" si="106"/>
        <v>0.42398258346885231</v>
      </c>
      <c r="AO101" s="360">
        <f t="shared" si="107"/>
        <v>2.0999999999999999E-3</v>
      </c>
      <c r="AP101" s="360">
        <f t="shared" si="108"/>
        <v>9.8999999999999991E-2</v>
      </c>
      <c r="AQ101" s="360">
        <f t="shared" si="109"/>
        <v>1.1483999999999999</v>
      </c>
      <c r="AR101" s="360">
        <f t="shared" si="110"/>
        <v>1.089</v>
      </c>
      <c r="AS101" s="360">
        <f t="shared" si="129"/>
        <v>0.1011</v>
      </c>
      <c r="AT101" s="360" t="e">
        <f t="shared" si="122"/>
        <v>#VALUE!</v>
      </c>
      <c r="AU101">
        <f t="shared" si="111"/>
        <v>459.99999999999994</v>
      </c>
      <c r="AV101" s="542" t="e">
        <f t="shared" si="123"/>
        <v>#VALUE!</v>
      </c>
      <c r="AW101" s="551" t="e">
        <f t="shared" si="112"/>
        <v>#VALUE!</v>
      </c>
      <c r="AX101" s="551" t="e">
        <f t="shared" si="113"/>
        <v>#VALUE!</v>
      </c>
      <c r="AY101" s="9"/>
      <c r="AZ101" s="4" t="e">
        <f t="shared" si="124"/>
        <v>#VALUE!</v>
      </c>
      <c r="BA101" s="360" t="e">
        <f t="shared" si="114"/>
        <v>#VALUE!</v>
      </c>
      <c r="BB101" s="360" t="e">
        <f t="shared" si="125"/>
        <v>#VALUE!</v>
      </c>
      <c r="BC101" s="360" t="e">
        <f t="shared" si="126"/>
        <v>#VALUE!</v>
      </c>
      <c r="BD101" s="360" t="e">
        <f t="shared" si="127"/>
        <v>#VALUE!</v>
      </c>
      <c r="BE101" s="360">
        <f t="shared" si="128"/>
        <v>0.42398258346885231</v>
      </c>
      <c r="BK101" s="18"/>
      <c r="BL101" s="19"/>
    </row>
    <row r="102" spans="7:64" x14ac:dyDescent="0.2">
      <c r="G102">
        <v>93</v>
      </c>
      <c r="H102" s="548">
        <f t="shared" si="82"/>
        <v>60</v>
      </c>
      <c r="I102" s="4">
        <f t="shared" si="83"/>
        <v>1</v>
      </c>
      <c r="J102" s="360">
        <f t="shared" si="115"/>
        <v>9.3000000000000007</v>
      </c>
      <c r="K102" s="4">
        <f t="shared" si="84"/>
        <v>8.6111111111111125</v>
      </c>
      <c r="L102" s="4"/>
      <c r="M102" s="360">
        <f t="shared" si="85"/>
        <v>0.83616142580183439</v>
      </c>
      <c r="N102" s="4">
        <f t="shared" si="86"/>
        <v>1.3702734725565191</v>
      </c>
      <c r="O102" s="4">
        <f t="shared" si="116"/>
        <v>9.9851367362782604</v>
      </c>
      <c r="P102" s="4">
        <f t="shared" si="117"/>
        <v>8.614863263721741</v>
      </c>
      <c r="Q102" s="4">
        <f t="shared" si="87"/>
        <v>0</v>
      </c>
      <c r="R102" s="4">
        <f t="shared" si="88"/>
        <v>9.3084086063336304</v>
      </c>
      <c r="S102" s="360">
        <f t="shared" si="89"/>
        <v>1.0397576493895919</v>
      </c>
      <c r="T102" s="360">
        <f t="shared" si="90"/>
        <v>0.3</v>
      </c>
      <c r="U102" s="360" t="e">
        <f t="shared" si="91"/>
        <v>#VALUE!</v>
      </c>
      <c r="V102" s="4">
        <f t="shared" si="118"/>
        <v>0.39556387912195479</v>
      </c>
      <c r="W102" s="360">
        <f t="shared" si="92"/>
        <v>3.1294156493201692E-4</v>
      </c>
      <c r="X102" s="360">
        <f t="shared" si="119"/>
        <v>3.1294156493201692E-4</v>
      </c>
      <c r="Y102" s="4">
        <f t="shared" si="93"/>
        <v>3.4453122100055742</v>
      </c>
      <c r="Z102" s="360">
        <f t="shared" si="120"/>
        <v>1.1870176224413493E-2</v>
      </c>
      <c r="AA102" s="541">
        <f t="shared" si="121"/>
        <v>1.1870176224413493E-2</v>
      </c>
      <c r="AB102" s="360">
        <f t="shared" si="94"/>
        <v>8.511782219380601</v>
      </c>
      <c r="AC102" s="360">
        <f t="shared" si="95"/>
        <v>0.43470261930098247</v>
      </c>
      <c r="AD102" s="360">
        <f t="shared" si="96"/>
        <v>0.60705574339652413</v>
      </c>
      <c r="AE102" s="360">
        <f t="shared" si="97"/>
        <v>-0.52595999999999998</v>
      </c>
      <c r="AF102" s="360">
        <f t="shared" si="98"/>
        <v>0</v>
      </c>
      <c r="AG102" s="360" t="e">
        <f t="shared" si="99"/>
        <v>#VALUE!</v>
      </c>
      <c r="AH102" s="360">
        <f t="shared" si="100"/>
        <v>3.7677624968012839</v>
      </c>
      <c r="AI102" s="360">
        <f t="shared" si="101"/>
        <v>3.5490085580755615E-2</v>
      </c>
      <c r="AJ102" s="360">
        <f t="shared" si="102"/>
        <v>0.10936799999999999</v>
      </c>
      <c r="AK102" s="360" t="e">
        <f t="shared" si="103"/>
        <v>#VALUE!</v>
      </c>
      <c r="AL102" s="360">
        <f t="shared" si="104"/>
        <v>0.10936799999999999</v>
      </c>
      <c r="AM102" s="360">
        <f t="shared" si="105"/>
        <v>2.0087999999999999</v>
      </c>
      <c r="AN102" s="360">
        <f t="shared" si="106"/>
        <v>0.43323235391233</v>
      </c>
      <c r="AO102" s="360">
        <f t="shared" si="107"/>
        <v>2.0999999999999999E-3</v>
      </c>
      <c r="AP102" s="360">
        <f t="shared" si="108"/>
        <v>9.8999999999999991E-2</v>
      </c>
      <c r="AQ102" s="360">
        <f t="shared" si="109"/>
        <v>1.1483999999999999</v>
      </c>
      <c r="AR102" s="360">
        <f t="shared" si="110"/>
        <v>1.089</v>
      </c>
      <c r="AS102" s="360">
        <f t="shared" si="129"/>
        <v>0.1011</v>
      </c>
      <c r="AT102" s="360" t="e">
        <f t="shared" si="122"/>
        <v>#VALUE!</v>
      </c>
      <c r="AU102">
        <f t="shared" si="111"/>
        <v>465.00000000000006</v>
      </c>
      <c r="AV102" s="542" t="e">
        <f t="shared" si="123"/>
        <v>#VALUE!</v>
      </c>
      <c r="AW102" s="551" t="e">
        <f t="shared" si="112"/>
        <v>#VALUE!</v>
      </c>
      <c r="AX102" s="551" t="e">
        <f t="shared" si="113"/>
        <v>#VALUE!</v>
      </c>
      <c r="AY102" s="9"/>
      <c r="AZ102" s="4" t="e">
        <f t="shared" si="124"/>
        <v>#VALUE!</v>
      </c>
      <c r="BA102" s="360" t="e">
        <f t="shared" si="114"/>
        <v>#VALUE!</v>
      </c>
      <c r="BB102" s="360" t="e">
        <f t="shared" si="125"/>
        <v>#VALUE!</v>
      </c>
      <c r="BC102" s="360" t="e">
        <f t="shared" si="126"/>
        <v>#VALUE!</v>
      </c>
      <c r="BD102" s="360" t="e">
        <f t="shared" si="127"/>
        <v>#VALUE!</v>
      </c>
      <c r="BE102" s="360">
        <f t="shared" si="128"/>
        <v>0.43323235391233</v>
      </c>
      <c r="BK102" s="18"/>
      <c r="BL102" s="19"/>
    </row>
    <row r="103" spans="7:64" x14ac:dyDescent="0.2">
      <c r="G103">
        <v>94</v>
      </c>
      <c r="H103" s="548">
        <f t="shared" si="82"/>
        <v>60</v>
      </c>
      <c r="I103" s="4">
        <f t="shared" si="83"/>
        <v>1</v>
      </c>
      <c r="J103" s="360">
        <f t="shared" si="115"/>
        <v>9.4</v>
      </c>
      <c r="K103" s="4">
        <f t="shared" si="84"/>
        <v>8.7037037037037042</v>
      </c>
      <c r="L103" s="4"/>
      <c r="M103" s="360">
        <f t="shared" si="85"/>
        <v>0.83619182825369376</v>
      </c>
      <c r="N103" s="4">
        <f t="shared" si="86"/>
        <v>1.3700724375327347</v>
      </c>
      <c r="O103" s="4">
        <f t="shared" si="116"/>
        <v>10.085036218766367</v>
      </c>
      <c r="P103" s="4">
        <f t="shared" si="117"/>
        <v>8.7149637812336334</v>
      </c>
      <c r="Q103" s="4">
        <f t="shared" si="87"/>
        <v>0</v>
      </c>
      <c r="R103" s="4">
        <f t="shared" si="88"/>
        <v>9.4083167927995461</v>
      </c>
      <c r="S103" s="360">
        <f t="shared" si="89"/>
        <v>1.0621970984840874</v>
      </c>
      <c r="T103" s="360">
        <f t="shared" si="90"/>
        <v>0.3</v>
      </c>
      <c r="U103" s="360" t="e">
        <f t="shared" si="91"/>
        <v>#VALUE!</v>
      </c>
      <c r="V103" s="4">
        <f t="shared" si="118"/>
        <v>0.39550584530940558</v>
      </c>
      <c r="W103" s="360">
        <f t="shared" si="92"/>
        <v>3.128497473478149E-4</v>
      </c>
      <c r="X103" s="360">
        <f t="shared" si="119"/>
        <v>3.128497473478149E-4</v>
      </c>
      <c r="Y103" s="4">
        <f t="shared" si="93"/>
        <v>3.4820313225809558</v>
      </c>
      <c r="Z103" s="360">
        <f t="shared" si="120"/>
        <v>1.2124542131434881E-2</v>
      </c>
      <c r="AA103" s="541">
        <f t="shared" si="121"/>
        <v>1.2124542131434881E-2</v>
      </c>
      <c r="AB103" s="360">
        <f t="shared" si="94"/>
        <v>8.6032965278199107</v>
      </c>
      <c r="AC103" s="360">
        <f t="shared" si="95"/>
        <v>0.44410026687358883</v>
      </c>
      <c r="AD103" s="360">
        <f t="shared" si="96"/>
        <v>0.61358322450831471</v>
      </c>
      <c r="AE103" s="360">
        <f t="shared" si="97"/>
        <v>-0.52595999999999998</v>
      </c>
      <c r="AF103" s="360">
        <f t="shared" si="98"/>
        <v>0</v>
      </c>
      <c r="AG103" s="360" t="e">
        <f t="shared" si="99"/>
        <v>#VALUE!</v>
      </c>
      <c r="AH103" s="360">
        <f t="shared" si="100"/>
        <v>3.8078489634012262</v>
      </c>
      <c r="AI103" s="360">
        <f t="shared" si="101"/>
        <v>3.6249284320189486E-2</v>
      </c>
      <c r="AJ103" s="360">
        <f t="shared" si="102"/>
        <v>0.11054399999999999</v>
      </c>
      <c r="AK103" s="360" t="e">
        <f t="shared" si="103"/>
        <v>#VALUE!</v>
      </c>
      <c r="AL103" s="360">
        <f t="shared" si="104"/>
        <v>0.11054399999999999</v>
      </c>
      <c r="AM103" s="360">
        <f t="shared" si="105"/>
        <v>2.0304000000000002</v>
      </c>
      <c r="AN103" s="360">
        <f t="shared" si="106"/>
        <v>0.44258212436836969</v>
      </c>
      <c r="AO103" s="360">
        <f t="shared" si="107"/>
        <v>2.0999999999999999E-3</v>
      </c>
      <c r="AP103" s="360">
        <f t="shared" si="108"/>
        <v>9.8999999999999991E-2</v>
      </c>
      <c r="AQ103" s="360">
        <f t="shared" si="109"/>
        <v>1.1483999999999999</v>
      </c>
      <c r="AR103" s="360">
        <f t="shared" si="110"/>
        <v>1.089</v>
      </c>
      <c r="AS103" s="360">
        <f t="shared" si="129"/>
        <v>0.1011</v>
      </c>
      <c r="AT103" s="360" t="e">
        <f t="shared" si="122"/>
        <v>#VALUE!</v>
      </c>
      <c r="AU103">
        <f t="shared" si="111"/>
        <v>470</v>
      </c>
      <c r="AV103" s="542" t="e">
        <f t="shared" si="123"/>
        <v>#VALUE!</v>
      </c>
      <c r="AW103" s="551" t="e">
        <f t="shared" si="112"/>
        <v>#VALUE!</v>
      </c>
      <c r="AX103" s="551" t="e">
        <f t="shared" si="113"/>
        <v>#VALUE!</v>
      </c>
      <c r="AY103" s="9"/>
      <c r="AZ103" s="4" t="e">
        <f t="shared" si="124"/>
        <v>#VALUE!</v>
      </c>
      <c r="BA103" s="360" t="e">
        <f t="shared" si="114"/>
        <v>#VALUE!</v>
      </c>
      <c r="BB103" s="360" t="e">
        <f t="shared" si="125"/>
        <v>#VALUE!</v>
      </c>
      <c r="BC103" s="360" t="e">
        <f t="shared" si="126"/>
        <v>#VALUE!</v>
      </c>
      <c r="BD103" s="360" t="e">
        <f t="shared" si="127"/>
        <v>#VALUE!</v>
      </c>
      <c r="BE103" s="360">
        <f t="shared" si="128"/>
        <v>0.44258212436836969</v>
      </c>
      <c r="BK103" s="18"/>
      <c r="BL103" s="19"/>
    </row>
    <row r="104" spans="7:64" x14ac:dyDescent="0.2">
      <c r="G104">
        <v>95</v>
      </c>
      <c r="H104" s="548">
        <f t="shared" si="82"/>
        <v>60</v>
      </c>
      <c r="I104" s="4">
        <f t="shared" si="83"/>
        <v>1</v>
      </c>
      <c r="J104" s="360">
        <f t="shared" si="115"/>
        <v>9.5</v>
      </c>
      <c r="K104" s="4">
        <f t="shared" si="84"/>
        <v>8.7962962962962958</v>
      </c>
      <c r="L104" s="4"/>
      <c r="M104" s="360">
        <f t="shared" si="85"/>
        <v>0.83622223055357692</v>
      </c>
      <c r="N104" s="4">
        <f t="shared" si="86"/>
        <v>1.3698713840185177</v>
      </c>
      <c r="O104" s="4">
        <f t="shared" si="116"/>
        <v>10.184935692009258</v>
      </c>
      <c r="P104" s="4">
        <f t="shared" si="117"/>
        <v>8.8150643079907418</v>
      </c>
      <c r="Q104" s="4">
        <f t="shared" si="87"/>
        <v>0</v>
      </c>
      <c r="R104" s="4">
        <f t="shared" si="88"/>
        <v>9.5082269097553649</v>
      </c>
      <c r="S104" s="360">
        <f t="shared" si="89"/>
        <v>1.0848765476087527</v>
      </c>
      <c r="T104" s="360">
        <f t="shared" si="90"/>
        <v>0.3</v>
      </c>
      <c r="U104" s="360" t="e">
        <f t="shared" si="91"/>
        <v>#VALUE!</v>
      </c>
      <c r="V104" s="4">
        <f t="shared" si="118"/>
        <v>0.39544780615912822</v>
      </c>
      <c r="W104" s="360">
        <f t="shared" si="92"/>
        <v>3.1275793479213485E-4</v>
      </c>
      <c r="X104" s="360">
        <f t="shared" si="119"/>
        <v>3.1275793479213485E-4</v>
      </c>
      <c r="Y104" s="4">
        <f t="shared" si="93"/>
        <v>3.5187455896977338</v>
      </c>
      <c r="Z104" s="360">
        <f t="shared" si="120"/>
        <v>1.2381570525017253E-2</v>
      </c>
      <c r="AA104" s="541">
        <f t="shared" si="121"/>
        <v>1.2381570525017253E-2</v>
      </c>
      <c r="AB104" s="360">
        <f t="shared" si="94"/>
        <v>8.6948159196378558</v>
      </c>
      <c r="AC104" s="360">
        <f t="shared" si="95"/>
        <v>0.45359894325832734</v>
      </c>
      <c r="AD104" s="360">
        <f t="shared" si="96"/>
        <v>0.62011070562010528</v>
      </c>
      <c r="AE104" s="360">
        <f t="shared" si="97"/>
        <v>-0.52595999999999998</v>
      </c>
      <c r="AF104" s="360">
        <f t="shared" si="98"/>
        <v>0</v>
      </c>
      <c r="AG104" s="360" t="e">
        <f t="shared" si="99"/>
        <v>#VALUE!</v>
      </c>
      <c r="AH104" s="360">
        <f t="shared" si="100"/>
        <v>3.8479286754055284</v>
      </c>
      <c r="AI104" s="360">
        <f t="shared" si="101"/>
        <v>3.7016387727520361E-2</v>
      </c>
      <c r="AJ104" s="360">
        <f t="shared" si="102"/>
        <v>0.11171999999999999</v>
      </c>
      <c r="AK104" s="360" t="e">
        <f t="shared" si="103"/>
        <v>#VALUE!</v>
      </c>
      <c r="AL104" s="360">
        <f t="shared" si="104"/>
        <v>0.11171999999999999</v>
      </c>
      <c r="AM104" s="360">
        <f t="shared" si="105"/>
        <v>2.0519999999999996</v>
      </c>
      <c r="AN104" s="360">
        <f t="shared" si="106"/>
        <v>0.45203189483698025</v>
      </c>
      <c r="AO104" s="360">
        <f t="shared" si="107"/>
        <v>2.0999999999999999E-3</v>
      </c>
      <c r="AP104" s="360">
        <f t="shared" si="108"/>
        <v>9.8999999999999991E-2</v>
      </c>
      <c r="AQ104" s="360">
        <f t="shared" si="109"/>
        <v>1.1483999999999999</v>
      </c>
      <c r="AR104" s="360">
        <f t="shared" si="110"/>
        <v>1.089</v>
      </c>
      <c r="AS104" s="360">
        <f t="shared" si="129"/>
        <v>0.1011</v>
      </c>
      <c r="AT104" s="360" t="e">
        <f t="shared" si="122"/>
        <v>#VALUE!</v>
      </c>
      <c r="AU104">
        <f t="shared" si="111"/>
        <v>475</v>
      </c>
      <c r="AV104" s="542" t="e">
        <f t="shared" si="123"/>
        <v>#VALUE!</v>
      </c>
      <c r="AW104" s="551" t="e">
        <f t="shared" si="112"/>
        <v>#VALUE!</v>
      </c>
      <c r="AX104" s="551" t="e">
        <f t="shared" si="113"/>
        <v>#VALUE!</v>
      </c>
      <c r="AY104" s="9"/>
      <c r="AZ104" s="4" t="e">
        <f t="shared" si="124"/>
        <v>#VALUE!</v>
      </c>
      <c r="BA104" s="360" t="e">
        <f t="shared" si="114"/>
        <v>#VALUE!</v>
      </c>
      <c r="BB104" s="360" t="e">
        <f t="shared" si="125"/>
        <v>#VALUE!</v>
      </c>
      <c r="BC104" s="360" t="e">
        <f t="shared" si="126"/>
        <v>#VALUE!</v>
      </c>
      <c r="BD104" s="360" t="e">
        <f t="shared" si="127"/>
        <v>#VALUE!</v>
      </c>
      <c r="BE104" s="360">
        <f t="shared" si="128"/>
        <v>0.45203189483698025</v>
      </c>
      <c r="BK104" s="18"/>
      <c r="BL104" s="19"/>
    </row>
    <row r="105" spans="7:64" x14ac:dyDescent="0.2">
      <c r="G105">
        <v>96</v>
      </c>
      <c r="H105" s="548">
        <f t="shared" si="82"/>
        <v>60</v>
      </c>
      <c r="I105" s="4">
        <f t="shared" si="83"/>
        <v>1</v>
      </c>
      <c r="J105" s="360">
        <f t="shared" si="115"/>
        <v>9.6</v>
      </c>
      <c r="K105" s="4">
        <f t="shared" ref="K105:K109" si="130">Vout2*J105/(Vin*Efficiency)</f>
        <v>8.8888888888888893</v>
      </c>
      <c r="L105" s="4"/>
      <c r="M105" s="360">
        <f t="shared" si="85"/>
        <v>0.83625263270148487</v>
      </c>
      <c r="N105" s="4">
        <f t="shared" ref="N105:N109" si="131">(Vin-(Rdson3+Rdcr2)*J105-Vout2)*M105/(Fsw*Lo_2)</f>
        <v>1.3696703120140048</v>
      </c>
      <c r="O105" s="4">
        <f t="shared" si="116"/>
        <v>10.284835156007002</v>
      </c>
      <c r="P105" s="4">
        <f t="shared" si="117"/>
        <v>8.9151648439929971</v>
      </c>
      <c r="Q105" s="4">
        <f t="shared" ref="Q105:Q109" si="132">IF(MIN(Vin, -P105/(Coss_Q3+Coss_Q4)*0.00000002)&lt;0, 0, MIN(Vin, -P105/(Coss_Q3+Coss_Q4)*0.00000002))</f>
        <v>0</v>
      </c>
      <c r="R105" s="4">
        <f t="shared" si="88"/>
        <v>9.6081388969786641</v>
      </c>
      <c r="S105" s="360">
        <f t="shared" ref="S105:S109" si="133">R105^2*Rdcr2</f>
        <v>1.1077959967636126</v>
      </c>
      <c r="T105" s="360">
        <f t="shared" si="90"/>
        <v>0.3</v>
      </c>
      <c r="U105" s="360" t="e">
        <f t="shared" ref="U105:U109" si="134">(T105+S105*(1+Ltc*(Ta-25)))/(1-S105*Ltc*ThetaCa)</f>
        <v>#VALUE!</v>
      </c>
      <c r="V105" s="4">
        <f t="shared" si="118"/>
        <v>0.39538976167116219</v>
      </c>
      <c r="W105" s="360">
        <f t="shared" ref="W105:W109" si="135">Cout2_ESR*V105^2</f>
        <v>3.1266612726875686E-4</v>
      </c>
      <c r="X105" s="360">
        <f t="shared" si="119"/>
        <v>3.1266612726875686E-4</v>
      </c>
      <c r="Y105" s="4">
        <f t="shared" si="93"/>
        <v>3.5554549875768666</v>
      </c>
      <c r="Z105" s="360">
        <f t="shared" si="120"/>
        <v>1.2641260168685216E-2</v>
      </c>
      <c r="AA105" s="541">
        <f t="shared" si="121"/>
        <v>1.2641260168685216E-2</v>
      </c>
      <c r="AB105" s="360">
        <f t="shared" si="94"/>
        <v>8.7863403397439246</v>
      </c>
      <c r="AC105" s="360">
        <f t="shared" ref="AC105:AC109" si="136">Rdson3*AB105^2</f>
        <v>0.46319865939486837</v>
      </c>
      <c r="AD105" s="360">
        <f t="shared" si="96"/>
        <v>0.62663818673189586</v>
      </c>
      <c r="AE105" s="360">
        <f t="shared" si="97"/>
        <v>-0.52595999999999998</v>
      </c>
      <c r="AF105" s="360">
        <f t="shared" si="98"/>
        <v>0</v>
      </c>
      <c r="AG105" s="360" t="e">
        <f t="shared" ref="AG105:AG109" si="137">(AF105+AE105+AD105+AC105*(1+RdsonTopTc*Ta-RdsonTopTc*25))/(1-AC105*RdsonTopTc*ThetaJA_Q2)</f>
        <v>#VALUE!</v>
      </c>
      <c r="AH105" s="360">
        <f t="shared" si="100"/>
        <v>3.8880016072299912</v>
      </c>
      <c r="AI105" s="360">
        <f t="shared" ref="AI105:AI109" si="138">Rdson4*AH105^2</f>
        <v>3.7791391244557486E-2</v>
      </c>
      <c r="AJ105" s="360">
        <f t="shared" si="102"/>
        <v>0.11289599999999997</v>
      </c>
      <c r="AK105" s="360" t="e">
        <f t="shared" ref="AK105:AK109" si="139">(AJ105+AI105*(1+RdsonBotTc*Ta-RdsonBotTc*25))/(1-AI105*RdsonBotTc*ThetaJA_Q3)</f>
        <v>#VALUE!</v>
      </c>
      <c r="AL105" s="360">
        <f t="shared" si="104"/>
        <v>0.11289599999999997</v>
      </c>
      <c r="AM105" s="360">
        <f t="shared" si="105"/>
        <v>2.0735999999999999</v>
      </c>
      <c r="AN105" s="360">
        <f t="shared" si="106"/>
        <v>0.46158166531817191</v>
      </c>
      <c r="AO105" s="360">
        <f t="shared" si="107"/>
        <v>2.0999999999999999E-3</v>
      </c>
      <c r="AP105" s="360">
        <f t="shared" si="108"/>
        <v>9.8999999999999991E-2</v>
      </c>
      <c r="AQ105" s="360">
        <f t="shared" si="109"/>
        <v>1.1483999999999999</v>
      </c>
      <c r="AR105" s="360">
        <f t="shared" si="110"/>
        <v>1.089</v>
      </c>
      <c r="AS105" s="360">
        <f t="shared" si="129"/>
        <v>0.1011</v>
      </c>
      <c r="AT105" s="360" t="e">
        <f t="shared" si="122"/>
        <v>#VALUE!</v>
      </c>
      <c r="AU105">
        <f t="shared" si="111"/>
        <v>480</v>
      </c>
      <c r="AV105" s="542" t="e">
        <f t="shared" si="123"/>
        <v>#VALUE!</v>
      </c>
      <c r="AW105" s="551" t="e">
        <f t="shared" si="112"/>
        <v>#VALUE!</v>
      </c>
      <c r="AX105" s="551" t="e">
        <f t="shared" si="113"/>
        <v>#VALUE!</v>
      </c>
      <c r="AY105" s="9"/>
      <c r="AZ105" s="4" t="e">
        <f t="shared" si="124"/>
        <v>#VALUE!</v>
      </c>
      <c r="BA105" s="360" t="e">
        <f t="shared" si="114"/>
        <v>#VALUE!</v>
      </c>
      <c r="BB105" s="360" t="e">
        <f t="shared" si="125"/>
        <v>#VALUE!</v>
      </c>
      <c r="BC105" s="360" t="e">
        <f t="shared" si="126"/>
        <v>#VALUE!</v>
      </c>
      <c r="BD105" s="360" t="e">
        <f t="shared" si="127"/>
        <v>#VALUE!</v>
      </c>
      <c r="BE105" s="360">
        <f t="shared" si="128"/>
        <v>0.46158166531817191</v>
      </c>
      <c r="BK105" s="18"/>
      <c r="BL105" s="19"/>
    </row>
    <row r="106" spans="7:64" x14ac:dyDescent="0.2">
      <c r="G106">
        <v>97</v>
      </c>
      <c r="H106" s="548">
        <f t="shared" si="82"/>
        <v>60</v>
      </c>
      <c r="I106" s="4">
        <f t="shared" si="83"/>
        <v>1</v>
      </c>
      <c r="J106" s="360">
        <f t="shared" si="115"/>
        <v>9.6999999999999993</v>
      </c>
      <c r="K106" s="4">
        <f t="shared" si="130"/>
        <v>8.981481481481481</v>
      </c>
      <c r="L106" s="4"/>
      <c r="M106" s="360">
        <f t="shared" si="85"/>
        <v>0.83628303469741916</v>
      </c>
      <c r="N106" s="4">
        <f t="shared" si="131"/>
        <v>1.3694692215193371</v>
      </c>
      <c r="O106" s="4">
        <f t="shared" si="116"/>
        <v>10.384734610759669</v>
      </c>
      <c r="P106" s="4">
        <f t="shared" si="117"/>
        <v>9.0152653892403301</v>
      </c>
      <c r="Q106" s="4">
        <f t="shared" si="132"/>
        <v>0</v>
      </c>
      <c r="R106" s="4">
        <f t="shared" si="88"/>
        <v>9.7080526967250602</v>
      </c>
      <c r="S106" s="360">
        <f t="shared" si="133"/>
        <v>1.1309554459486886</v>
      </c>
      <c r="T106" s="360">
        <f t="shared" si="90"/>
        <v>0.3</v>
      </c>
      <c r="U106" s="360" t="e">
        <f t="shared" si="134"/>
        <v>#VALUE!</v>
      </c>
      <c r="V106" s="4">
        <f t="shared" si="118"/>
        <v>0.39533171184554827</v>
      </c>
      <c r="W106" s="360">
        <f t="shared" si="135"/>
        <v>3.1257432478146326E-4</v>
      </c>
      <c r="X106" s="360">
        <f t="shared" si="119"/>
        <v>3.1257432478146326E-4</v>
      </c>
      <c r="Y106" s="4">
        <f t="shared" si="93"/>
        <v>3.5921594933624497</v>
      </c>
      <c r="Z106" s="360">
        <f t="shared" si="120"/>
        <v>1.2903609825753972E-2</v>
      </c>
      <c r="AA106" s="541">
        <f t="shared" si="121"/>
        <v>1.2903609825753972E-2</v>
      </c>
      <c r="AB106" s="360">
        <f t="shared" si="94"/>
        <v>8.8778697353097336</v>
      </c>
      <c r="AC106" s="360">
        <f t="shared" si="136"/>
        <v>0.47289942622277109</v>
      </c>
      <c r="AD106" s="360">
        <f t="shared" si="96"/>
        <v>0.63316566784368644</v>
      </c>
      <c r="AE106" s="360">
        <f t="shared" si="97"/>
        <v>-0.52595999999999998</v>
      </c>
      <c r="AF106" s="360">
        <f t="shared" si="98"/>
        <v>0</v>
      </c>
      <c r="AG106" s="360" t="e">
        <f t="shared" si="137"/>
        <v>#VALUE!</v>
      </c>
      <c r="AH106" s="360">
        <f t="shared" si="100"/>
        <v>3.9280677343017127</v>
      </c>
      <c r="AI106" s="360">
        <f t="shared" si="138"/>
        <v>3.8574290313155478E-2</v>
      </c>
      <c r="AJ106" s="360">
        <f t="shared" si="102"/>
        <v>0.11407199999999997</v>
      </c>
      <c r="AK106" s="360" t="e">
        <f t="shared" si="139"/>
        <v>#VALUE!</v>
      </c>
      <c r="AL106" s="360">
        <f t="shared" si="104"/>
        <v>0.11407199999999997</v>
      </c>
      <c r="AM106" s="360">
        <f t="shared" si="105"/>
        <v>2.0951999999999997</v>
      </c>
      <c r="AN106" s="360">
        <f t="shared" si="106"/>
        <v>0.47123143581195359</v>
      </c>
      <c r="AO106" s="360">
        <f t="shared" si="107"/>
        <v>2.0999999999999999E-3</v>
      </c>
      <c r="AP106" s="360">
        <f t="shared" si="108"/>
        <v>9.8999999999999991E-2</v>
      </c>
      <c r="AQ106" s="360">
        <f t="shared" si="109"/>
        <v>1.1483999999999999</v>
      </c>
      <c r="AR106" s="360">
        <f t="shared" si="110"/>
        <v>1.089</v>
      </c>
      <c r="AS106" s="360">
        <f t="shared" si="129"/>
        <v>0.1011</v>
      </c>
      <c r="AT106" s="360" t="e">
        <f t="shared" si="122"/>
        <v>#VALUE!</v>
      </c>
      <c r="AU106">
        <f t="shared" si="111"/>
        <v>484.99999999999994</v>
      </c>
      <c r="AV106" s="542" t="e">
        <f t="shared" si="123"/>
        <v>#VALUE!</v>
      </c>
      <c r="AW106" s="551" t="e">
        <f t="shared" si="112"/>
        <v>#VALUE!</v>
      </c>
      <c r="AX106" s="551" t="e">
        <f t="shared" si="113"/>
        <v>#VALUE!</v>
      </c>
      <c r="AY106" s="9"/>
      <c r="AZ106" s="4" t="e">
        <f t="shared" si="124"/>
        <v>#VALUE!</v>
      </c>
      <c r="BA106" s="360" t="e">
        <f t="shared" si="114"/>
        <v>#VALUE!</v>
      </c>
      <c r="BB106" s="360" t="e">
        <f t="shared" si="125"/>
        <v>#VALUE!</v>
      </c>
      <c r="BC106" s="360" t="e">
        <f t="shared" si="126"/>
        <v>#VALUE!</v>
      </c>
      <c r="BD106" s="360" t="e">
        <f t="shared" si="127"/>
        <v>#VALUE!</v>
      </c>
      <c r="BE106" s="360">
        <f t="shared" si="128"/>
        <v>0.47123143581195359</v>
      </c>
      <c r="BK106" s="18"/>
      <c r="BL106" s="19"/>
    </row>
    <row r="107" spans="7:64" x14ac:dyDescent="0.2">
      <c r="G107">
        <v>98</v>
      </c>
      <c r="H107" s="548">
        <f t="shared" si="82"/>
        <v>60</v>
      </c>
      <c r="I107" s="4">
        <f t="shared" si="83"/>
        <v>1</v>
      </c>
      <c r="J107" s="360">
        <f t="shared" si="115"/>
        <v>9.8000000000000007</v>
      </c>
      <c r="K107" s="4">
        <f t="shared" si="130"/>
        <v>9.0740740740740744</v>
      </c>
      <c r="L107" s="4"/>
      <c r="M107" s="360">
        <f t="shared" si="85"/>
        <v>0.83631343654138068</v>
      </c>
      <c r="N107" s="4">
        <f t="shared" si="131"/>
        <v>1.3692681125346509</v>
      </c>
      <c r="O107" s="4">
        <f t="shared" si="116"/>
        <v>10.484634056267327</v>
      </c>
      <c r="P107" s="4">
        <f t="shared" si="117"/>
        <v>9.1153659437326748</v>
      </c>
      <c r="Q107" s="4">
        <f t="shared" si="132"/>
        <v>0</v>
      </c>
      <c r="R107" s="4">
        <f t="shared" si="88"/>
        <v>9.8079682536021213</v>
      </c>
      <c r="S107" s="360">
        <f t="shared" si="133"/>
        <v>1.1543548951640046</v>
      </c>
      <c r="T107" s="360">
        <f t="shared" si="90"/>
        <v>0.3</v>
      </c>
      <c r="U107" s="360" t="e">
        <f t="shared" si="134"/>
        <v>#VALUE!</v>
      </c>
      <c r="V107" s="4">
        <f t="shared" si="118"/>
        <v>0.39527365668232572</v>
      </c>
      <c r="W107" s="360">
        <f t="shared" si="135"/>
        <v>3.1248252733403418E-4</v>
      </c>
      <c r="X107" s="360">
        <f t="shared" si="119"/>
        <v>3.1248252733403418E-4</v>
      </c>
      <c r="Y107" s="4">
        <f t="shared" si="93"/>
        <v>3.6288590850747289</v>
      </c>
      <c r="Z107" s="360">
        <f t="shared" si="120"/>
        <v>1.3168618259329398E-2</v>
      </c>
      <c r="AA107" s="541">
        <f t="shared" si="121"/>
        <v>1.3168618259329398E-2</v>
      </c>
      <c r="AB107" s="360">
        <f t="shared" si="94"/>
        <v>8.9694040556539303</v>
      </c>
      <c r="AC107" s="360">
        <f t="shared" si="136"/>
        <v>0.482701254681487</v>
      </c>
      <c r="AD107" s="360">
        <f t="shared" si="96"/>
        <v>0.63969314895547702</v>
      </c>
      <c r="AE107" s="360">
        <f t="shared" si="97"/>
        <v>-0.52595999999999998</v>
      </c>
      <c r="AF107" s="360">
        <f t="shared" si="98"/>
        <v>0</v>
      </c>
      <c r="AG107" s="360" t="e">
        <f t="shared" si="137"/>
        <v>#VALUE!</v>
      </c>
      <c r="AH107" s="360">
        <f t="shared" si="100"/>
        <v>3.9681270330076241</v>
      </c>
      <c r="AI107" s="360">
        <f t="shared" si="138"/>
        <v>3.9365080375214724E-2</v>
      </c>
      <c r="AJ107" s="360">
        <f t="shared" si="102"/>
        <v>0.11524799999999999</v>
      </c>
      <c r="AK107" s="360" t="e">
        <f t="shared" si="139"/>
        <v>#VALUE!</v>
      </c>
      <c r="AL107" s="360">
        <f t="shared" si="104"/>
        <v>0.11524799999999999</v>
      </c>
      <c r="AM107" s="360">
        <f t="shared" si="105"/>
        <v>2.1168</v>
      </c>
      <c r="AN107" s="360">
        <f t="shared" si="106"/>
        <v>0.48098120631833524</v>
      </c>
      <c r="AO107" s="360">
        <f t="shared" si="107"/>
        <v>2.0999999999999999E-3</v>
      </c>
      <c r="AP107" s="360">
        <f t="shared" si="108"/>
        <v>9.8999999999999991E-2</v>
      </c>
      <c r="AQ107" s="360">
        <f t="shared" si="109"/>
        <v>1.1483999999999999</v>
      </c>
      <c r="AR107" s="360">
        <f t="shared" si="110"/>
        <v>1.089</v>
      </c>
      <c r="AS107" s="360">
        <f t="shared" si="129"/>
        <v>0.1011</v>
      </c>
      <c r="AT107" s="360" t="e">
        <f t="shared" si="122"/>
        <v>#VALUE!</v>
      </c>
      <c r="AU107">
        <f t="shared" si="111"/>
        <v>490.00000000000006</v>
      </c>
      <c r="AV107" s="542" t="e">
        <f t="shared" si="123"/>
        <v>#VALUE!</v>
      </c>
      <c r="AW107" s="551" t="e">
        <f t="shared" si="112"/>
        <v>#VALUE!</v>
      </c>
      <c r="AX107" s="551" t="e">
        <f t="shared" si="113"/>
        <v>#VALUE!</v>
      </c>
      <c r="AY107" s="9"/>
      <c r="AZ107" s="4" t="e">
        <f t="shared" si="124"/>
        <v>#VALUE!</v>
      </c>
      <c r="BA107" s="360" t="e">
        <f t="shared" si="114"/>
        <v>#VALUE!</v>
      </c>
      <c r="BB107" s="360" t="e">
        <f t="shared" si="125"/>
        <v>#VALUE!</v>
      </c>
      <c r="BC107" s="360" t="e">
        <f t="shared" si="126"/>
        <v>#VALUE!</v>
      </c>
      <c r="BD107" s="360" t="e">
        <f t="shared" si="127"/>
        <v>#VALUE!</v>
      </c>
      <c r="BE107" s="360">
        <f t="shared" si="128"/>
        <v>0.48098120631833524</v>
      </c>
      <c r="BK107" s="18"/>
      <c r="BL107" s="19"/>
    </row>
    <row r="108" spans="7:64" x14ac:dyDescent="0.2">
      <c r="G108">
        <v>99</v>
      </c>
      <c r="H108" s="548">
        <f t="shared" si="82"/>
        <v>60</v>
      </c>
      <c r="I108" s="4">
        <f t="shared" si="83"/>
        <v>1</v>
      </c>
      <c r="J108" s="360">
        <f t="shared" si="115"/>
        <v>9.9</v>
      </c>
      <c r="K108" s="4">
        <f t="shared" si="130"/>
        <v>9.1666666666666661</v>
      </c>
      <c r="L108" s="4"/>
      <c r="M108" s="360">
        <f t="shared" si="85"/>
        <v>0.83634383823337055</v>
      </c>
      <c r="N108" s="4">
        <f t="shared" si="131"/>
        <v>1.3690669850600867</v>
      </c>
      <c r="O108" s="4">
        <f t="shared" si="116"/>
        <v>10.584533492530044</v>
      </c>
      <c r="P108" s="4">
        <f t="shared" si="117"/>
        <v>9.2154665074699569</v>
      </c>
      <c r="Q108" s="4">
        <f t="shared" si="132"/>
        <v>0</v>
      </c>
      <c r="R108" s="4">
        <f t="shared" si="88"/>
        <v>9.9078855144508573</v>
      </c>
      <c r="S108" s="360">
        <f t="shared" si="133"/>
        <v>1.1779943444095817</v>
      </c>
      <c r="T108" s="360">
        <f t="shared" si="90"/>
        <v>0.3</v>
      </c>
      <c r="U108" s="360" t="e">
        <f t="shared" si="134"/>
        <v>#VALUE!</v>
      </c>
      <c r="V108" s="4">
        <f t="shared" si="118"/>
        <v>0.39521559618153523</v>
      </c>
      <c r="W108" s="360">
        <f t="shared" si="135"/>
        <v>3.1239073493025268E-4</v>
      </c>
      <c r="X108" s="360">
        <f t="shared" si="119"/>
        <v>3.1239073493025268E-4</v>
      </c>
      <c r="Y108" s="4">
        <f t="shared" si="93"/>
        <v>3.6655537415659314</v>
      </c>
      <c r="Z108" s="360">
        <f t="shared" si="120"/>
        <v>1.3436284232307999E-2</v>
      </c>
      <c r="AA108" s="541">
        <f t="shared" si="121"/>
        <v>1.3436284232307999E-2</v>
      </c>
      <c r="AB108" s="360">
        <f t="shared" si="94"/>
        <v>9.0609432521340025</v>
      </c>
      <c r="AC108" s="360">
        <f t="shared" si="136"/>
        <v>0.49260415571035632</v>
      </c>
      <c r="AD108" s="360">
        <f t="shared" si="96"/>
        <v>0.6462206300672676</v>
      </c>
      <c r="AE108" s="360">
        <f t="shared" si="97"/>
        <v>-0.52595999999999998</v>
      </c>
      <c r="AF108" s="360">
        <f t="shared" si="98"/>
        <v>0</v>
      </c>
      <c r="AG108" s="360" t="e">
        <f t="shared" si="137"/>
        <v>#VALUE!</v>
      </c>
      <c r="AH108" s="360">
        <f t="shared" si="100"/>
        <v>4.0081794806460982</v>
      </c>
      <c r="AI108" s="360">
        <f t="shared" si="138"/>
        <v>4.0163756872681068E-2</v>
      </c>
      <c r="AJ108" s="360">
        <f t="shared" si="102"/>
        <v>0.11642399999999999</v>
      </c>
      <c r="AK108" s="360" t="e">
        <f t="shared" si="139"/>
        <v>#VALUE!</v>
      </c>
      <c r="AL108" s="360">
        <f t="shared" si="104"/>
        <v>0.11642399999999999</v>
      </c>
      <c r="AM108" s="360">
        <f t="shared" si="105"/>
        <v>2.1383999999999999</v>
      </c>
      <c r="AN108" s="360">
        <f t="shared" si="106"/>
        <v>0.49083097683732568</v>
      </c>
      <c r="AO108" s="360">
        <f t="shared" si="107"/>
        <v>2.0999999999999999E-3</v>
      </c>
      <c r="AP108" s="360">
        <f t="shared" si="108"/>
        <v>9.8999999999999991E-2</v>
      </c>
      <c r="AQ108" s="360">
        <f t="shared" si="109"/>
        <v>1.1483999999999999</v>
      </c>
      <c r="AR108" s="360">
        <f t="shared" si="110"/>
        <v>1.089</v>
      </c>
      <c r="AS108" s="360">
        <f t="shared" si="129"/>
        <v>0.1011</v>
      </c>
      <c r="AT108" s="360" t="e">
        <f t="shared" si="122"/>
        <v>#VALUE!</v>
      </c>
      <c r="AU108">
        <f t="shared" si="111"/>
        <v>495</v>
      </c>
      <c r="AV108" s="542" t="e">
        <f t="shared" si="123"/>
        <v>#VALUE!</v>
      </c>
      <c r="AW108" s="551" t="e">
        <f t="shared" si="112"/>
        <v>#VALUE!</v>
      </c>
      <c r="AX108" s="551" t="e">
        <f t="shared" si="113"/>
        <v>#VALUE!</v>
      </c>
      <c r="AY108" s="9"/>
      <c r="AZ108" s="4" t="e">
        <f t="shared" si="124"/>
        <v>#VALUE!</v>
      </c>
      <c r="BA108" s="360" t="e">
        <f t="shared" si="114"/>
        <v>#VALUE!</v>
      </c>
      <c r="BB108" s="360" t="e">
        <f t="shared" si="125"/>
        <v>#VALUE!</v>
      </c>
      <c r="BC108" s="360" t="e">
        <f t="shared" si="126"/>
        <v>#VALUE!</v>
      </c>
      <c r="BD108" s="360" t="e">
        <f t="shared" si="127"/>
        <v>#VALUE!</v>
      </c>
      <c r="BE108" s="360">
        <f t="shared" si="128"/>
        <v>0.49083097683732568</v>
      </c>
      <c r="BK108" s="18"/>
      <c r="BL108" s="19"/>
    </row>
    <row r="109" spans="7:64" x14ac:dyDescent="0.2">
      <c r="G109">
        <v>100</v>
      </c>
      <c r="H109" s="548">
        <f t="shared" si="82"/>
        <v>60</v>
      </c>
      <c r="I109" s="4">
        <f t="shared" si="83"/>
        <v>1</v>
      </c>
      <c r="J109" s="360">
        <f t="shared" si="115"/>
        <v>10</v>
      </c>
      <c r="K109" s="4">
        <f t="shared" si="130"/>
        <v>9.2592592592592595</v>
      </c>
      <c r="L109" s="4"/>
      <c r="M109" s="360">
        <f t="shared" si="85"/>
        <v>0.83637423977338998</v>
      </c>
      <c r="N109" s="4">
        <f t="shared" si="131"/>
        <v>1.3688658390957815</v>
      </c>
      <c r="O109" s="4">
        <f t="shared" si="116"/>
        <v>10.684432919547891</v>
      </c>
      <c r="P109" s="4">
        <f t="shared" si="117"/>
        <v>9.3155670804521087</v>
      </c>
      <c r="Q109" s="4">
        <f t="shared" si="132"/>
        <v>0</v>
      </c>
      <c r="R109" s="4">
        <f t="shared" si="88"/>
        <v>10.007804428234344</v>
      </c>
      <c r="S109" s="360">
        <f t="shared" si="133"/>
        <v>1.2018737936854436</v>
      </c>
      <c r="T109" s="360">
        <f t="shared" si="90"/>
        <v>0.3</v>
      </c>
      <c r="U109" s="360" t="e">
        <f t="shared" si="134"/>
        <v>#VALUE!</v>
      </c>
      <c r="V109" s="4">
        <f t="shared" si="118"/>
        <v>0.39515753034321621</v>
      </c>
      <c r="W109" s="360">
        <f t="shared" si="135"/>
        <v>3.1229894757389969E-4</v>
      </c>
      <c r="X109" s="360">
        <f t="shared" si="119"/>
        <v>3.1229894757389969E-4</v>
      </c>
      <c r="Y109" s="4">
        <f t="shared" si="93"/>
        <v>3.7022434424787556</v>
      </c>
      <c r="Z109" s="360">
        <f t="shared" si="120"/>
        <v>1.3706606507376947E-2</v>
      </c>
      <c r="AA109" s="541">
        <f t="shared" si="121"/>
        <v>1.3706606507376947E-2</v>
      </c>
      <c r="AB109" s="360">
        <f t="shared" si="94"/>
        <v>9.1524872780446174</v>
      </c>
      <c r="AC109" s="360">
        <f t="shared" si="136"/>
        <v>0.50260814024861145</v>
      </c>
      <c r="AD109" s="360">
        <f t="shared" si="96"/>
        <v>0.65274811117905818</v>
      </c>
      <c r="AE109" s="360">
        <f t="shared" si="97"/>
        <v>-0.52595999999999998</v>
      </c>
      <c r="AF109" s="360">
        <f t="shared" si="98"/>
        <v>0</v>
      </c>
      <c r="AG109" s="360" t="e">
        <f t="shared" si="137"/>
        <v>#VALUE!</v>
      </c>
      <c r="AH109" s="360">
        <f t="shared" si="100"/>
        <v>4.0482250553814785</v>
      </c>
      <c r="AI109" s="360">
        <f t="shared" si="138"/>
        <v>4.0970315247545942E-2</v>
      </c>
      <c r="AJ109" s="360">
        <f t="shared" si="102"/>
        <v>0.11759999999999998</v>
      </c>
      <c r="AK109" s="360" t="e">
        <f t="shared" si="139"/>
        <v>#VALUE!</v>
      </c>
      <c r="AL109" s="360">
        <f t="shared" si="104"/>
        <v>0.11759999999999998</v>
      </c>
      <c r="AM109" s="360">
        <f t="shared" si="105"/>
        <v>2.1599999999999997</v>
      </c>
      <c r="AN109" s="360">
        <f t="shared" si="106"/>
        <v>0.50078074736893474</v>
      </c>
      <c r="AO109" s="360">
        <f t="shared" si="107"/>
        <v>2.0999999999999999E-3</v>
      </c>
      <c r="AP109" s="360">
        <f t="shared" si="108"/>
        <v>9.8999999999999991E-2</v>
      </c>
      <c r="AQ109" s="360">
        <f t="shared" si="109"/>
        <v>1.1483999999999999</v>
      </c>
      <c r="AR109" s="360">
        <f t="shared" si="110"/>
        <v>1.089</v>
      </c>
      <c r="AS109" s="360">
        <f t="shared" si="129"/>
        <v>0.1011</v>
      </c>
      <c r="AT109" s="360" t="e">
        <f t="shared" si="122"/>
        <v>#VALUE!</v>
      </c>
      <c r="AU109">
        <f t="shared" si="111"/>
        <v>500</v>
      </c>
      <c r="AV109" s="542" t="e">
        <f t="shared" si="123"/>
        <v>#VALUE!</v>
      </c>
      <c r="AW109" s="551" t="e">
        <f t="shared" si="112"/>
        <v>#VALUE!</v>
      </c>
      <c r="AX109" s="551" t="e">
        <f t="shared" si="113"/>
        <v>#VALUE!</v>
      </c>
      <c r="AY109" s="9"/>
      <c r="AZ109" s="4" t="e">
        <f t="shared" si="124"/>
        <v>#VALUE!</v>
      </c>
      <c r="BA109" s="360" t="e">
        <f t="shared" si="114"/>
        <v>#VALUE!</v>
      </c>
      <c r="BB109" s="360" t="e">
        <f t="shared" si="125"/>
        <v>#VALUE!</v>
      </c>
      <c r="BC109" s="360" t="e">
        <f t="shared" si="126"/>
        <v>#VALUE!</v>
      </c>
      <c r="BD109" s="360" t="e">
        <f t="shared" si="127"/>
        <v>#VALUE!</v>
      </c>
      <c r="BE109" s="360">
        <f t="shared" si="128"/>
        <v>0.50078074736893474</v>
      </c>
      <c r="BK109" s="18"/>
      <c r="BL109" s="19"/>
    </row>
    <row r="110" spans="7:64" x14ac:dyDescent="0.2">
      <c r="H110" s="548"/>
      <c r="I110" s="4"/>
      <c r="K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
      <c r="H111" s="548"/>
      <c r="I111" s="4"/>
      <c r="K111" s="4"/>
      <c r="L111" s="4"/>
      <c r="R111" s="360"/>
      <c r="S111" s="360"/>
      <c r="T111" s="360"/>
      <c r="U111" s="360"/>
      <c r="W111" s="360"/>
      <c r="X111" s="360"/>
      <c r="Y111" s="360"/>
      <c r="Z111" s="360"/>
      <c r="AA111" s="541"/>
      <c r="AB111" s="360"/>
      <c r="AC111" s="360"/>
      <c r="AD111" s="360"/>
      <c r="AE111" s="360"/>
      <c r="AG111" s="360">
        <v>1.0264505953745029</v>
      </c>
      <c r="AH111" s="360">
        <v>5.6934364538745408</v>
      </c>
      <c r="AI111" s="360">
        <v>0.18476674632955281</v>
      </c>
      <c r="AJ111" s="360">
        <v>0.50400000000000011</v>
      </c>
      <c r="AK111" s="360">
        <v>0.7151956198638304</v>
      </c>
      <c r="AL111" s="360">
        <v>0.50400000000000011</v>
      </c>
      <c r="AM111" s="360">
        <v>0.2772</v>
      </c>
      <c r="AN111" s="360">
        <f>CHOOSE(SENSING_TYPE, Rs_Ch2*R111^2, 0)</f>
        <v>0</v>
      </c>
      <c r="AO111" s="360">
        <v>4.1999999999999996E-4</v>
      </c>
      <c r="AP111" s="360">
        <v>0.189</v>
      </c>
      <c r="AQ111" s="360">
        <v>0.34559999999999996</v>
      </c>
      <c r="AR111" s="360">
        <v>0.2646</v>
      </c>
      <c r="AS111" s="360">
        <v>0.18942000000000001</v>
      </c>
      <c r="AT111" s="360">
        <v>3.6212425503668713</v>
      </c>
      <c r="AU111">
        <v>37.5</v>
      </c>
      <c r="AV111" s="542"/>
      <c r="AW111" s="551"/>
      <c r="AX111" s="551"/>
      <c r="AY111" s="9"/>
      <c r="AZ111" s="48"/>
      <c r="BA111" s="360"/>
      <c r="BB111" s="360"/>
      <c r="BC111" s="360"/>
      <c r="BD111" s="360"/>
      <c r="BE111" s="360"/>
    </row>
    <row r="112" spans="7:64" x14ac:dyDescent="0.2">
      <c r="H112" s="548"/>
      <c r="I112" s="4"/>
      <c r="K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
      <c r="H113" s="548"/>
      <c r="I113" s="4"/>
      <c r="K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
      <c r="H114" s="548"/>
      <c r="I114" s="4"/>
      <c r="K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
      <c r="H115" s="548"/>
      <c r="I115" s="4"/>
      <c r="K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
      <c r="H116" s="548"/>
      <c r="I116" s="4"/>
      <c r="K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
      <c r="H117" s="548"/>
      <c r="I117" s="4"/>
      <c r="K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
      <c r="H118" s="548"/>
      <c r="I118" s="4"/>
      <c r="K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
      <c r="H119" s="548"/>
      <c r="I119" s="4"/>
      <c r="K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
      <c r="H120" s="548"/>
      <c r="I120" s="4"/>
      <c r="K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
      <c r="H121" s="548"/>
      <c r="I121" s="4"/>
      <c r="K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
      <c r="H122" s="548"/>
      <c r="I122" s="4"/>
      <c r="K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
      <c r="H123" s="548"/>
      <c r="I123" s="4"/>
      <c r="K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
      <c r="H124" s="548"/>
      <c r="I124" s="4"/>
      <c r="K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
      <c r="H125" s="548"/>
      <c r="I125" s="4"/>
      <c r="K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
      <c r="H126" s="548"/>
      <c r="I126" s="4"/>
      <c r="K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
      <c r="H127" s="548"/>
      <c r="I127" s="4"/>
      <c r="K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
      <c r="H128" s="548"/>
      <c r="I128" s="4"/>
      <c r="K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
      <c r="H129" s="548"/>
      <c r="I129" s="4"/>
      <c r="K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
      <c r="H130" s="548"/>
      <c r="I130" s="4"/>
      <c r="K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
      <c r="H131" s="548"/>
      <c r="I131" s="4"/>
      <c r="K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
      <c r="H132" s="548"/>
      <c r="I132" s="4"/>
      <c r="K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
      <c r="H133" s="548"/>
      <c r="I133" s="4"/>
      <c r="K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
      <c r="H134" s="548"/>
      <c r="I134" s="4"/>
      <c r="K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
      <c r="H135" s="548"/>
      <c r="I135" s="4"/>
      <c r="K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
      <c r="H136" s="548"/>
      <c r="I136" s="4"/>
      <c r="K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
      <c r="H137" s="548"/>
      <c r="I137" s="4"/>
      <c r="K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
      <c r="H138" s="548"/>
      <c r="I138" s="4"/>
      <c r="K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
      <c r="H139" s="548"/>
      <c r="I139" s="4"/>
      <c r="K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
      <c r="H140" s="548"/>
      <c r="I140" s="4"/>
      <c r="K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
      <c r="H141" s="548"/>
      <c r="I141" s="4"/>
      <c r="K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
      <c r="H142" s="548"/>
      <c r="I142" s="4"/>
      <c r="K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
      <c r="H143" s="548"/>
      <c r="I143" s="4"/>
      <c r="K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
      <c r="H144" s="548"/>
      <c r="I144" s="4"/>
      <c r="K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
      <c r="H145" s="548"/>
      <c r="I145" s="4"/>
      <c r="K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
      <c r="H146" s="548"/>
      <c r="I146" s="4"/>
      <c r="K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
      <c r="H147" s="548"/>
      <c r="I147" s="4"/>
      <c r="K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
      <c r="H148" s="548"/>
      <c r="I148" s="4"/>
      <c r="K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
      <c r="H149" s="548"/>
      <c r="I149" s="4"/>
      <c r="K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
      <c r="H150" s="548"/>
      <c r="I150" s="4"/>
      <c r="K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
      <c r="H151" s="548"/>
      <c r="I151" s="4"/>
      <c r="K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
      <c r="H152" s="548"/>
      <c r="I152" s="4"/>
      <c r="K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
      <c r="H153" s="548"/>
      <c r="I153" s="4"/>
      <c r="K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
      <c r="H154" s="548"/>
      <c r="I154" s="4"/>
      <c r="K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
      <c r="H155" s="548"/>
      <c r="I155" s="4"/>
      <c r="K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
      <c r="H156" s="548"/>
      <c r="I156" s="4"/>
      <c r="K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
      <c r="H157" s="548"/>
      <c r="I157" s="4"/>
      <c r="K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
      <c r="H158" s="548"/>
      <c r="I158" s="4"/>
      <c r="K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
      <c r="H159" s="548"/>
      <c r="I159" s="4"/>
      <c r="K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
      <c r="H160" s="548"/>
      <c r="I160" s="4"/>
      <c r="K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
      <c r="H161" s="548"/>
      <c r="I161" s="4"/>
      <c r="K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
      <c r="H162" s="548"/>
      <c r="I162" s="4"/>
      <c r="K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
      <c r="H163" s="548"/>
      <c r="I163" s="4"/>
      <c r="K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
      <c r="H164" s="548"/>
      <c r="I164" s="4"/>
      <c r="K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
      <c r="H165" s="548"/>
      <c r="I165" s="4"/>
      <c r="K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
      <c r="H166" s="548"/>
      <c r="I166" s="4"/>
      <c r="K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
      <c r="H167" s="548"/>
      <c r="I167" s="4"/>
      <c r="K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
      <c r="H168" s="548"/>
      <c r="I168" s="4"/>
      <c r="K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
      <c r="H169" s="548"/>
      <c r="I169" s="4"/>
      <c r="K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
      <c r="H170" s="548"/>
      <c r="I170" s="4"/>
      <c r="K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
      <c r="H171" s="548"/>
      <c r="I171" s="4"/>
      <c r="K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
      <c r="H172" s="548"/>
      <c r="I172" s="4"/>
      <c r="K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
      <c r="H173" s="548"/>
      <c r="I173" s="4"/>
      <c r="K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
      <c r="H174" s="548"/>
      <c r="I174" s="4"/>
      <c r="K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
      <c r="H175" s="548"/>
      <c r="I175" s="4"/>
      <c r="K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
      <c r="H176" s="548"/>
      <c r="I176" s="4"/>
      <c r="K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
      <c r="H177" s="548"/>
      <c r="I177" s="4"/>
      <c r="K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
      <c r="H178" s="548"/>
      <c r="I178" s="4"/>
      <c r="K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
      <c r="H179" s="548"/>
      <c r="I179" s="4"/>
      <c r="K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
      <c r="H180" s="548"/>
      <c r="I180" s="4"/>
      <c r="K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
      <c r="H181" s="548"/>
      <c r="I181" s="4"/>
      <c r="K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
      <c r="H182" s="548"/>
      <c r="I182" s="4"/>
      <c r="K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
      <c r="H183" s="548"/>
      <c r="I183" s="4"/>
      <c r="K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
      <c r="H184" s="548"/>
      <c r="I184" s="4"/>
      <c r="K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
      <c r="H185" s="548"/>
      <c r="I185" s="4"/>
      <c r="K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
      <c r="H186" s="548"/>
      <c r="I186" s="4"/>
      <c r="K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
      <c r="H187" s="548"/>
      <c r="I187" s="4"/>
      <c r="K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
      <c r="H188" s="548"/>
      <c r="I188" s="4"/>
      <c r="K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
      <c r="H189" s="548"/>
      <c r="I189" s="4"/>
      <c r="K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
      <c r="H190" s="548"/>
      <c r="I190" s="4"/>
      <c r="K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
      <c r="H191" s="548"/>
      <c r="I191" s="4"/>
      <c r="K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
      <c r="H192" s="548"/>
      <c r="I192" s="4"/>
      <c r="K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
      <c r="H193" s="548"/>
      <c r="I193" s="4"/>
      <c r="K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
      <c r="H194" s="548"/>
      <c r="I194" s="4"/>
      <c r="K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
      <c r="H195" s="548"/>
      <c r="I195" s="4"/>
      <c r="K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
      <c r="H196" s="548"/>
      <c r="I196" s="4"/>
      <c r="K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
      <c r="H197" s="548"/>
      <c r="I197" s="4"/>
      <c r="K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
      <c r="H198" s="548"/>
      <c r="I198" s="4"/>
      <c r="K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
      <c r="H199" s="548"/>
      <c r="I199" s="4"/>
      <c r="K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
      <c r="H200" s="548"/>
      <c r="I200" s="4"/>
      <c r="K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
      <c r="H201" s="548"/>
      <c r="I201" s="4"/>
      <c r="K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
      <c r="H202" s="548"/>
      <c r="I202" s="4"/>
      <c r="K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
      <c r="H203" s="548"/>
      <c r="I203" s="4"/>
      <c r="K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
      <c r="H204" s="548"/>
      <c r="I204" s="4"/>
      <c r="K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
      <c r="H205" s="548"/>
      <c r="I205" s="4"/>
      <c r="K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
      <c r="H206" s="548"/>
      <c r="I206" s="4"/>
      <c r="K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
      <c r="H207" s="548"/>
      <c r="I207" s="4"/>
      <c r="K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
      <c r="H208" s="548"/>
      <c r="I208" s="4"/>
      <c r="K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
      <c r="H209" s="548"/>
      <c r="I209" s="4"/>
      <c r="K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Y7:AA7"/>
    <mergeCell ref="A1:D4"/>
    <mergeCell ref="A6:D7"/>
    <mergeCell ref="G7:N7"/>
    <mergeCell ref="R7:U7"/>
    <mergeCell ref="V7:X7"/>
    <mergeCell ref="AB7:AG7"/>
    <mergeCell ref="AH7:AK7"/>
    <mergeCell ref="AO7:AS7"/>
    <mergeCell ref="AT7:AX7"/>
    <mergeCell ref="AZ7:BE7"/>
  </mergeCell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B7"/>
  <sheetViews>
    <sheetView zoomScaleNormal="100" workbookViewId="0">
      <selection activeCell="F5" sqref="F5"/>
    </sheetView>
  </sheetViews>
  <sheetFormatPr defaultRowHeight="12.75" x14ac:dyDescent="0.2"/>
  <cols>
    <col min="1" max="1" width="10.5703125" customWidth="1"/>
    <col min="2" max="2" width="126" customWidth="1"/>
  </cols>
  <sheetData>
    <row r="2" spans="1:2" x14ac:dyDescent="0.2">
      <c r="A2" t="str">
        <f>IF(PLOT_TYPE=1, "EFF_Ch1", "EFF_Ch2")</f>
        <v>EFF_Ch1</v>
      </c>
    </row>
    <row r="5" spans="1:2" ht="409.5" customHeight="1" x14ac:dyDescent="0.2">
      <c r="B5" s="537"/>
    </row>
    <row r="7" spans="1:2" ht="409.5" customHeight="1" x14ac:dyDescent="0.2">
      <c r="B7" s="53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N10"/>
  <sheetViews>
    <sheetView topLeftCell="A10" zoomScaleNormal="100" workbookViewId="0">
      <selection activeCell="B14" sqref="B14"/>
    </sheetView>
  </sheetViews>
  <sheetFormatPr defaultRowHeight="12.75" x14ac:dyDescent="0.2"/>
  <cols>
    <col min="1" max="1" width="10.5703125" customWidth="1"/>
    <col min="2" max="2" width="129.28515625" customWidth="1"/>
  </cols>
  <sheetData>
    <row r="1" spans="1:14" x14ac:dyDescent="0.2">
      <c r="J1" s="114" t="s">
        <v>621</v>
      </c>
      <c r="N1" s="114" t="s">
        <v>623</v>
      </c>
    </row>
    <row r="2" spans="1:14" x14ac:dyDescent="0.2">
      <c r="A2" t="str">
        <f>CHOOSE(SCH_MODE, "SCH_DUAL", "SCH_SINGLE", "SCH_MULTIPHASE", "SCH_MULTIPHASE")</f>
        <v>SCH_DUAL</v>
      </c>
      <c r="J2" s="114" t="s">
        <v>622</v>
      </c>
      <c r="N2" s="114" t="s">
        <v>777</v>
      </c>
    </row>
    <row r="3" spans="1:14" x14ac:dyDescent="0.2">
      <c r="J3" s="114" t="s">
        <v>620</v>
      </c>
    </row>
    <row r="4" spans="1:14" x14ac:dyDescent="0.2">
      <c r="J4" s="114" t="s">
        <v>619</v>
      </c>
    </row>
    <row r="5" spans="1:14" ht="409.5" customHeight="1" x14ac:dyDescent="0.2">
      <c r="B5" s="537"/>
    </row>
    <row r="6" spans="1:14" ht="12" customHeight="1" x14ac:dyDescent="0.2">
      <c r="B6" s="537"/>
    </row>
    <row r="7" spans="1:14" ht="34.5" customHeight="1" x14ac:dyDescent="0.2"/>
    <row r="8" spans="1:14" ht="409.5" customHeight="1" x14ac:dyDescent="0.2">
      <c r="B8" s="537"/>
    </row>
    <row r="9" spans="1:14" x14ac:dyDescent="0.2">
      <c r="B9" s="537"/>
    </row>
    <row r="10" spans="1:14" ht="409.5" customHeight="1" x14ac:dyDescent="0.2">
      <c r="B10" s="537"/>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2:P159"/>
  <sheetViews>
    <sheetView workbookViewId="0">
      <selection activeCell="L45" sqref="L44:L45"/>
    </sheetView>
  </sheetViews>
  <sheetFormatPr defaultRowHeight="12.75" x14ac:dyDescent="0.2"/>
  <cols>
    <col min="1" max="1" width="17.28515625" customWidth="1"/>
    <col min="2" max="2" width="12" bestFit="1" customWidth="1"/>
    <col min="3" max="4" width="12.42578125" bestFit="1" customWidth="1"/>
    <col min="7" max="9" width="12.42578125" bestFit="1" customWidth="1"/>
    <col min="10" max="10" width="11.42578125" bestFit="1" customWidth="1"/>
    <col min="13" max="13" width="12.140625" customWidth="1"/>
    <col min="14" max="14" width="12.42578125" bestFit="1" customWidth="1"/>
    <col min="15" max="15" width="15.42578125" customWidth="1"/>
  </cols>
  <sheetData>
    <row r="2" spans="1:16" x14ac:dyDescent="0.2">
      <c r="A2" t="s">
        <v>160</v>
      </c>
      <c r="B2" t="s">
        <v>152</v>
      </c>
      <c r="C2" t="s">
        <v>31</v>
      </c>
      <c r="D2" t="s">
        <v>32</v>
      </c>
      <c r="E2" t="s">
        <v>25</v>
      </c>
      <c r="F2" t="s">
        <v>57</v>
      </c>
      <c r="G2" s="114" t="s">
        <v>682</v>
      </c>
      <c r="H2" s="114" t="s">
        <v>323</v>
      </c>
      <c r="I2" s="114" t="s">
        <v>734</v>
      </c>
      <c r="J2" s="114" t="s">
        <v>735</v>
      </c>
    </row>
    <row r="3" spans="1:16" x14ac:dyDescent="0.2">
      <c r="A3" t="s">
        <v>163</v>
      </c>
      <c r="B3">
        <f>Css</f>
        <v>1.0000000000000002E-7</v>
      </c>
      <c r="C3">
        <f>Cc1ea</f>
        <v>4.2217159947454349E-8</v>
      </c>
      <c r="D3">
        <f>Cc2ea</f>
        <v>7.8068122163958439E-11</v>
      </c>
      <c r="E3">
        <f>Cout</f>
        <v>2.0000000000000001E-4</v>
      </c>
      <c r="F3">
        <f>Cin</f>
        <v>5.0000000000000002E-5</v>
      </c>
      <c r="G3">
        <f>Cres</f>
        <v>5.0000000000000008E-7</v>
      </c>
      <c r="H3">
        <f>Cdither_init</f>
        <v>9.2592592592592591E-9</v>
      </c>
      <c r="I3">
        <f>Cc3ea</f>
        <v>8.4434319894908708E-9</v>
      </c>
      <c r="J3">
        <f>Cc4ea</f>
        <v>1.0520666248031486E-11</v>
      </c>
      <c r="M3" t="s">
        <v>165</v>
      </c>
      <c r="N3" t="s">
        <v>166</v>
      </c>
      <c r="O3" s="2" t="s">
        <v>162</v>
      </c>
    </row>
    <row r="4" spans="1:16" x14ac:dyDescent="0.2">
      <c r="A4" s="7" t="s">
        <v>162</v>
      </c>
      <c r="B4" s="7">
        <f>SUM(B6:B158)/1000000000000</f>
        <v>9.9999999999999995E-8</v>
      </c>
      <c r="C4" s="7">
        <f>IF(C3="OPEN","OPEN",SUM(C6:C158)/1000000000000)</f>
        <v>3.8999999999999998E-8</v>
      </c>
      <c r="D4" s="7">
        <f>SUM(D6:D158)/1000000000000</f>
        <v>8.2000000000000001E-11</v>
      </c>
      <c r="E4" s="7">
        <f>SUM(E6:E158)/1000000000000</f>
        <v>2.2000000000000001E-4</v>
      </c>
      <c r="F4" s="7">
        <f>SUM(F6:F158)/1000000000000</f>
        <v>4.6999999999999997E-5</v>
      </c>
      <c r="G4" s="7">
        <f>SUM(G6:G158)/1000000000000</f>
        <v>4.7E-7</v>
      </c>
      <c r="H4" s="7">
        <f t="shared" ref="H4:J4" si="0">IF(H3="OPEN","OPEN",SUM(H6:H158)/1000000000000)</f>
        <v>1E-8</v>
      </c>
      <c r="I4" s="7">
        <f t="shared" si="0"/>
        <v>8.2000000000000006E-9</v>
      </c>
      <c r="J4" s="7">
        <f t="shared" si="0"/>
        <v>9.9999999999999994E-12</v>
      </c>
      <c r="M4" s="114" t="s">
        <v>280</v>
      </c>
      <c r="N4">
        <f>Rfadj</f>
        <v>36666.666666666672</v>
      </c>
      <c r="O4" s="2">
        <f t="shared" ref="O4:O7"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36500</v>
      </c>
      <c r="P4" s="45" t="s">
        <v>268</v>
      </c>
    </row>
    <row r="5" spans="1:16" x14ac:dyDescent="0.2">
      <c r="A5" t="s">
        <v>161</v>
      </c>
      <c r="O5" s="2"/>
      <c r="P5" s="45"/>
    </row>
    <row r="6" spans="1:16" x14ac:dyDescent="0.2">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4"/>
      <c r="N6" s="53"/>
      <c r="O6" s="2"/>
      <c r="P6" s="45"/>
    </row>
    <row r="7" spans="1:16" x14ac:dyDescent="0.2">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179</v>
      </c>
      <c r="N7">
        <f>Rcea1</f>
        <v>6283.185300000001</v>
      </c>
      <c r="O7" s="2">
        <f t="shared" si="1"/>
        <v>6340</v>
      </c>
      <c r="P7" s="45" t="s">
        <v>268</v>
      </c>
    </row>
    <row r="8" spans="1:16" x14ac:dyDescent="0.2">
      <c r="A8">
        <v>0.68</v>
      </c>
      <c r="B8">
        <f t="shared" si="3"/>
        <v>0</v>
      </c>
      <c r="C8">
        <f t="shared" si="4"/>
        <v>0</v>
      </c>
      <c r="D8">
        <f t="shared" si="5"/>
        <v>0</v>
      </c>
      <c r="E8">
        <f t="shared" si="6"/>
        <v>0</v>
      </c>
      <c r="F8">
        <f t="shared" si="7"/>
        <v>0</v>
      </c>
      <c r="G8">
        <f t="shared" si="8"/>
        <v>0</v>
      </c>
      <c r="H8">
        <f t="shared" si="8"/>
        <v>0</v>
      </c>
      <c r="I8">
        <f t="shared" si="8"/>
        <v>0</v>
      </c>
      <c r="J8">
        <f t="shared" si="8"/>
        <v>0</v>
      </c>
      <c r="M8" t="s">
        <v>179</v>
      </c>
      <c r="N8">
        <f>Rcea2</f>
        <v>31415.926500000001</v>
      </c>
      <c r="O8" s="2">
        <f t="shared" ref="O8" si="9">IF(N8&gt;(INT(0.5+100*POWER(10,IF(96*(LOG(N8)-INT(LOG(N8)))-ROUND(96*(LOG(N8)-INT(LOG(N8))),0)&lt;0,ROUND(96*(LOG(N8)-INT(LOG(N8))),0)-1,ROUND(96*(LOG(N8)-INT(LOG(N8))),0))/96))*POWER(10,INT(LOG(N8))-2)+INT(0.5+100*POWER(10,(IF(96*(LOG(N8)-INT(LOG(N8)))-ROUND(96*(LOG(N8)-INT(LOG(N8))),0)&lt;0,ROUND(96*(LOG(N8)-INT(LOG(N8))),0)-1,ROUND(96*(LOG(N8)-INT(LOG(N8))),0))+1)/96))*POWER(10,INT(LOG(N8))-2))/2,INT(0.5+100*POWER(10,(IF(96*(LOG(N8)-INT(LOG(N8)))-ROUND(96*(LOG(N8)-INT(LOG(N8))),0)&lt;0,ROUND(96*(LOG(N8)-INT(LOG(N8))),0)-1,ROUND(96*(LOG(N8)-INT(LOG(N8))),0))+1)/96))*POWER(10,INT(LOG(N8))-2),INT(0.5+100*POWER(10,IF(96*(LOG(N8)-INT(LOG(N8)))-ROUND(96*(LOG(N8)-INT(LOG(N8))),0)&lt;0,ROUND(96*(LOG(N8)-INT(LOG(N8))),0)-1,ROUND(96*(LOG(N8)-INT(LOG(N8))),0))/96))*POWER(10,INT(LOG(N8))-2))</f>
        <v>31600</v>
      </c>
      <c r="P8" s="45" t="s">
        <v>268</v>
      </c>
    </row>
    <row r="9" spans="1:16" x14ac:dyDescent="0.2">
      <c r="A9">
        <v>0.82</v>
      </c>
      <c r="B9">
        <f t="shared" si="3"/>
        <v>0</v>
      </c>
      <c r="C9">
        <f t="shared" si="4"/>
        <v>0</v>
      </c>
      <c r="D9">
        <f t="shared" si="5"/>
        <v>0</v>
      </c>
      <c r="E9">
        <f t="shared" si="6"/>
        <v>0</v>
      </c>
      <c r="F9">
        <f t="shared" si="7"/>
        <v>0</v>
      </c>
      <c r="G9">
        <f t="shared" si="8"/>
        <v>0</v>
      </c>
      <c r="H9">
        <f t="shared" si="8"/>
        <v>0</v>
      </c>
      <c r="I9">
        <f t="shared" si="8"/>
        <v>0</v>
      </c>
      <c r="J9">
        <f t="shared" si="8"/>
        <v>0</v>
      </c>
    </row>
    <row r="10" spans="1:16" x14ac:dyDescent="0.2">
      <c r="A10">
        <v>1</v>
      </c>
      <c r="B10">
        <f t="shared" si="3"/>
        <v>0</v>
      </c>
      <c r="C10">
        <f t="shared" si="4"/>
        <v>0</v>
      </c>
      <c r="D10">
        <f t="shared" si="5"/>
        <v>0</v>
      </c>
      <c r="E10">
        <f t="shared" si="6"/>
        <v>0</v>
      </c>
      <c r="F10">
        <f t="shared" si="7"/>
        <v>0</v>
      </c>
      <c r="G10">
        <f t="shared" si="8"/>
        <v>0</v>
      </c>
      <c r="H10">
        <f t="shared" si="8"/>
        <v>0</v>
      </c>
      <c r="I10">
        <f t="shared" si="8"/>
        <v>0</v>
      </c>
      <c r="J10">
        <f t="shared" si="8"/>
        <v>0</v>
      </c>
      <c r="M10" t="s">
        <v>29</v>
      </c>
      <c r="N10">
        <f>Rfb1_</f>
        <v>100000</v>
      </c>
      <c r="O10" s="2">
        <f>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100000</v>
      </c>
      <c r="P10" s="45" t="s">
        <v>268</v>
      </c>
    </row>
    <row r="11" spans="1:16" x14ac:dyDescent="0.2">
      <c r="A11">
        <v>1.2</v>
      </c>
      <c r="B11">
        <f t="shared" si="3"/>
        <v>0</v>
      </c>
      <c r="C11">
        <f t="shared" si="4"/>
        <v>0</v>
      </c>
      <c r="D11">
        <f t="shared" si="5"/>
        <v>0</v>
      </c>
      <c r="E11">
        <f t="shared" si="6"/>
        <v>0</v>
      </c>
      <c r="F11">
        <f t="shared" si="7"/>
        <v>0</v>
      </c>
      <c r="G11">
        <f t="shared" si="8"/>
        <v>0</v>
      </c>
      <c r="H11">
        <f t="shared" si="8"/>
        <v>0</v>
      </c>
      <c r="I11">
        <f t="shared" si="8"/>
        <v>0</v>
      </c>
      <c r="J11">
        <f t="shared" si="8"/>
        <v>0</v>
      </c>
      <c r="M11" t="s">
        <v>40</v>
      </c>
      <c r="N11" s="48">
        <f>Rfb2_</f>
        <v>6382.9787234042551</v>
      </c>
      <c r="O11" s="2">
        <f>IF(N11="OPEN","OPEN",IF(N11&gt;(INT(0.5+100*POWER(10,IF(96*(LOG(N11)-INT(LOG(N11)))-ROUND(96*(LOG(N11)-INT(LOG(N11))),0)&lt;0,ROUND(96*(LOG(N11)-INT(LOG(N11))),0)-1,ROUND(96*(LOG(N11)-INT(LOG(N11))),0))/96))*POWER(10,INT(LOG(N11))-2)+INT(0.5+100*POWER(10,(IF(96*(LOG(N11)-INT(LOG(N11)))-ROUND(96*(LOG(N11)-INT(LOG(N11))),0)&lt;0,ROUND(96*(LOG(N11)-INT(LOG(N11))),0)-1,ROUND(96*(LOG(N11)-INT(LOG(N11))),0))+1)/96))*POWER(10,INT(LOG(N11))-2))/2,INT(0.5+100*POWER(10,(IF(96*(LOG(N11)-INT(LOG(N11)))-ROUND(96*(LOG(N11)-INT(LOG(N11))),0)&lt;0,ROUND(96*(LOG(N11)-INT(LOG(N11))),0)-1,ROUND(96*(LOG(N11)-INT(LOG(N11))),0))+1)/96))*POWER(10,INT(LOG(N11))-2),INT(0.5+100*POWER(10,IF(96*(LOG(N11)-INT(LOG(N11)))-ROUND(96*(LOG(N11)-INT(LOG(N11))),0)&lt;0,ROUND(96*(LOG(N11)-INT(LOG(N11))),0)-1,ROUND(96*(LOG(N11)-INT(LOG(N11))),0))/96))*POWER(10,INT(LOG(N11))-2)))</f>
        <v>6340</v>
      </c>
      <c r="P11" s="45" t="s">
        <v>268</v>
      </c>
    </row>
    <row r="12" spans="1:16" x14ac:dyDescent="0.2">
      <c r="A12">
        <v>1.5</v>
      </c>
      <c r="B12">
        <f t="shared" si="3"/>
        <v>0</v>
      </c>
      <c r="C12">
        <f t="shared" si="4"/>
        <v>0</v>
      </c>
      <c r="D12">
        <f t="shared" si="5"/>
        <v>0</v>
      </c>
      <c r="E12">
        <f t="shared" si="6"/>
        <v>0</v>
      </c>
      <c r="F12">
        <f t="shared" si="7"/>
        <v>0</v>
      </c>
      <c r="G12">
        <f t="shared" si="8"/>
        <v>0</v>
      </c>
      <c r="H12">
        <f t="shared" si="8"/>
        <v>0</v>
      </c>
      <c r="I12">
        <f t="shared" si="8"/>
        <v>0</v>
      </c>
      <c r="J12">
        <f t="shared" si="8"/>
        <v>0</v>
      </c>
      <c r="M12" s="114" t="s">
        <v>736</v>
      </c>
      <c r="N12">
        <f>Rfb3_</f>
        <v>100000</v>
      </c>
      <c r="O12" s="2">
        <f>IF(N12&gt;(INT(0.5+100*POWER(10,IF(96*(LOG(N12)-INT(LOG(N12)))-ROUND(96*(LOG(N12)-INT(LOG(N12))),0)&lt;0,ROUND(96*(LOG(N12)-INT(LOG(N12))),0)-1,ROUND(96*(LOG(N12)-INT(LOG(N12))),0))/96))*POWER(10,INT(LOG(N12))-2)+INT(0.5+100*POWER(10,(IF(96*(LOG(N12)-INT(LOG(N12)))-ROUND(96*(LOG(N12)-INT(LOG(N12))),0)&lt;0,ROUND(96*(LOG(N12)-INT(LOG(N12))),0)-1,ROUND(96*(LOG(N12)-INT(LOG(N12))),0))+1)/96))*POWER(10,INT(LOG(N12))-2))/2,INT(0.5+100*POWER(10,(IF(96*(LOG(N12)-INT(LOG(N12)))-ROUND(96*(LOG(N12)-INT(LOG(N12))),0)&lt;0,ROUND(96*(LOG(N12)-INT(LOG(N12))),0)-1,ROUND(96*(LOG(N12)-INT(LOG(N12))),0))+1)/96))*POWER(10,INT(LOG(N12))-2),INT(0.5+100*POWER(10,IF(96*(LOG(N12)-INT(LOG(N12)))-ROUND(96*(LOG(N12)-INT(LOG(N12))),0)&lt;0,ROUND(96*(LOG(N12)-INT(LOG(N12))),0)-1,ROUND(96*(LOG(N12)-INT(LOG(N12))),0))/96))*POWER(10,INT(LOG(N12))-2))</f>
        <v>100000</v>
      </c>
      <c r="P12" s="45" t="s">
        <v>268</v>
      </c>
    </row>
    <row r="13" spans="1:16" x14ac:dyDescent="0.2">
      <c r="A13">
        <v>1.8</v>
      </c>
      <c r="B13">
        <f t="shared" si="3"/>
        <v>0</v>
      </c>
      <c r="C13">
        <f t="shared" si="4"/>
        <v>0</v>
      </c>
      <c r="D13">
        <f t="shared" si="5"/>
        <v>0</v>
      </c>
      <c r="E13">
        <f t="shared" si="6"/>
        <v>0</v>
      </c>
      <c r="F13">
        <f t="shared" si="7"/>
        <v>0</v>
      </c>
      <c r="G13">
        <f t="shared" si="8"/>
        <v>0</v>
      </c>
      <c r="H13">
        <f t="shared" si="8"/>
        <v>0</v>
      </c>
      <c r="I13">
        <f t="shared" si="8"/>
        <v>0</v>
      </c>
      <c r="J13">
        <f t="shared" si="8"/>
        <v>0</v>
      </c>
      <c r="M13" s="114" t="s">
        <v>737</v>
      </c>
      <c r="N13" s="48">
        <f>Rfb4_</f>
        <v>1214.5748987854251</v>
      </c>
      <c r="O13" s="2">
        <f>IF(N13="OPEN","OPEN",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1210</v>
      </c>
      <c r="P13" s="45" t="s">
        <v>268</v>
      </c>
    </row>
    <row r="14" spans="1:16" x14ac:dyDescent="0.2">
      <c r="A14">
        <v>2.2000000000000002</v>
      </c>
      <c r="B14">
        <f t="shared" ref="B14:J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row>
    <row r="15" spans="1:16" x14ac:dyDescent="0.2">
      <c r="A15">
        <v>2.7</v>
      </c>
      <c r="B15">
        <f t="shared" si="3"/>
        <v>0</v>
      </c>
      <c r="C15">
        <f t="shared" si="4"/>
        <v>0</v>
      </c>
      <c r="D15">
        <f t="shared" si="5"/>
        <v>0</v>
      </c>
      <c r="E15">
        <f t="shared" si="6"/>
        <v>0</v>
      </c>
      <c r="F15">
        <f t="shared" si="7"/>
        <v>0</v>
      </c>
      <c r="G15">
        <f t="shared" si="8"/>
        <v>0</v>
      </c>
      <c r="H15">
        <f t="shared" si="8"/>
        <v>0</v>
      </c>
      <c r="I15">
        <f t="shared" si="8"/>
        <v>0</v>
      </c>
      <c r="J15">
        <f t="shared" si="8"/>
        <v>0</v>
      </c>
    </row>
    <row r="16" spans="1:16" x14ac:dyDescent="0.2">
      <c r="A16">
        <v>3.3</v>
      </c>
      <c r="B16">
        <f t="shared" si="3"/>
        <v>0</v>
      </c>
      <c r="C16">
        <f t="shared" si="4"/>
        <v>0</v>
      </c>
      <c r="D16">
        <f t="shared" si="5"/>
        <v>0</v>
      </c>
      <c r="E16">
        <f t="shared" si="6"/>
        <v>0</v>
      </c>
      <c r="F16">
        <f t="shared" si="7"/>
        <v>0</v>
      </c>
      <c r="G16">
        <f t="shared" si="8"/>
        <v>0</v>
      </c>
      <c r="H16">
        <f t="shared" si="8"/>
        <v>0</v>
      </c>
      <c r="I16">
        <f t="shared" si="8"/>
        <v>0</v>
      </c>
      <c r="J16">
        <f t="shared" si="8"/>
        <v>0</v>
      </c>
      <c r="M16" s="114" t="s">
        <v>167</v>
      </c>
      <c r="N16" s="360">
        <f>Rs_ideal*1000</f>
        <v>4.9640743991167229</v>
      </c>
      <c r="O16" s="2">
        <f>IF(N16=0,0,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4.99</v>
      </c>
      <c r="P16" s="45" t="s">
        <v>318</v>
      </c>
    </row>
    <row r="17" spans="1:16" x14ac:dyDescent="0.2">
      <c r="A17">
        <v>3.9</v>
      </c>
      <c r="B17">
        <f t="shared" si="3"/>
        <v>0</v>
      </c>
      <c r="C17">
        <f t="shared" si="4"/>
        <v>0</v>
      </c>
      <c r="D17">
        <f t="shared" si="5"/>
        <v>0</v>
      </c>
      <c r="E17">
        <f t="shared" si="6"/>
        <v>0</v>
      </c>
      <c r="F17">
        <f t="shared" si="7"/>
        <v>0</v>
      </c>
      <c r="G17">
        <f t="shared" si="8"/>
        <v>0</v>
      </c>
      <c r="H17">
        <f t="shared" si="8"/>
        <v>0</v>
      </c>
      <c r="I17">
        <f t="shared" si="8"/>
        <v>0</v>
      </c>
      <c r="J17">
        <f t="shared" si="8"/>
        <v>0</v>
      </c>
      <c r="M17" s="114" t="s">
        <v>682</v>
      </c>
      <c r="N17">
        <f>Cres</f>
        <v>5.0000000000000008E-7</v>
      </c>
      <c r="O17">
        <f>G4*1000000000000</f>
        <v>470000</v>
      </c>
      <c r="P17" s="114" t="s">
        <v>30</v>
      </c>
    </row>
    <row r="18" spans="1:16" x14ac:dyDescent="0.2">
      <c r="A18">
        <v>4.7</v>
      </c>
      <c r="B18">
        <f t="shared" si="3"/>
        <v>0</v>
      </c>
      <c r="C18">
        <f t="shared" si="4"/>
        <v>0</v>
      </c>
      <c r="D18">
        <f t="shared" si="5"/>
        <v>0</v>
      </c>
      <c r="E18">
        <f t="shared" si="6"/>
        <v>0</v>
      </c>
      <c r="F18">
        <f t="shared" si="7"/>
        <v>0</v>
      </c>
      <c r="G18">
        <f t="shared" si="8"/>
        <v>0</v>
      </c>
      <c r="H18">
        <f t="shared" si="8"/>
        <v>0</v>
      </c>
      <c r="I18">
        <f t="shared" si="8"/>
        <v>0</v>
      </c>
      <c r="J18">
        <f t="shared" si="8"/>
        <v>0</v>
      </c>
    </row>
    <row r="19" spans="1:16" x14ac:dyDescent="0.2">
      <c r="A19">
        <v>5.6</v>
      </c>
      <c r="B19">
        <f t="shared" si="3"/>
        <v>0</v>
      </c>
      <c r="C19">
        <f t="shared" si="4"/>
        <v>0</v>
      </c>
      <c r="D19">
        <f t="shared" si="5"/>
        <v>0</v>
      </c>
      <c r="E19">
        <f t="shared" si="6"/>
        <v>0</v>
      </c>
      <c r="F19">
        <f t="shared" si="7"/>
        <v>0</v>
      </c>
      <c r="G19">
        <f t="shared" si="8"/>
        <v>0</v>
      </c>
      <c r="H19">
        <f t="shared" si="8"/>
        <v>0</v>
      </c>
      <c r="I19">
        <f t="shared" si="8"/>
        <v>0</v>
      </c>
      <c r="J19">
        <f t="shared" si="8"/>
        <v>0</v>
      </c>
      <c r="M19" s="114"/>
      <c r="O19" s="2"/>
      <c r="P19" s="45"/>
    </row>
    <row r="20" spans="1:16" x14ac:dyDescent="0.2">
      <c r="A20">
        <v>6.8</v>
      </c>
      <c r="B20">
        <f t="shared" si="3"/>
        <v>0</v>
      </c>
      <c r="C20">
        <f t="shared" si="4"/>
        <v>0</v>
      </c>
      <c r="D20">
        <f t="shared" si="5"/>
        <v>0</v>
      </c>
      <c r="E20">
        <f t="shared" si="6"/>
        <v>0</v>
      </c>
      <c r="F20">
        <f t="shared" si="7"/>
        <v>0</v>
      </c>
      <c r="G20">
        <f t="shared" si="8"/>
        <v>0</v>
      </c>
      <c r="H20">
        <f t="shared" si="8"/>
        <v>0</v>
      </c>
      <c r="I20">
        <f t="shared" si="8"/>
        <v>0</v>
      </c>
      <c r="J20">
        <f t="shared" si="8"/>
        <v>0</v>
      </c>
      <c r="M20" s="114"/>
      <c r="O20" s="2"/>
      <c r="P20" s="45"/>
    </row>
    <row r="21" spans="1:16" x14ac:dyDescent="0.2">
      <c r="A21">
        <v>8.1999999999999993</v>
      </c>
      <c r="B21">
        <f t="shared" si="3"/>
        <v>0</v>
      </c>
      <c r="C21">
        <f t="shared" si="4"/>
        <v>0</v>
      </c>
      <c r="D21">
        <f t="shared" si="5"/>
        <v>0</v>
      </c>
      <c r="E21">
        <f t="shared" si="6"/>
        <v>0</v>
      </c>
      <c r="F21">
        <f t="shared" si="7"/>
        <v>0</v>
      </c>
      <c r="G21">
        <f t="shared" si="8"/>
        <v>0</v>
      </c>
      <c r="H21">
        <f t="shared" si="8"/>
        <v>0</v>
      </c>
      <c r="I21">
        <f t="shared" si="8"/>
        <v>0</v>
      </c>
      <c r="J21">
        <f t="shared" si="8"/>
        <v>0</v>
      </c>
      <c r="O21" s="2"/>
    </row>
    <row r="22" spans="1:16" x14ac:dyDescent="0.2">
      <c r="A22">
        <v>10</v>
      </c>
      <c r="B22">
        <f t="shared" si="3"/>
        <v>0</v>
      </c>
      <c r="C22">
        <f t="shared" si="4"/>
        <v>0</v>
      </c>
      <c r="D22">
        <f t="shared" si="5"/>
        <v>0</v>
      </c>
      <c r="E22">
        <f t="shared" si="6"/>
        <v>0</v>
      </c>
      <c r="F22">
        <f t="shared" si="7"/>
        <v>0</v>
      </c>
      <c r="G22">
        <f t="shared" si="8"/>
        <v>0</v>
      </c>
      <c r="H22">
        <f t="shared" si="8"/>
        <v>0</v>
      </c>
      <c r="I22">
        <f t="shared" si="8"/>
        <v>0</v>
      </c>
      <c r="J22">
        <f t="shared" si="8"/>
        <v>10</v>
      </c>
      <c r="M22" s="114" t="s">
        <v>323</v>
      </c>
      <c r="N22">
        <f>Cdither_init</f>
        <v>9.2592592592592591E-9</v>
      </c>
      <c r="O22" s="2">
        <f>H4</f>
        <v>1E-8</v>
      </c>
    </row>
    <row r="23" spans="1:16" x14ac:dyDescent="0.2">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x14ac:dyDescent="0.2">
      <c r="A24">
        <v>15</v>
      </c>
      <c r="B24">
        <f t="shared" si="3"/>
        <v>0</v>
      </c>
      <c r="C24">
        <f t="shared" si="4"/>
        <v>0</v>
      </c>
      <c r="D24">
        <f t="shared" si="5"/>
        <v>0</v>
      </c>
      <c r="E24">
        <f t="shared" si="6"/>
        <v>0</v>
      </c>
      <c r="F24">
        <f t="shared" si="7"/>
        <v>0</v>
      </c>
      <c r="G24">
        <f t="shared" si="8"/>
        <v>0</v>
      </c>
      <c r="H24">
        <f t="shared" si="8"/>
        <v>0</v>
      </c>
      <c r="I24">
        <f t="shared" si="8"/>
        <v>0</v>
      </c>
      <c r="J24">
        <f t="shared" si="8"/>
        <v>0</v>
      </c>
      <c r="M24" s="114"/>
      <c r="N24" s="311"/>
      <c r="O24" s="2"/>
      <c r="P24" s="45"/>
    </row>
    <row r="25" spans="1:16" x14ac:dyDescent="0.2">
      <c r="A25">
        <v>18</v>
      </c>
      <c r="B25">
        <f t="shared" si="3"/>
        <v>0</v>
      </c>
      <c r="C25">
        <f t="shared" si="4"/>
        <v>0</v>
      </c>
      <c r="D25">
        <f t="shared" si="5"/>
        <v>0</v>
      </c>
      <c r="E25">
        <f t="shared" si="6"/>
        <v>0</v>
      </c>
      <c r="F25">
        <f t="shared" si="7"/>
        <v>0</v>
      </c>
      <c r="G25">
        <f t="shared" si="8"/>
        <v>0</v>
      </c>
      <c r="H25">
        <f t="shared" si="8"/>
        <v>0</v>
      </c>
      <c r="I25">
        <f t="shared" si="8"/>
        <v>0</v>
      </c>
      <c r="J25">
        <f t="shared" si="8"/>
        <v>0</v>
      </c>
    </row>
    <row r="26" spans="1:16" x14ac:dyDescent="0.2">
      <c r="A26">
        <v>22</v>
      </c>
      <c r="B26">
        <f t="shared" si="3"/>
        <v>0</v>
      </c>
      <c r="C26">
        <f t="shared" si="4"/>
        <v>0</v>
      </c>
      <c r="D26">
        <f t="shared" si="5"/>
        <v>0</v>
      </c>
      <c r="E26">
        <f t="shared" si="6"/>
        <v>0</v>
      </c>
      <c r="F26">
        <f t="shared" si="7"/>
        <v>0</v>
      </c>
      <c r="G26">
        <f t="shared" si="8"/>
        <v>0</v>
      </c>
      <c r="H26">
        <f t="shared" si="8"/>
        <v>0</v>
      </c>
      <c r="I26">
        <f t="shared" si="8"/>
        <v>0</v>
      </c>
      <c r="J26">
        <f t="shared" si="8"/>
        <v>0</v>
      </c>
      <c r="O26" s="2"/>
    </row>
    <row r="27" spans="1:16" x14ac:dyDescent="0.2">
      <c r="A27">
        <v>27</v>
      </c>
      <c r="B27">
        <f t="shared" si="3"/>
        <v>0</v>
      </c>
      <c r="C27">
        <f t="shared" si="4"/>
        <v>0</v>
      </c>
      <c r="D27">
        <f t="shared" si="5"/>
        <v>0</v>
      </c>
      <c r="E27">
        <f t="shared" si="6"/>
        <v>0</v>
      </c>
      <c r="F27">
        <f t="shared" si="7"/>
        <v>0</v>
      </c>
      <c r="G27">
        <f t="shared" si="8"/>
        <v>0</v>
      </c>
      <c r="H27">
        <f t="shared" si="8"/>
        <v>0</v>
      </c>
      <c r="I27">
        <f t="shared" si="8"/>
        <v>0</v>
      </c>
      <c r="J27">
        <f t="shared" si="8"/>
        <v>0</v>
      </c>
      <c r="M27" s="114"/>
      <c r="O27" s="2"/>
      <c r="P27" s="45"/>
    </row>
    <row r="28" spans="1:16" x14ac:dyDescent="0.2">
      <c r="A28">
        <v>33</v>
      </c>
      <c r="B28">
        <f t="shared" si="3"/>
        <v>0</v>
      </c>
      <c r="C28">
        <f t="shared" si="4"/>
        <v>0</v>
      </c>
      <c r="D28">
        <f t="shared" si="5"/>
        <v>0</v>
      </c>
      <c r="E28">
        <f t="shared" si="6"/>
        <v>0</v>
      </c>
      <c r="F28">
        <f t="shared" si="7"/>
        <v>0</v>
      </c>
      <c r="G28">
        <f t="shared" si="8"/>
        <v>0</v>
      </c>
      <c r="H28">
        <f t="shared" si="8"/>
        <v>0</v>
      </c>
      <c r="I28">
        <f t="shared" si="8"/>
        <v>0</v>
      </c>
      <c r="J28">
        <f t="shared" si="8"/>
        <v>0</v>
      </c>
    </row>
    <row r="29" spans="1:16" x14ac:dyDescent="0.2">
      <c r="A29">
        <v>39</v>
      </c>
      <c r="B29">
        <f t="shared" si="3"/>
        <v>0</v>
      </c>
      <c r="C29">
        <f t="shared" si="4"/>
        <v>0</v>
      </c>
      <c r="D29">
        <f t="shared" si="5"/>
        <v>0</v>
      </c>
      <c r="E29">
        <f t="shared" si="6"/>
        <v>0</v>
      </c>
      <c r="F29">
        <f t="shared" si="7"/>
        <v>0</v>
      </c>
      <c r="G29">
        <f t="shared" si="8"/>
        <v>0</v>
      </c>
      <c r="H29">
        <f t="shared" si="8"/>
        <v>0</v>
      </c>
      <c r="I29">
        <f t="shared" si="8"/>
        <v>0</v>
      </c>
      <c r="J29">
        <f t="shared" si="8"/>
        <v>0</v>
      </c>
    </row>
    <row r="30" spans="1:16" x14ac:dyDescent="0.2">
      <c r="A30">
        <v>47</v>
      </c>
      <c r="B30">
        <f t="shared" si="3"/>
        <v>0</v>
      </c>
      <c r="C30">
        <f t="shared" si="4"/>
        <v>0</v>
      </c>
      <c r="D30">
        <f t="shared" si="5"/>
        <v>0</v>
      </c>
      <c r="E30">
        <f t="shared" si="6"/>
        <v>0</v>
      </c>
      <c r="F30">
        <f t="shared" si="7"/>
        <v>0</v>
      </c>
      <c r="G30">
        <f t="shared" si="8"/>
        <v>0</v>
      </c>
      <c r="H30">
        <f t="shared" si="8"/>
        <v>0</v>
      </c>
      <c r="I30">
        <f t="shared" si="8"/>
        <v>0</v>
      </c>
      <c r="J30">
        <f t="shared" si="8"/>
        <v>0</v>
      </c>
      <c r="M30" s="3" t="s">
        <v>171</v>
      </c>
      <c r="N30" t="str">
        <f>O7/1000&amp;" kΩ"</f>
        <v>6,34 kΩ</v>
      </c>
      <c r="O30">
        <f>O7/1000</f>
        <v>6.34</v>
      </c>
      <c r="P30" s="45" t="s">
        <v>242</v>
      </c>
    </row>
    <row r="31" spans="1:16" x14ac:dyDescent="0.2">
      <c r="A31">
        <v>56</v>
      </c>
      <c r="B31">
        <f t="shared" si="3"/>
        <v>0</v>
      </c>
      <c r="C31">
        <f t="shared" si="4"/>
        <v>0</v>
      </c>
      <c r="D31">
        <f t="shared" si="5"/>
        <v>0</v>
      </c>
      <c r="E31">
        <f t="shared" si="6"/>
        <v>0</v>
      </c>
      <c r="F31">
        <f t="shared" si="7"/>
        <v>0</v>
      </c>
      <c r="G31">
        <f t="shared" si="8"/>
        <v>0</v>
      </c>
      <c r="H31">
        <f t="shared" si="8"/>
        <v>0</v>
      </c>
      <c r="I31">
        <f t="shared" si="8"/>
        <v>0</v>
      </c>
      <c r="J31">
        <f t="shared" si="8"/>
        <v>0</v>
      </c>
      <c r="M31" s="3" t="s">
        <v>169</v>
      </c>
      <c r="N31" t="str">
        <f>C4*1000000000&amp;" nF"</f>
        <v>39 nF</v>
      </c>
      <c r="O31">
        <f>C4*1000000000</f>
        <v>39</v>
      </c>
      <c r="P31" s="114" t="s">
        <v>141</v>
      </c>
    </row>
    <row r="32" spans="1:16" x14ac:dyDescent="0.2">
      <c r="A32">
        <v>68</v>
      </c>
      <c r="B32">
        <f t="shared" si="3"/>
        <v>0</v>
      </c>
      <c r="C32">
        <f t="shared" si="4"/>
        <v>0</v>
      </c>
      <c r="D32">
        <f t="shared" si="5"/>
        <v>82</v>
      </c>
      <c r="E32">
        <f t="shared" si="6"/>
        <v>0</v>
      </c>
      <c r="F32">
        <f t="shared" si="7"/>
        <v>0</v>
      </c>
      <c r="G32">
        <f t="shared" si="8"/>
        <v>0</v>
      </c>
      <c r="H32">
        <f t="shared" si="8"/>
        <v>0</v>
      </c>
      <c r="I32">
        <f t="shared" si="8"/>
        <v>0</v>
      </c>
      <c r="J32">
        <f t="shared" si="8"/>
        <v>0</v>
      </c>
      <c r="M32" s="3" t="s">
        <v>170</v>
      </c>
      <c r="N32" t="str">
        <f>D4*1000000000000&amp;" pF"</f>
        <v>82 pF</v>
      </c>
      <c r="O32">
        <f>D4*1000000000000</f>
        <v>82</v>
      </c>
      <c r="P32" s="114" t="s">
        <v>30</v>
      </c>
    </row>
    <row r="33" spans="1:16" x14ac:dyDescent="0.2">
      <c r="A33">
        <v>82</v>
      </c>
      <c r="B33">
        <f t="shared" si="3"/>
        <v>0</v>
      </c>
      <c r="C33">
        <f t="shared" si="4"/>
        <v>0</v>
      </c>
      <c r="D33">
        <f t="shared" si="5"/>
        <v>0</v>
      </c>
      <c r="E33">
        <f t="shared" si="6"/>
        <v>0</v>
      </c>
      <c r="F33">
        <f t="shared" si="7"/>
        <v>0</v>
      </c>
      <c r="G33">
        <f t="shared" si="8"/>
        <v>0</v>
      </c>
      <c r="H33">
        <f t="shared" si="8"/>
        <v>0</v>
      </c>
      <c r="I33">
        <f t="shared" si="8"/>
        <v>0</v>
      </c>
      <c r="J33">
        <f t="shared" si="8"/>
        <v>0</v>
      </c>
      <c r="M33" s="3"/>
      <c r="P33" s="45"/>
    </row>
    <row r="34" spans="1:16" x14ac:dyDescent="0.2">
      <c r="A34">
        <f>A22*10</f>
        <v>100</v>
      </c>
      <c r="B34">
        <f t="shared" si="3"/>
        <v>0</v>
      </c>
      <c r="C34">
        <f t="shared" si="4"/>
        <v>0</v>
      </c>
      <c r="D34">
        <f t="shared" si="5"/>
        <v>0</v>
      </c>
      <c r="E34">
        <f t="shared" si="6"/>
        <v>0</v>
      </c>
      <c r="F34">
        <f t="shared" si="7"/>
        <v>0</v>
      </c>
      <c r="G34">
        <f t="shared" si="8"/>
        <v>0</v>
      </c>
      <c r="H34">
        <f t="shared" si="8"/>
        <v>0</v>
      </c>
      <c r="I34">
        <f t="shared" si="8"/>
        <v>0</v>
      </c>
      <c r="J34">
        <f t="shared" si="8"/>
        <v>0</v>
      </c>
      <c r="M34" s="114" t="s">
        <v>731</v>
      </c>
      <c r="N34" t="str">
        <f>O8/1000&amp;" kΩ"</f>
        <v>31,6 kΩ</v>
      </c>
      <c r="O34">
        <f>O8/1000</f>
        <v>31.6</v>
      </c>
      <c r="P34" s="45" t="s">
        <v>242</v>
      </c>
    </row>
    <row r="35" spans="1:16" x14ac:dyDescent="0.2">
      <c r="A35">
        <f t="shared" ref="A35:A98" si="11">A23*10</f>
        <v>120</v>
      </c>
      <c r="B35">
        <f t="shared" si="3"/>
        <v>0</v>
      </c>
      <c r="C35">
        <f t="shared" si="4"/>
        <v>0</v>
      </c>
      <c r="D35">
        <f t="shared" si="5"/>
        <v>0</v>
      </c>
      <c r="E35">
        <f t="shared" si="6"/>
        <v>0</v>
      </c>
      <c r="F35">
        <f t="shared" si="7"/>
        <v>0</v>
      </c>
      <c r="G35">
        <f t="shared" si="8"/>
        <v>0</v>
      </c>
      <c r="H35">
        <f t="shared" si="8"/>
        <v>0</v>
      </c>
      <c r="I35">
        <f t="shared" si="8"/>
        <v>0</v>
      </c>
      <c r="J35">
        <f t="shared" si="8"/>
        <v>0</v>
      </c>
      <c r="M35" s="114" t="s">
        <v>732</v>
      </c>
      <c r="N35" t="str">
        <f>I4*1000000000&amp;" nF"</f>
        <v>8,2 nF</v>
      </c>
      <c r="O35">
        <f>I4*1000000000</f>
        <v>8.2000000000000011</v>
      </c>
      <c r="P35" s="114" t="s">
        <v>141</v>
      </c>
    </row>
    <row r="36" spans="1:16" x14ac:dyDescent="0.2">
      <c r="A36">
        <f t="shared" si="11"/>
        <v>150</v>
      </c>
      <c r="B36">
        <f t="shared" si="3"/>
        <v>0</v>
      </c>
      <c r="C36">
        <f t="shared" si="4"/>
        <v>0</v>
      </c>
      <c r="D36">
        <f t="shared" si="5"/>
        <v>0</v>
      </c>
      <c r="E36">
        <f t="shared" si="6"/>
        <v>0</v>
      </c>
      <c r="F36">
        <f t="shared" si="7"/>
        <v>0</v>
      </c>
      <c r="G36">
        <f t="shared" si="8"/>
        <v>0</v>
      </c>
      <c r="H36">
        <f t="shared" si="8"/>
        <v>0</v>
      </c>
      <c r="I36">
        <f t="shared" si="8"/>
        <v>0</v>
      </c>
      <c r="J36">
        <f t="shared" si="8"/>
        <v>0</v>
      </c>
      <c r="M36" s="114" t="s">
        <v>733</v>
      </c>
      <c r="N36" t="str">
        <f>J4*1000000000000&amp;" pF"</f>
        <v>10 pF</v>
      </c>
      <c r="O36">
        <f>J4*1000000000000</f>
        <v>10</v>
      </c>
      <c r="P36" s="114" t="s">
        <v>30</v>
      </c>
    </row>
    <row r="37" spans="1:16" x14ac:dyDescent="0.2">
      <c r="A37">
        <f t="shared" si="11"/>
        <v>180</v>
      </c>
      <c r="B37">
        <f t="shared" si="3"/>
        <v>0</v>
      </c>
      <c r="C37">
        <f t="shared" si="4"/>
        <v>0</v>
      </c>
      <c r="D37">
        <f t="shared" si="5"/>
        <v>0</v>
      </c>
      <c r="E37">
        <f t="shared" si="6"/>
        <v>0</v>
      </c>
      <c r="F37">
        <f t="shared" si="7"/>
        <v>0</v>
      </c>
      <c r="G37">
        <f t="shared" si="8"/>
        <v>0</v>
      </c>
      <c r="H37">
        <f t="shared" si="8"/>
        <v>0</v>
      </c>
      <c r="I37">
        <f t="shared" si="8"/>
        <v>0</v>
      </c>
      <c r="J37">
        <f t="shared" si="8"/>
        <v>0</v>
      </c>
    </row>
    <row r="38" spans="1:16" x14ac:dyDescent="0.2">
      <c r="A38">
        <f t="shared" si="11"/>
        <v>220</v>
      </c>
      <c r="B38">
        <f t="shared" si="3"/>
        <v>0</v>
      </c>
      <c r="C38">
        <f t="shared" si="4"/>
        <v>0</v>
      </c>
      <c r="D38">
        <f t="shared" si="5"/>
        <v>0</v>
      </c>
      <c r="E38">
        <f t="shared" si="6"/>
        <v>0</v>
      </c>
      <c r="F38">
        <f t="shared" si="7"/>
        <v>0</v>
      </c>
      <c r="G38">
        <f t="shared" si="8"/>
        <v>0</v>
      </c>
      <c r="H38">
        <f t="shared" si="8"/>
        <v>0</v>
      </c>
      <c r="I38">
        <f t="shared" si="8"/>
        <v>0</v>
      </c>
      <c r="J38">
        <f t="shared" si="8"/>
        <v>0</v>
      </c>
    </row>
    <row r="39" spans="1:16" x14ac:dyDescent="0.2">
      <c r="A39">
        <f t="shared" si="11"/>
        <v>270</v>
      </c>
      <c r="B39">
        <f t="shared" si="3"/>
        <v>0</v>
      </c>
      <c r="C39">
        <f t="shared" ref="C39:C70" si="12">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6" x14ac:dyDescent="0.2">
      <c r="A40">
        <f t="shared" si="11"/>
        <v>330</v>
      </c>
      <c r="B40">
        <f t="shared" si="3"/>
        <v>0</v>
      </c>
      <c r="C40">
        <f t="shared" si="12"/>
        <v>0</v>
      </c>
      <c r="D40">
        <f t="shared" si="5"/>
        <v>0</v>
      </c>
      <c r="E40">
        <f t="shared" si="6"/>
        <v>0</v>
      </c>
      <c r="F40">
        <f t="shared" si="7"/>
        <v>0</v>
      </c>
      <c r="G40">
        <f t="shared" si="8"/>
        <v>0</v>
      </c>
      <c r="H40">
        <f t="shared" si="8"/>
        <v>0</v>
      </c>
      <c r="I40">
        <f t="shared" si="8"/>
        <v>0</v>
      </c>
      <c r="J40">
        <f t="shared" si="8"/>
        <v>0</v>
      </c>
    </row>
    <row r="41" spans="1:16" x14ac:dyDescent="0.2">
      <c r="A41">
        <f t="shared" si="11"/>
        <v>390</v>
      </c>
      <c r="B41">
        <f t="shared" si="3"/>
        <v>0</v>
      </c>
      <c r="C41">
        <f t="shared" si="12"/>
        <v>0</v>
      </c>
      <c r="D41">
        <f t="shared" si="5"/>
        <v>0</v>
      </c>
      <c r="E41">
        <f t="shared" si="6"/>
        <v>0</v>
      </c>
      <c r="F41">
        <f t="shared" si="7"/>
        <v>0</v>
      </c>
      <c r="G41">
        <f t="shared" si="8"/>
        <v>0</v>
      </c>
      <c r="H41">
        <f t="shared" si="8"/>
        <v>0</v>
      </c>
      <c r="I41">
        <f t="shared" si="8"/>
        <v>0</v>
      </c>
      <c r="J41">
        <f t="shared" si="8"/>
        <v>0</v>
      </c>
    </row>
    <row r="42" spans="1:16" x14ac:dyDescent="0.2">
      <c r="A42">
        <f t="shared" si="11"/>
        <v>470</v>
      </c>
      <c r="B42">
        <f t="shared" si="3"/>
        <v>0</v>
      </c>
      <c r="C42">
        <f t="shared" si="12"/>
        <v>0</v>
      </c>
      <c r="D42">
        <f t="shared" si="5"/>
        <v>0</v>
      </c>
      <c r="E42">
        <f t="shared" si="6"/>
        <v>0</v>
      </c>
      <c r="F42">
        <f t="shared" si="7"/>
        <v>0</v>
      </c>
      <c r="G42">
        <f t="shared" si="8"/>
        <v>0</v>
      </c>
      <c r="H42">
        <f t="shared" si="8"/>
        <v>0</v>
      </c>
      <c r="I42">
        <f t="shared" si="8"/>
        <v>0</v>
      </c>
      <c r="J42">
        <f t="shared" si="8"/>
        <v>0</v>
      </c>
    </row>
    <row r="43" spans="1:16" x14ac:dyDescent="0.2">
      <c r="A43">
        <f t="shared" si="11"/>
        <v>560</v>
      </c>
      <c r="B43">
        <f t="shared" si="3"/>
        <v>0</v>
      </c>
      <c r="C43">
        <f t="shared" si="12"/>
        <v>0</v>
      </c>
      <c r="D43">
        <f t="shared" si="5"/>
        <v>0</v>
      </c>
      <c r="E43">
        <f t="shared" si="6"/>
        <v>0</v>
      </c>
      <c r="F43">
        <f t="shared" si="7"/>
        <v>0</v>
      </c>
      <c r="G43">
        <f t="shared" si="8"/>
        <v>0</v>
      </c>
      <c r="H43">
        <f t="shared" si="8"/>
        <v>0</v>
      </c>
      <c r="I43">
        <f t="shared" si="8"/>
        <v>0</v>
      </c>
      <c r="J43">
        <f t="shared" si="8"/>
        <v>0</v>
      </c>
    </row>
    <row r="44" spans="1:16" x14ac:dyDescent="0.2">
      <c r="A44">
        <f t="shared" si="11"/>
        <v>680</v>
      </c>
      <c r="B44">
        <f t="shared" si="3"/>
        <v>0</v>
      </c>
      <c r="C44">
        <f t="shared" si="12"/>
        <v>0</v>
      </c>
      <c r="D44">
        <f t="shared" si="5"/>
        <v>0</v>
      </c>
      <c r="E44">
        <f t="shared" si="6"/>
        <v>0</v>
      </c>
      <c r="F44">
        <f t="shared" si="7"/>
        <v>0</v>
      </c>
      <c r="G44">
        <f t="shared" si="8"/>
        <v>0</v>
      </c>
      <c r="H44">
        <f t="shared" si="8"/>
        <v>0</v>
      </c>
      <c r="I44">
        <f t="shared" si="8"/>
        <v>0</v>
      </c>
      <c r="J44">
        <f t="shared" si="8"/>
        <v>0</v>
      </c>
    </row>
    <row r="45" spans="1:16" x14ac:dyDescent="0.2">
      <c r="A45">
        <f>A33*10</f>
        <v>820</v>
      </c>
      <c r="B45">
        <f t="shared" si="3"/>
        <v>0</v>
      </c>
      <c r="C45">
        <f t="shared" si="12"/>
        <v>0</v>
      </c>
      <c r="D45">
        <f t="shared" si="5"/>
        <v>0</v>
      </c>
      <c r="E45">
        <f t="shared" si="6"/>
        <v>0</v>
      </c>
      <c r="F45">
        <f t="shared" si="7"/>
        <v>0</v>
      </c>
      <c r="G45">
        <f t="shared" si="8"/>
        <v>0</v>
      </c>
      <c r="H45">
        <f t="shared" si="8"/>
        <v>0</v>
      </c>
      <c r="I45">
        <f t="shared" si="8"/>
        <v>0</v>
      </c>
      <c r="J45">
        <f t="shared" si="8"/>
        <v>0</v>
      </c>
    </row>
    <row r="46" spans="1:16" x14ac:dyDescent="0.2">
      <c r="A46">
        <f t="shared" si="11"/>
        <v>1000</v>
      </c>
      <c r="B46">
        <f t="shared" si="3"/>
        <v>0</v>
      </c>
      <c r="C46">
        <f t="shared" si="12"/>
        <v>0</v>
      </c>
      <c r="D46">
        <f t="shared" si="5"/>
        <v>0</v>
      </c>
      <c r="E46">
        <f t="shared" si="6"/>
        <v>0</v>
      </c>
      <c r="F46">
        <f t="shared" si="7"/>
        <v>0</v>
      </c>
      <c r="G46">
        <f t="shared" si="8"/>
        <v>0</v>
      </c>
      <c r="H46">
        <f t="shared" si="8"/>
        <v>0</v>
      </c>
      <c r="I46">
        <f t="shared" si="8"/>
        <v>0</v>
      </c>
      <c r="J46">
        <f t="shared" si="8"/>
        <v>0</v>
      </c>
    </row>
    <row r="47" spans="1:16" x14ac:dyDescent="0.2">
      <c r="A47">
        <f t="shared" si="11"/>
        <v>1200</v>
      </c>
      <c r="B47">
        <f t="shared" si="3"/>
        <v>0</v>
      </c>
      <c r="C47">
        <f t="shared" si="12"/>
        <v>0</v>
      </c>
      <c r="D47">
        <f t="shared" si="5"/>
        <v>0</v>
      </c>
      <c r="E47">
        <f t="shared" si="6"/>
        <v>0</v>
      </c>
      <c r="F47">
        <f t="shared" si="7"/>
        <v>0</v>
      </c>
      <c r="G47">
        <f t="shared" si="8"/>
        <v>0</v>
      </c>
      <c r="H47">
        <f t="shared" si="8"/>
        <v>0</v>
      </c>
      <c r="I47">
        <f t="shared" si="8"/>
        <v>0</v>
      </c>
      <c r="J47">
        <f t="shared" si="8"/>
        <v>0</v>
      </c>
    </row>
    <row r="48" spans="1:16" x14ac:dyDescent="0.2">
      <c r="A48">
        <f t="shared" si="11"/>
        <v>1500</v>
      </c>
      <c r="B48">
        <f t="shared" si="3"/>
        <v>0</v>
      </c>
      <c r="C48">
        <f t="shared" si="12"/>
        <v>0</v>
      </c>
      <c r="D48">
        <f t="shared" si="5"/>
        <v>0</v>
      </c>
      <c r="E48">
        <f t="shared" si="6"/>
        <v>0</v>
      </c>
      <c r="F48">
        <f t="shared" si="7"/>
        <v>0</v>
      </c>
      <c r="G48">
        <f t="shared" si="8"/>
        <v>0</v>
      </c>
      <c r="H48">
        <f t="shared" si="8"/>
        <v>0</v>
      </c>
      <c r="I48">
        <f t="shared" si="8"/>
        <v>0</v>
      </c>
      <c r="J48">
        <f t="shared" si="8"/>
        <v>0</v>
      </c>
    </row>
    <row r="49" spans="1:10" x14ac:dyDescent="0.2">
      <c r="A49">
        <f t="shared" si="11"/>
        <v>1800</v>
      </c>
      <c r="B49">
        <f t="shared" si="3"/>
        <v>0</v>
      </c>
      <c r="C49">
        <f t="shared" si="12"/>
        <v>0</v>
      </c>
      <c r="D49">
        <f t="shared" si="5"/>
        <v>0</v>
      </c>
      <c r="E49">
        <f t="shared" si="6"/>
        <v>0</v>
      </c>
      <c r="F49">
        <f t="shared" si="7"/>
        <v>0</v>
      </c>
      <c r="G49">
        <f t="shared" si="8"/>
        <v>0</v>
      </c>
      <c r="H49">
        <f t="shared" si="8"/>
        <v>0</v>
      </c>
      <c r="I49">
        <f t="shared" si="8"/>
        <v>0</v>
      </c>
      <c r="J49">
        <f t="shared" si="8"/>
        <v>0</v>
      </c>
    </row>
    <row r="50" spans="1:10" x14ac:dyDescent="0.2">
      <c r="A50">
        <f t="shared" si="11"/>
        <v>2200</v>
      </c>
      <c r="B50">
        <f t="shared" si="3"/>
        <v>0</v>
      </c>
      <c r="C50">
        <f t="shared" si="12"/>
        <v>0</v>
      </c>
      <c r="D50">
        <f t="shared" si="5"/>
        <v>0</v>
      </c>
      <c r="E50">
        <f t="shared" si="6"/>
        <v>0</v>
      </c>
      <c r="F50">
        <f t="shared" si="7"/>
        <v>0</v>
      </c>
      <c r="G50">
        <f t="shared" si="8"/>
        <v>0</v>
      </c>
      <c r="H50">
        <f t="shared" si="8"/>
        <v>0</v>
      </c>
      <c r="I50">
        <f t="shared" si="8"/>
        <v>0</v>
      </c>
      <c r="J50">
        <f t="shared" si="8"/>
        <v>0</v>
      </c>
    </row>
    <row r="51" spans="1:10" x14ac:dyDescent="0.2">
      <c r="A51">
        <f t="shared" si="11"/>
        <v>2700</v>
      </c>
      <c r="B51">
        <f t="shared" si="3"/>
        <v>0</v>
      </c>
      <c r="C51">
        <f t="shared" si="12"/>
        <v>0</v>
      </c>
      <c r="D51">
        <f t="shared" si="5"/>
        <v>0</v>
      </c>
      <c r="E51">
        <f t="shared" si="6"/>
        <v>0</v>
      </c>
      <c r="F51">
        <f t="shared" si="7"/>
        <v>0</v>
      </c>
      <c r="G51">
        <f t="shared" si="8"/>
        <v>0</v>
      </c>
      <c r="H51">
        <f t="shared" si="8"/>
        <v>0</v>
      </c>
      <c r="I51">
        <f t="shared" si="8"/>
        <v>0</v>
      </c>
      <c r="J51">
        <f t="shared" si="8"/>
        <v>0</v>
      </c>
    </row>
    <row r="52" spans="1:10" x14ac:dyDescent="0.2">
      <c r="A52">
        <f t="shared" si="11"/>
        <v>3300</v>
      </c>
      <c r="B52">
        <f t="shared" si="3"/>
        <v>0</v>
      </c>
      <c r="C52">
        <f t="shared" si="12"/>
        <v>0</v>
      </c>
      <c r="D52">
        <f t="shared" si="5"/>
        <v>0</v>
      </c>
      <c r="E52">
        <f t="shared" si="6"/>
        <v>0</v>
      </c>
      <c r="F52">
        <f t="shared" si="7"/>
        <v>0</v>
      </c>
      <c r="G52">
        <f t="shared" si="8"/>
        <v>0</v>
      </c>
      <c r="H52">
        <f t="shared" si="8"/>
        <v>0</v>
      </c>
      <c r="I52">
        <f t="shared" si="8"/>
        <v>0</v>
      </c>
      <c r="J52">
        <f t="shared" si="8"/>
        <v>0</v>
      </c>
    </row>
    <row r="53" spans="1:10" x14ac:dyDescent="0.2">
      <c r="A53">
        <f t="shared" si="11"/>
        <v>3900</v>
      </c>
      <c r="B53">
        <f t="shared" si="3"/>
        <v>0</v>
      </c>
      <c r="C53">
        <f t="shared" si="12"/>
        <v>0</v>
      </c>
      <c r="D53">
        <f t="shared" si="5"/>
        <v>0</v>
      </c>
      <c r="E53">
        <f t="shared" si="6"/>
        <v>0</v>
      </c>
      <c r="F53">
        <f t="shared" si="7"/>
        <v>0</v>
      </c>
      <c r="G53">
        <f t="shared" si="8"/>
        <v>0</v>
      </c>
      <c r="H53">
        <f t="shared" si="8"/>
        <v>0</v>
      </c>
      <c r="I53">
        <f t="shared" si="8"/>
        <v>0</v>
      </c>
      <c r="J53">
        <f t="shared" si="8"/>
        <v>0</v>
      </c>
    </row>
    <row r="54" spans="1:10" x14ac:dyDescent="0.2">
      <c r="A54">
        <f t="shared" si="11"/>
        <v>4700</v>
      </c>
      <c r="B54">
        <f t="shared" si="3"/>
        <v>0</v>
      </c>
      <c r="C54">
        <f t="shared" si="12"/>
        <v>0</v>
      </c>
      <c r="D54">
        <f t="shared" si="5"/>
        <v>0</v>
      </c>
      <c r="E54">
        <f t="shared" si="6"/>
        <v>0</v>
      </c>
      <c r="F54">
        <f t="shared" si="7"/>
        <v>0</v>
      </c>
      <c r="G54">
        <f t="shared" si="8"/>
        <v>0</v>
      </c>
      <c r="H54">
        <f t="shared" si="8"/>
        <v>0</v>
      </c>
      <c r="I54">
        <f t="shared" si="8"/>
        <v>0</v>
      </c>
      <c r="J54">
        <f t="shared" si="8"/>
        <v>0</v>
      </c>
    </row>
    <row r="55" spans="1:10" x14ac:dyDescent="0.2">
      <c r="A55">
        <f t="shared" si="11"/>
        <v>5600</v>
      </c>
      <c r="B55">
        <f t="shared" si="3"/>
        <v>0</v>
      </c>
      <c r="C55">
        <f t="shared" si="12"/>
        <v>0</v>
      </c>
      <c r="D55">
        <f t="shared" si="5"/>
        <v>0</v>
      </c>
      <c r="E55">
        <f t="shared" si="6"/>
        <v>0</v>
      </c>
      <c r="F55">
        <f t="shared" si="7"/>
        <v>0</v>
      </c>
      <c r="G55">
        <f t="shared" si="8"/>
        <v>0</v>
      </c>
      <c r="H55">
        <f t="shared" si="8"/>
        <v>0</v>
      </c>
      <c r="I55">
        <f t="shared" si="8"/>
        <v>0</v>
      </c>
      <c r="J55">
        <f t="shared" si="8"/>
        <v>0</v>
      </c>
    </row>
    <row r="56" spans="1:10" x14ac:dyDescent="0.2">
      <c r="A56">
        <f t="shared" si="11"/>
        <v>6800</v>
      </c>
      <c r="B56">
        <f t="shared" si="3"/>
        <v>0</v>
      </c>
      <c r="C56">
        <f t="shared" si="12"/>
        <v>0</v>
      </c>
      <c r="D56">
        <f t="shared" si="5"/>
        <v>0</v>
      </c>
      <c r="E56">
        <f t="shared" si="6"/>
        <v>0</v>
      </c>
      <c r="F56">
        <f t="shared" si="7"/>
        <v>0</v>
      </c>
      <c r="G56">
        <f t="shared" si="8"/>
        <v>0</v>
      </c>
      <c r="H56">
        <f t="shared" si="8"/>
        <v>0</v>
      </c>
      <c r="I56">
        <f t="shared" si="8"/>
        <v>0</v>
      </c>
      <c r="J56">
        <f t="shared" si="8"/>
        <v>0</v>
      </c>
    </row>
    <row r="57" spans="1:10" x14ac:dyDescent="0.2">
      <c r="A57">
        <f t="shared" si="11"/>
        <v>8200</v>
      </c>
      <c r="B57">
        <f t="shared" si="3"/>
        <v>0</v>
      </c>
      <c r="C57">
        <f t="shared" si="12"/>
        <v>0</v>
      </c>
      <c r="D57">
        <f t="shared" si="5"/>
        <v>0</v>
      </c>
      <c r="E57">
        <f t="shared" si="6"/>
        <v>0</v>
      </c>
      <c r="F57">
        <f t="shared" si="7"/>
        <v>0</v>
      </c>
      <c r="G57">
        <f t="shared" si="8"/>
        <v>0</v>
      </c>
      <c r="H57">
        <f t="shared" si="8"/>
        <v>10000</v>
      </c>
      <c r="I57">
        <f t="shared" si="8"/>
        <v>8200</v>
      </c>
      <c r="J57">
        <f t="shared" si="8"/>
        <v>0</v>
      </c>
    </row>
    <row r="58" spans="1:10" x14ac:dyDescent="0.2">
      <c r="A58">
        <f t="shared" si="11"/>
        <v>10000</v>
      </c>
      <c r="B58">
        <f t="shared" si="3"/>
        <v>0</v>
      </c>
      <c r="C58">
        <f t="shared" si="12"/>
        <v>0</v>
      </c>
      <c r="D58">
        <f t="shared" si="5"/>
        <v>0</v>
      </c>
      <c r="E58">
        <f t="shared" si="6"/>
        <v>0</v>
      </c>
      <c r="F58">
        <f t="shared" si="7"/>
        <v>0</v>
      </c>
      <c r="G58">
        <f t="shared" si="8"/>
        <v>0</v>
      </c>
      <c r="H58">
        <f t="shared" si="8"/>
        <v>0</v>
      </c>
      <c r="I58">
        <f t="shared" si="8"/>
        <v>0</v>
      </c>
      <c r="J58">
        <f t="shared" si="8"/>
        <v>0</v>
      </c>
    </row>
    <row r="59" spans="1:10" x14ac:dyDescent="0.2">
      <c r="A59">
        <f t="shared" si="11"/>
        <v>12000</v>
      </c>
      <c r="B59">
        <f t="shared" si="3"/>
        <v>0</v>
      </c>
      <c r="C59">
        <f t="shared" si="12"/>
        <v>0</v>
      </c>
      <c r="D59">
        <f t="shared" si="5"/>
        <v>0</v>
      </c>
      <c r="E59">
        <f t="shared" si="6"/>
        <v>0</v>
      </c>
      <c r="F59">
        <f t="shared" si="7"/>
        <v>0</v>
      </c>
      <c r="G59">
        <f t="shared" si="8"/>
        <v>0</v>
      </c>
      <c r="H59">
        <f t="shared" si="8"/>
        <v>0</v>
      </c>
      <c r="I59">
        <f t="shared" si="8"/>
        <v>0</v>
      </c>
      <c r="J59">
        <f t="shared" si="8"/>
        <v>0</v>
      </c>
    </row>
    <row r="60" spans="1:10" x14ac:dyDescent="0.2">
      <c r="A60">
        <f t="shared" si="11"/>
        <v>15000</v>
      </c>
      <c r="B60">
        <f t="shared" si="3"/>
        <v>0</v>
      </c>
      <c r="C60">
        <f t="shared" si="12"/>
        <v>0</v>
      </c>
      <c r="D60">
        <f t="shared" si="5"/>
        <v>0</v>
      </c>
      <c r="E60">
        <f t="shared" si="6"/>
        <v>0</v>
      </c>
      <c r="F60">
        <f t="shared" si="7"/>
        <v>0</v>
      </c>
      <c r="G60">
        <f t="shared" si="8"/>
        <v>0</v>
      </c>
      <c r="H60">
        <f t="shared" si="8"/>
        <v>0</v>
      </c>
      <c r="I60">
        <f t="shared" si="8"/>
        <v>0</v>
      </c>
      <c r="J60">
        <f t="shared" si="8"/>
        <v>0</v>
      </c>
    </row>
    <row r="61" spans="1:10" x14ac:dyDescent="0.2">
      <c r="A61">
        <f t="shared" si="11"/>
        <v>18000</v>
      </c>
      <c r="B61">
        <f t="shared" si="3"/>
        <v>0</v>
      </c>
      <c r="C61">
        <f t="shared" si="12"/>
        <v>0</v>
      </c>
      <c r="D61">
        <f t="shared" si="5"/>
        <v>0</v>
      </c>
      <c r="E61">
        <f t="shared" si="6"/>
        <v>0</v>
      </c>
      <c r="F61">
        <f t="shared" si="7"/>
        <v>0</v>
      </c>
      <c r="G61">
        <f t="shared" si="8"/>
        <v>0</v>
      </c>
      <c r="H61">
        <f t="shared" si="8"/>
        <v>0</v>
      </c>
      <c r="I61">
        <f t="shared" si="8"/>
        <v>0</v>
      </c>
      <c r="J61">
        <f t="shared" si="8"/>
        <v>0</v>
      </c>
    </row>
    <row r="62" spans="1:10" x14ac:dyDescent="0.2">
      <c r="A62">
        <f t="shared" si="11"/>
        <v>22000</v>
      </c>
      <c r="B62">
        <f t="shared" si="3"/>
        <v>0</v>
      </c>
      <c r="C62">
        <f t="shared" si="12"/>
        <v>0</v>
      </c>
      <c r="D62">
        <f t="shared" si="5"/>
        <v>0</v>
      </c>
      <c r="E62">
        <f t="shared" si="6"/>
        <v>0</v>
      </c>
      <c r="F62">
        <f t="shared" si="7"/>
        <v>0</v>
      </c>
      <c r="G62">
        <f t="shared" si="8"/>
        <v>0</v>
      </c>
      <c r="H62">
        <f t="shared" si="8"/>
        <v>0</v>
      </c>
      <c r="I62">
        <f t="shared" si="8"/>
        <v>0</v>
      </c>
      <c r="J62">
        <f t="shared" si="8"/>
        <v>0</v>
      </c>
    </row>
    <row r="63" spans="1:10" x14ac:dyDescent="0.2">
      <c r="A63">
        <f t="shared" si="11"/>
        <v>27000</v>
      </c>
      <c r="B63">
        <f t="shared" si="3"/>
        <v>0</v>
      </c>
      <c r="C63">
        <f t="shared" si="12"/>
        <v>0</v>
      </c>
      <c r="D63">
        <f t="shared" si="5"/>
        <v>0</v>
      </c>
      <c r="E63">
        <f t="shared" si="6"/>
        <v>0</v>
      </c>
      <c r="F63">
        <f t="shared" si="7"/>
        <v>0</v>
      </c>
      <c r="G63">
        <f t="shared" si="8"/>
        <v>0</v>
      </c>
      <c r="H63">
        <f t="shared" si="8"/>
        <v>0</v>
      </c>
      <c r="I63">
        <f t="shared" si="8"/>
        <v>0</v>
      </c>
      <c r="J63">
        <f t="shared" si="8"/>
        <v>0</v>
      </c>
    </row>
    <row r="64" spans="1:10" x14ac:dyDescent="0.2">
      <c r="A64">
        <f t="shared" si="11"/>
        <v>33000</v>
      </c>
      <c r="B64">
        <f t="shared" si="3"/>
        <v>0</v>
      </c>
      <c r="C64">
        <f t="shared" si="12"/>
        <v>0</v>
      </c>
      <c r="D64">
        <f t="shared" si="5"/>
        <v>0</v>
      </c>
      <c r="E64">
        <f t="shared" si="6"/>
        <v>0</v>
      </c>
      <c r="F64">
        <f t="shared" si="7"/>
        <v>0</v>
      </c>
      <c r="G64">
        <f t="shared" si="8"/>
        <v>0</v>
      </c>
      <c r="H64">
        <f t="shared" si="8"/>
        <v>0</v>
      </c>
      <c r="I64">
        <f t="shared" si="8"/>
        <v>0</v>
      </c>
      <c r="J64">
        <f t="shared" si="8"/>
        <v>0</v>
      </c>
    </row>
    <row r="65" spans="1:10" x14ac:dyDescent="0.2">
      <c r="A65">
        <f t="shared" si="11"/>
        <v>39000</v>
      </c>
      <c r="B65">
        <f t="shared" si="3"/>
        <v>0</v>
      </c>
      <c r="C65">
        <f t="shared" si="12"/>
        <v>39000</v>
      </c>
      <c r="D65">
        <f t="shared" si="5"/>
        <v>0</v>
      </c>
      <c r="E65">
        <f t="shared" si="6"/>
        <v>0</v>
      </c>
      <c r="F65">
        <f t="shared" si="7"/>
        <v>0</v>
      </c>
      <c r="G65">
        <f t="shared" si="8"/>
        <v>0</v>
      </c>
      <c r="H65">
        <f t="shared" si="8"/>
        <v>0</v>
      </c>
      <c r="I65">
        <f t="shared" si="8"/>
        <v>0</v>
      </c>
      <c r="J65">
        <f t="shared" si="8"/>
        <v>0</v>
      </c>
    </row>
    <row r="66" spans="1:10" x14ac:dyDescent="0.2">
      <c r="A66">
        <f t="shared" si="11"/>
        <v>47000</v>
      </c>
      <c r="B66">
        <f t="shared" si="3"/>
        <v>0</v>
      </c>
      <c r="C66">
        <f t="shared" si="12"/>
        <v>0</v>
      </c>
      <c r="D66">
        <f t="shared" si="5"/>
        <v>0</v>
      </c>
      <c r="E66">
        <f t="shared" si="6"/>
        <v>0</v>
      </c>
      <c r="F66">
        <f t="shared" si="7"/>
        <v>0</v>
      </c>
      <c r="G66">
        <f t="shared" si="8"/>
        <v>0</v>
      </c>
      <c r="H66">
        <f t="shared" si="8"/>
        <v>0</v>
      </c>
      <c r="I66">
        <f t="shared" si="8"/>
        <v>0</v>
      </c>
      <c r="J66">
        <f t="shared" si="8"/>
        <v>0</v>
      </c>
    </row>
    <row r="67" spans="1:10" x14ac:dyDescent="0.2">
      <c r="A67">
        <f t="shared" si="11"/>
        <v>56000</v>
      </c>
      <c r="B67">
        <f t="shared" si="3"/>
        <v>0</v>
      </c>
      <c r="C67">
        <f t="shared" si="12"/>
        <v>0</v>
      </c>
      <c r="D67">
        <f t="shared" si="5"/>
        <v>0</v>
      </c>
      <c r="E67">
        <f t="shared" si="6"/>
        <v>0</v>
      </c>
      <c r="F67">
        <f t="shared" si="7"/>
        <v>0</v>
      </c>
      <c r="G67">
        <f t="shared" si="8"/>
        <v>0</v>
      </c>
      <c r="H67">
        <f t="shared" si="8"/>
        <v>0</v>
      </c>
      <c r="I67">
        <f t="shared" si="8"/>
        <v>0</v>
      </c>
      <c r="J67">
        <f t="shared" si="8"/>
        <v>0</v>
      </c>
    </row>
    <row r="68" spans="1:10" x14ac:dyDescent="0.2">
      <c r="A68">
        <f t="shared" si="11"/>
        <v>68000</v>
      </c>
      <c r="B68">
        <f t="shared" si="3"/>
        <v>0</v>
      </c>
      <c r="C68">
        <f t="shared" si="12"/>
        <v>0</v>
      </c>
      <c r="D68">
        <f t="shared" si="5"/>
        <v>0</v>
      </c>
      <c r="E68">
        <f t="shared" si="6"/>
        <v>0</v>
      </c>
      <c r="F68">
        <f t="shared" si="7"/>
        <v>0</v>
      </c>
      <c r="G68">
        <f t="shared" si="8"/>
        <v>0</v>
      </c>
      <c r="H68">
        <f t="shared" si="8"/>
        <v>0</v>
      </c>
      <c r="I68">
        <f t="shared" si="8"/>
        <v>0</v>
      </c>
      <c r="J68">
        <f t="shared" si="8"/>
        <v>0</v>
      </c>
    </row>
    <row r="69" spans="1:10" x14ac:dyDescent="0.2">
      <c r="A69">
        <f t="shared" si="11"/>
        <v>82000</v>
      </c>
      <c r="B69">
        <f t="shared" si="3"/>
        <v>0</v>
      </c>
      <c r="C69">
        <f t="shared" si="12"/>
        <v>0</v>
      </c>
      <c r="D69">
        <f t="shared" si="5"/>
        <v>0</v>
      </c>
      <c r="E69">
        <f t="shared" si="6"/>
        <v>0</v>
      </c>
      <c r="F69">
        <f t="shared" si="7"/>
        <v>0</v>
      </c>
      <c r="G69">
        <f t="shared" si="8"/>
        <v>0</v>
      </c>
      <c r="H69">
        <f t="shared" si="8"/>
        <v>0</v>
      </c>
      <c r="I69">
        <f t="shared" si="8"/>
        <v>0</v>
      </c>
      <c r="J69">
        <f t="shared" ref="J69:J132" si="13">IF(IF((J$3*10^12-$A70)*(J$3*10^12-$A69)*-1&lt;0,0,1)*IF(ABS(J$3*10^12-$A70)&gt;(J$3*10^12-$A69),$A69,$A70)=J70,0,IF((J$3*10^12-$A70)*(J$3*10^12-$A69)*-1&lt;0,0,1)*IF(ABS(J$3*10^12-$A70)&gt;(J$3*10^12-$A69),$A69,$A70))</f>
        <v>0</v>
      </c>
    </row>
    <row r="70" spans="1:10" x14ac:dyDescent="0.2">
      <c r="A70">
        <f t="shared" si="11"/>
        <v>100000</v>
      </c>
      <c r="B70">
        <f t="shared" si="3"/>
        <v>100000</v>
      </c>
      <c r="C70">
        <f t="shared" si="12"/>
        <v>0</v>
      </c>
      <c r="D70">
        <f t="shared" ref="D70:I70" si="14">IF(IF((D$3*10^12-$A71)*(D$3*10^12-$A70)*-1&lt;0,0,1)*IF(ABS(D$3*10^12-$A71)&gt;(D$3*10^12-$A70),$A70,$A71)=D71,0,IF((D$3*10^12-$A71)*(D$3*10^12-$A70)*-1&lt;0,0,1)*IF(ABS(D$3*10^12-$A71)&gt;(D$3*10^12-$A70),$A70,$A71))</f>
        <v>0</v>
      </c>
      <c r="E70">
        <f t="shared" si="14"/>
        <v>0</v>
      </c>
      <c r="F70">
        <f t="shared" si="14"/>
        <v>0</v>
      </c>
      <c r="G70">
        <f t="shared" si="14"/>
        <v>0</v>
      </c>
      <c r="H70">
        <f t="shared" si="14"/>
        <v>0</v>
      </c>
      <c r="I70">
        <f t="shared" si="14"/>
        <v>0</v>
      </c>
      <c r="J70">
        <f t="shared" si="13"/>
        <v>0</v>
      </c>
    </row>
    <row r="71" spans="1:10" x14ac:dyDescent="0.2">
      <c r="A71">
        <f t="shared" si="11"/>
        <v>120000</v>
      </c>
      <c r="B71">
        <f t="shared" ref="B71:B134" si="15">IF(IF((B$3*10^12-$A72)*(B$3*10^12-$A71)*-1&lt;0,0,1)*IF(ABS(B$3*10^12-$A72)&gt;(B$3*10^12-$A71),$A71,$A72)=B72,0,IF((B$3*10^12-$A72)*(B$3*10^12-$A71)*-1&lt;0,0,1)*IF(ABS(B$3*10^12-$A72)&gt;(B$3*10^12-$A71),$A71,$A72))</f>
        <v>0</v>
      </c>
      <c r="C71">
        <f t="shared" ref="C71:E134" si="16">IF(IF((C$3*10^12-$A72)*(C$3*10^12-$A71)*-1&lt;0,0,1)*IF(ABS(C$3*10^12-$A72)&gt;(C$3*10^12-$A71),$A71,$A72)=C72,0,IF((C$3*10^12-$A72)*(C$3*10^12-$A71)*-1&lt;0,0,1)*IF(ABS(C$3*10^12-$A72)&gt;(C$3*10^12-$A71),$A71,$A72))</f>
        <v>0</v>
      </c>
      <c r="D71">
        <f t="shared" si="16"/>
        <v>0</v>
      </c>
      <c r="E71">
        <f t="shared" si="16"/>
        <v>0</v>
      </c>
      <c r="F71">
        <f t="shared" ref="F71:F102" si="17">IF(IF((F$3*10^12-$A72)*(F$3*10^12-$A71)*-1&lt;0,0,1)*IF(ABS(F$3*10^12-$A72)&gt;(F$3*10^12-$A71),$A71,$A72)=F72,0,IF((F$3*10^12-$A72)*(F$3*10^12-$A71)*-1&lt;0,0,1)*IF(ABS(F$3*10^12-$A72)&gt;(F$3*10^12-$A71),$A71,$A72))</f>
        <v>0</v>
      </c>
      <c r="G71">
        <f t="shared" ref="G71:G102" si="18">IF(IF((G$3*10^12-$A72)*(G$3*10^12-$A71)*-1&lt;0,0,1)*IF(ABS(G$3*10^12-$A72)&gt;(G$3*10^12-$A71),$A71,$A72)=G72,0,IF((G$3*10^12-$A72)*(G$3*10^12-$A71)*-1&lt;0,0,1)*IF(ABS(G$3*10^12-$A72)&gt;(G$3*10^12-$A71),$A71,$A72))</f>
        <v>0</v>
      </c>
      <c r="H71">
        <f t="shared" ref="H71:H102" si="19">IF(IF((H$3*10^12-$A72)*(H$3*10^12-$A71)*-1&lt;0,0,1)*IF(ABS(H$3*10^12-$A72)&gt;(H$3*10^12-$A71),$A71,$A72)=H72,0,IF((H$3*10^12-$A72)*(H$3*10^12-$A71)*-1&lt;0,0,1)*IF(ABS(H$3*10^12-$A72)&gt;(H$3*10^12-$A71),$A71,$A72))</f>
        <v>0</v>
      </c>
      <c r="I71">
        <f t="shared" ref="I71:I102" si="20">IF(IF((I$3*10^12-$A72)*(I$3*10^12-$A71)*-1&lt;0,0,1)*IF(ABS(I$3*10^12-$A72)&gt;(I$3*10^12-$A71),$A71,$A72)=I72,0,IF((I$3*10^12-$A72)*(I$3*10^12-$A71)*-1&lt;0,0,1)*IF(ABS(I$3*10^12-$A72)&gt;(I$3*10^12-$A71),$A71,$A72))</f>
        <v>0</v>
      </c>
      <c r="J71">
        <f t="shared" si="13"/>
        <v>0</v>
      </c>
    </row>
    <row r="72" spans="1:10" x14ac:dyDescent="0.2">
      <c r="A72">
        <f t="shared" si="11"/>
        <v>150000</v>
      </c>
      <c r="B72">
        <f t="shared" si="15"/>
        <v>0</v>
      </c>
      <c r="C72">
        <f t="shared" si="16"/>
        <v>0</v>
      </c>
      <c r="D72">
        <f t="shared" si="16"/>
        <v>0</v>
      </c>
      <c r="E72">
        <f t="shared" si="16"/>
        <v>0</v>
      </c>
      <c r="F72">
        <f t="shared" si="17"/>
        <v>0</v>
      </c>
      <c r="G72">
        <f t="shared" si="18"/>
        <v>0</v>
      </c>
      <c r="H72">
        <f t="shared" si="19"/>
        <v>0</v>
      </c>
      <c r="I72">
        <f t="shared" si="20"/>
        <v>0</v>
      </c>
      <c r="J72">
        <f t="shared" si="13"/>
        <v>0</v>
      </c>
    </row>
    <row r="73" spans="1:10" x14ac:dyDescent="0.2">
      <c r="A73">
        <f t="shared" si="11"/>
        <v>180000</v>
      </c>
      <c r="B73">
        <f t="shared" si="15"/>
        <v>0</v>
      </c>
      <c r="C73">
        <f t="shared" si="16"/>
        <v>0</v>
      </c>
      <c r="D73">
        <f t="shared" si="16"/>
        <v>0</v>
      </c>
      <c r="E73">
        <f t="shared" si="16"/>
        <v>0</v>
      </c>
      <c r="F73">
        <f t="shared" si="17"/>
        <v>0</v>
      </c>
      <c r="G73">
        <f t="shared" si="18"/>
        <v>0</v>
      </c>
      <c r="H73">
        <f t="shared" si="19"/>
        <v>0</v>
      </c>
      <c r="I73">
        <f t="shared" si="20"/>
        <v>0</v>
      </c>
      <c r="J73">
        <f t="shared" si="13"/>
        <v>0</v>
      </c>
    </row>
    <row r="74" spans="1:10" x14ac:dyDescent="0.2">
      <c r="A74">
        <f t="shared" si="11"/>
        <v>220000</v>
      </c>
      <c r="B74">
        <f t="shared" si="15"/>
        <v>0</v>
      </c>
      <c r="C74">
        <f t="shared" si="16"/>
        <v>0</v>
      </c>
      <c r="D74">
        <f t="shared" si="16"/>
        <v>0</v>
      </c>
      <c r="E74">
        <f t="shared" si="16"/>
        <v>0</v>
      </c>
      <c r="F74">
        <f t="shared" si="17"/>
        <v>0</v>
      </c>
      <c r="G74">
        <f t="shared" si="18"/>
        <v>0</v>
      </c>
      <c r="H74">
        <f t="shared" si="19"/>
        <v>0</v>
      </c>
      <c r="I74">
        <f t="shared" si="20"/>
        <v>0</v>
      </c>
      <c r="J74">
        <f t="shared" si="13"/>
        <v>0</v>
      </c>
    </row>
    <row r="75" spans="1:10" x14ac:dyDescent="0.2">
      <c r="A75">
        <f t="shared" si="11"/>
        <v>270000</v>
      </c>
      <c r="B75">
        <f t="shared" si="15"/>
        <v>0</v>
      </c>
      <c r="C75">
        <f t="shared" si="16"/>
        <v>0</v>
      </c>
      <c r="D75">
        <f t="shared" si="16"/>
        <v>0</v>
      </c>
      <c r="E75">
        <f t="shared" si="16"/>
        <v>0</v>
      </c>
      <c r="F75">
        <f t="shared" si="17"/>
        <v>0</v>
      </c>
      <c r="G75">
        <f t="shared" si="18"/>
        <v>0</v>
      </c>
      <c r="H75">
        <f t="shared" si="19"/>
        <v>0</v>
      </c>
      <c r="I75">
        <f t="shared" si="20"/>
        <v>0</v>
      </c>
      <c r="J75">
        <f t="shared" si="13"/>
        <v>0</v>
      </c>
    </row>
    <row r="76" spans="1:10" x14ac:dyDescent="0.2">
      <c r="A76">
        <f t="shared" si="11"/>
        <v>330000</v>
      </c>
      <c r="B76">
        <f t="shared" si="15"/>
        <v>0</v>
      </c>
      <c r="C76">
        <f t="shared" si="16"/>
        <v>0</v>
      </c>
      <c r="D76">
        <f t="shared" si="16"/>
        <v>0</v>
      </c>
      <c r="E76">
        <f t="shared" si="16"/>
        <v>0</v>
      </c>
      <c r="F76">
        <f t="shared" si="17"/>
        <v>0</v>
      </c>
      <c r="G76">
        <f t="shared" si="18"/>
        <v>0</v>
      </c>
      <c r="H76">
        <f t="shared" si="19"/>
        <v>0</v>
      </c>
      <c r="I76">
        <f t="shared" si="20"/>
        <v>0</v>
      </c>
      <c r="J76">
        <f t="shared" si="13"/>
        <v>0</v>
      </c>
    </row>
    <row r="77" spans="1:10" x14ac:dyDescent="0.2">
      <c r="A77">
        <f t="shared" si="11"/>
        <v>390000</v>
      </c>
      <c r="B77">
        <f t="shared" si="15"/>
        <v>0</v>
      </c>
      <c r="C77">
        <f t="shared" si="16"/>
        <v>0</v>
      </c>
      <c r="D77">
        <f t="shared" si="16"/>
        <v>0</v>
      </c>
      <c r="E77">
        <f t="shared" si="16"/>
        <v>0</v>
      </c>
      <c r="F77">
        <f t="shared" si="17"/>
        <v>0</v>
      </c>
      <c r="G77">
        <f t="shared" si="18"/>
        <v>0</v>
      </c>
      <c r="H77">
        <f t="shared" si="19"/>
        <v>0</v>
      </c>
      <c r="I77">
        <f t="shared" si="20"/>
        <v>0</v>
      </c>
      <c r="J77">
        <f t="shared" si="13"/>
        <v>0</v>
      </c>
    </row>
    <row r="78" spans="1:10" x14ac:dyDescent="0.2">
      <c r="A78">
        <f t="shared" si="11"/>
        <v>470000</v>
      </c>
      <c r="B78">
        <f t="shared" si="15"/>
        <v>0</v>
      </c>
      <c r="C78">
        <f t="shared" si="16"/>
        <v>0</v>
      </c>
      <c r="D78">
        <f t="shared" si="16"/>
        <v>0</v>
      </c>
      <c r="E78">
        <f t="shared" si="16"/>
        <v>0</v>
      </c>
      <c r="F78">
        <f t="shared" si="17"/>
        <v>0</v>
      </c>
      <c r="G78">
        <f t="shared" si="18"/>
        <v>470000</v>
      </c>
      <c r="H78">
        <f t="shared" si="19"/>
        <v>0</v>
      </c>
      <c r="I78">
        <f t="shared" si="20"/>
        <v>0</v>
      </c>
      <c r="J78">
        <f t="shared" si="13"/>
        <v>0</v>
      </c>
    </row>
    <row r="79" spans="1:10" x14ac:dyDescent="0.2">
      <c r="A79">
        <f t="shared" si="11"/>
        <v>560000</v>
      </c>
      <c r="B79">
        <f t="shared" si="15"/>
        <v>0</v>
      </c>
      <c r="C79">
        <f t="shared" si="16"/>
        <v>0</v>
      </c>
      <c r="D79">
        <f t="shared" si="16"/>
        <v>0</v>
      </c>
      <c r="E79">
        <f t="shared" si="16"/>
        <v>0</v>
      </c>
      <c r="F79">
        <f t="shared" si="17"/>
        <v>0</v>
      </c>
      <c r="G79">
        <f t="shared" si="18"/>
        <v>0</v>
      </c>
      <c r="H79">
        <f t="shared" si="19"/>
        <v>0</v>
      </c>
      <c r="I79">
        <f t="shared" si="20"/>
        <v>0</v>
      </c>
      <c r="J79">
        <f t="shared" si="13"/>
        <v>0</v>
      </c>
    </row>
    <row r="80" spans="1:10" x14ac:dyDescent="0.2">
      <c r="A80">
        <f t="shared" si="11"/>
        <v>680000</v>
      </c>
      <c r="B80">
        <f t="shared" si="15"/>
        <v>0</v>
      </c>
      <c r="C80">
        <f t="shared" si="16"/>
        <v>0</v>
      </c>
      <c r="D80">
        <f t="shared" si="16"/>
        <v>0</v>
      </c>
      <c r="E80">
        <f t="shared" si="16"/>
        <v>0</v>
      </c>
      <c r="F80">
        <f t="shared" si="17"/>
        <v>0</v>
      </c>
      <c r="G80">
        <f t="shared" si="18"/>
        <v>0</v>
      </c>
      <c r="H80">
        <f t="shared" si="19"/>
        <v>0</v>
      </c>
      <c r="I80">
        <f t="shared" si="20"/>
        <v>0</v>
      </c>
      <c r="J80">
        <f t="shared" si="13"/>
        <v>0</v>
      </c>
    </row>
    <row r="81" spans="1:10" x14ac:dyDescent="0.2">
      <c r="A81">
        <f t="shared" si="11"/>
        <v>820000</v>
      </c>
      <c r="B81">
        <f t="shared" si="15"/>
        <v>0</v>
      </c>
      <c r="C81">
        <f t="shared" si="16"/>
        <v>0</v>
      </c>
      <c r="D81">
        <f t="shared" si="16"/>
        <v>0</v>
      </c>
      <c r="E81">
        <f t="shared" si="16"/>
        <v>0</v>
      </c>
      <c r="F81">
        <f t="shared" si="17"/>
        <v>0</v>
      </c>
      <c r="G81">
        <f t="shared" si="18"/>
        <v>0</v>
      </c>
      <c r="H81">
        <f t="shared" si="19"/>
        <v>0</v>
      </c>
      <c r="I81">
        <f t="shared" si="20"/>
        <v>0</v>
      </c>
      <c r="J81">
        <f t="shared" si="13"/>
        <v>0</v>
      </c>
    </row>
    <row r="82" spans="1:10" x14ac:dyDescent="0.2">
      <c r="A82">
        <f t="shared" si="11"/>
        <v>1000000</v>
      </c>
      <c r="B82">
        <f t="shared" si="15"/>
        <v>0</v>
      </c>
      <c r="C82">
        <f t="shared" si="16"/>
        <v>0</v>
      </c>
      <c r="D82">
        <f t="shared" si="16"/>
        <v>0</v>
      </c>
      <c r="E82">
        <f t="shared" si="16"/>
        <v>0</v>
      </c>
      <c r="F82">
        <f t="shared" si="17"/>
        <v>0</v>
      </c>
      <c r="G82">
        <f t="shared" si="18"/>
        <v>0</v>
      </c>
      <c r="H82">
        <f t="shared" si="19"/>
        <v>0</v>
      </c>
      <c r="I82">
        <f t="shared" si="20"/>
        <v>0</v>
      </c>
      <c r="J82">
        <f t="shared" si="13"/>
        <v>0</v>
      </c>
    </row>
    <row r="83" spans="1:10" x14ac:dyDescent="0.2">
      <c r="A83">
        <f t="shared" si="11"/>
        <v>1200000</v>
      </c>
      <c r="B83">
        <f t="shared" si="15"/>
        <v>0</v>
      </c>
      <c r="C83">
        <f t="shared" si="16"/>
        <v>0</v>
      </c>
      <c r="D83">
        <f t="shared" si="16"/>
        <v>0</v>
      </c>
      <c r="E83">
        <f t="shared" si="16"/>
        <v>0</v>
      </c>
      <c r="F83">
        <f t="shared" si="17"/>
        <v>0</v>
      </c>
      <c r="G83">
        <f t="shared" si="18"/>
        <v>0</v>
      </c>
      <c r="H83">
        <f t="shared" si="19"/>
        <v>0</v>
      </c>
      <c r="I83">
        <f t="shared" si="20"/>
        <v>0</v>
      </c>
      <c r="J83">
        <f t="shared" si="13"/>
        <v>0</v>
      </c>
    </row>
    <row r="84" spans="1:10" x14ac:dyDescent="0.2">
      <c r="A84">
        <f t="shared" si="11"/>
        <v>1500000</v>
      </c>
      <c r="B84">
        <f t="shared" si="15"/>
        <v>0</v>
      </c>
      <c r="C84">
        <f t="shared" si="16"/>
        <v>0</v>
      </c>
      <c r="D84">
        <f t="shared" si="16"/>
        <v>0</v>
      </c>
      <c r="E84">
        <f t="shared" si="16"/>
        <v>0</v>
      </c>
      <c r="F84">
        <f t="shared" si="17"/>
        <v>0</v>
      </c>
      <c r="G84">
        <f t="shared" si="18"/>
        <v>0</v>
      </c>
      <c r="H84">
        <f t="shared" si="19"/>
        <v>0</v>
      </c>
      <c r="I84">
        <f t="shared" si="20"/>
        <v>0</v>
      </c>
      <c r="J84">
        <f t="shared" si="13"/>
        <v>0</v>
      </c>
    </row>
    <row r="85" spans="1:10" x14ac:dyDescent="0.2">
      <c r="A85">
        <f t="shared" si="11"/>
        <v>1800000</v>
      </c>
      <c r="B85">
        <f t="shared" si="15"/>
        <v>0</v>
      </c>
      <c r="C85">
        <f t="shared" si="16"/>
        <v>0</v>
      </c>
      <c r="D85">
        <f t="shared" si="16"/>
        <v>0</v>
      </c>
      <c r="E85">
        <f t="shared" si="16"/>
        <v>0</v>
      </c>
      <c r="F85">
        <f t="shared" si="17"/>
        <v>0</v>
      </c>
      <c r="G85">
        <f t="shared" si="18"/>
        <v>0</v>
      </c>
      <c r="H85">
        <f t="shared" si="19"/>
        <v>0</v>
      </c>
      <c r="I85">
        <f t="shared" si="20"/>
        <v>0</v>
      </c>
      <c r="J85">
        <f t="shared" si="13"/>
        <v>0</v>
      </c>
    </row>
    <row r="86" spans="1:10" x14ac:dyDescent="0.2">
      <c r="A86">
        <f t="shared" si="11"/>
        <v>2200000</v>
      </c>
      <c r="B86">
        <f t="shared" si="15"/>
        <v>0</v>
      </c>
      <c r="C86">
        <f t="shared" si="16"/>
        <v>0</v>
      </c>
      <c r="D86">
        <f t="shared" si="16"/>
        <v>0</v>
      </c>
      <c r="E86">
        <f t="shared" si="16"/>
        <v>0</v>
      </c>
      <c r="F86">
        <f t="shared" si="17"/>
        <v>0</v>
      </c>
      <c r="G86">
        <f t="shared" si="18"/>
        <v>0</v>
      </c>
      <c r="H86">
        <f t="shared" si="19"/>
        <v>0</v>
      </c>
      <c r="I86">
        <f t="shared" si="20"/>
        <v>0</v>
      </c>
      <c r="J86">
        <f t="shared" si="13"/>
        <v>0</v>
      </c>
    </row>
    <row r="87" spans="1:10" x14ac:dyDescent="0.2">
      <c r="A87">
        <f t="shared" si="11"/>
        <v>2700000</v>
      </c>
      <c r="B87">
        <f t="shared" si="15"/>
        <v>0</v>
      </c>
      <c r="C87">
        <f t="shared" si="16"/>
        <v>0</v>
      </c>
      <c r="D87">
        <f t="shared" si="16"/>
        <v>0</v>
      </c>
      <c r="E87">
        <f t="shared" si="16"/>
        <v>0</v>
      </c>
      <c r="F87">
        <f t="shared" si="17"/>
        <v>0</v>
      </c>
      <c r="G87">
        <f t="shared" si="18"/>
        <v>0</v>
      </c>
      <c r="H87">
        <f t="shared" si="19"/>
        <v>0</v>
      </c>
      <c r="I87">
        <f t="shared" si="20"/>
        <v>0</v>
      </c>
      <c r="J87">
        <f t="shared" si="13"/>
        <v>0</v>
      </c>
    </row>
    <row r="88" spans="1:10" x14ac:dyDescent="0.2">
      <c r="A88">
        <f t="shared" si="11"/>
        <v>3300000</v>
      </c>
      <c r="B88">
        <f t="shared" si="15"/>
        <v>0</v>
      </c>
      <c r="C88">
        <f t="shared" si="16"/>
        <v>0</v>
      </c>
      <c r="D88">
        <f t="shared" si="16"/>
        <v>0</v>
      </c>
      <c r="E88">
        <f t="shared" si="16"/>
        <v>0</v>
      </c>
      <c r="F88">
        <f t="shared" si="17"/>
        <v>0</v>
      </c>
      <c r="G88">
        <f t="shared" si="18"/>
        <v>0</v>
      </c>
      <c r="H88">
        <f t="shared" si="19"/>
        <v>0</v>
      </c>
      <c r="I88">
        <f t="shared" si="20"/>
        <v>0</v>
      </c>
      <c r="J88">
        <f t="shared" si="13"/>
        <v>0</v>
      </c>
    </row>
    <row r="89" spans="1:10" x14ac:dyDescent="0.2">
      <c r="A89">
        <f t="shared" si="11"/>
        <v>3900000</v>
      </c>
      <c r="B89">
        <f t="shared" si="15"/>
        <v>0</v>
      </c>
      <c r="C89">
        <f t="shared" si="16"/>
        <v>0</v>
      </c>
      <c r="D89">
        <f t="shared" si="16"/>
        <v>0</v>
      </c>
      <c r="E89">
        <f t="shared" si="16"/>
        <v>0</v>
      </c>
      <c r="F89">
        <f t="shared" si="17"/>
        <v>0</v>
      </c>
      <c r="G89">
        <f t="shared" si="18"/>
        <v>0</v>
      </c>
      <c r="H89">
        <f t="shared" si="19"/>
        <v>0</v>
      </c>
      <c r="I89">
        <f t="shared" si="20"/>
        <v>0</v>
      </c>
      <c r="J89">
        <f t="shared" si="13"/>
        <v>0</v>
      </c>
    </row>
    <row r="90" spans="1:10" x14ac:dyDescent="0.2">
      <c r="A90">
        <f t="shared" si="11"/>
        <v>4700000</v>
      </c>
      <c r="B90">
        <f t="shared" si="15"/>
        <v>0</v>
      </c>
      <c r="C90">
        <f t="shared" si="16"/>
        <v>0</v>
      </c>
      <c r="D90">
        <f t="shared" si="16"/>
        <v>0</v>
      </c>
      <c r="E90">
        <f t="shared" si="16"/>
        <v>0</v>
      </c>
      <c r="F90">
        <f t="shared" si="17"/>
        <v>0</v>
      </c>
      <c r="G90">
        <f t="shared" si="18"/>
        <v>0</v>
      </c>
      <c r="H90">
        <f t="shared" si="19"/>
        <v>0</v>
      </c>
      <c r="I90">
        <f t="shared" si="20"/>
        <v>0</v>
      </c>
      <c r="J90">
        <f t="shared" si="13"/>
        <v>0</v>
      </c>
    </row>
    <row r="91" spans="1:10" x14ac:dyDescent="0.2">
      <c r="A91">
        <f t="shared" si="11"/>
        <v>5600000</v>
      </c>
      <c r="B91">
        <f t="shared" si="15"/>
        <v>0</v>
      </c>
      <c r="C91">
        <f t="shared" si="16"/>
        <v>0</v>
      </c>
      <c r="D91">
        <f t="shared" si="16"/>
        <v>0</v>
      </c>
      <c r="E91">
        <f t="shared" si="16"/>
        <v>0</v>
      </c>
      <c r="F91">
        <f t="shared" si="17"/>
        <v>0</v>
      </c>
      <c r="G91">
        <f t="shared" si="18"/>
        <v>0</v>
      </c>
      <c r="H91">
        <f t="shared" si="19"/>
        <v>0</v>
      </c>
      <c r="I91">
        <f t="shared" si="20"/>
        <v>0</v>
      </c>
      <c r="J91">
        <f t="shared" si="13"/>
        <v>0</v>
      </c>
    </row>
    <row r="92" spans="1:10" x14ac:dyDescent="0.2">
      <c r="A92">
        <f t="shared" si="11"/>
        <v>6800000</v>
      </c>
      <c r="B92">
        <f t="shared" si="15"/>
        <v>0</v>
      </c>
      <c r="C92">
        <f t="shared" si="16"/>
        <v>0</v>
      </c>
      <c r="D92">
        <f t="shared" si="16"/>
        <v>0</v>
      </c>
      <c r="E92">
        <f t="shared" si="16"/>
        <v>0</v>
      </c>
      <c r="F92">
        <f t="shared" si="17"/>
        <v>0</v>
      </c>
      <c r="G92">
        <f t="shared" si="18"/>
        <v>0</v>
      </c>
      <c r="H92">
        <f t="shared" si="19"/>
        <v>0</v>
      </c>
      <c r="I92">
        <f t="shared" si="20"/>
        <v>0</v>
      </c>
      <c r="J92">
        <f t="shared" si="13"/>
        <v>0</v>
      </c>
    </row>
    <row r="93" spans="1:10" x14ac:dyDescent="0.2">
      <c r="A93">
        <f t="shared" si="11"/>
        <v>8200000</v>
      </c>
      <c r="B93">
        <f t="shared" si="15"/>
        <v>0</v>
      </c>
      <c r="C93">
        <f t="shared" si="16"/>
        <v>0</v>
      </c>
      <c r="D93">
        <f t="shared" si="16"/>
        <v>0</v>
      </c>
      <c r="E93">
        <f t="shared" si="16"/>
        <v>0</v>
      </c>
      <c r="F93">
        <f t="shared" si="17"/>
        <v>0</v>
      </c>
      <c r="G93">
        <f t="shared" si="18"/>
        <v>0</v>
      </c>
      <c r="H93">
        <f t="shared" si="19"/>
        <v>0</v>
      </c>
      <c r="I93">
        <f t="shared" si="20"/>
        <v>0</v>
      </c>
      <c r="J93">
        <f t="shared" si="13"/>
        <v>0</v>
      </c>
    </row>
    <row r="94" spans="1:10" x14ac:dyDescent="0.2">
      <c r="A94">
        <f t="shared" si="11"/>
        <v>10000000</v>
      </c>
      <c r="B94">
        <f t="shared" si="15"/>
        <v>0</v>
      </c>
      <c r="C94">
        <f t="shared" si="16"/>
        <v>0</v>
      </c>
      <c r="D94">
        <f t="shared" si="16"/>
        <v>0</v>
      </c>
      <c r="E94">
        <f t="shared" si="16"/>
        <v>0</v>
      </c>
      <c r="F94">
        <f t="shared" si="17"/>
        <v>0</v>
      </c>
      <c r="G94">
        <f t="shared" si="18"/>
        <v>0</v>
      </c>
      <c r="H94">
        <f t="shared" si="19"/>
        <v>0</v>
      </c>
      <c r="I94">
        <f t="shared" si="20"/>
        <v>0</v>
      </c>
      <c r="J94">
        <f t="shared" si="13"/>
        <v>0</v>
      </c>
    </row>
    <row r="95" spans="1:10" x14ac:dyDescent="0.2">
      <c r="A95">
        <f t="shared" si="11"/>
        <v>12000000</v>
      </c>
      <c r="B95">
        <f t="shared" si="15"/>
        <v>0</v>
      </c>
      <c r="C95">
        <f t="shared" si="16"/>
        <v>0</v>
      </c>
      <c r="D95">
        <f t="shared" si="16"/>
        <v>0</v>
      </c>
      <c r="E95">
        <f t="shared" si="16"/>
        <v>0</v>
      </c>
      <c r="F95">
        <f t="shared" si="17"/>
        <v>0</v>
      </c>
      <c r="G95">
        <f t="shared" si="18"/>
        <v>0</v>
      </c>
      <c r="H95">
        <f t="shared" si="19"/>
        <v>0</v>
      </c>
      <c r="I95">
        <f t="shared" si="20"/>
        <v>0</v>
      </c>
      <c r="J95">
        <f t="shared" si="13"/>
        <v>0</v>
      </c>
    </row>
    <row r="96" spans="1:10" x14ac:dyDescent="0.2">
      <c r="A96">
        <f t="shared" si="11"/>
        <v>15000000</v>
      </c>
      <c r="B96">
        <f t="shared" si="15"/>
        <v>0</v>
      </c>
      <c r="C96">
        <f t="shared" si="16"/>
        <v>0</v>
      </c>
      <c r="D96">
        <f t="shared" si="16"/>
        <v>0</v>
      </c>
      <c r="E96">
        <f t="shared" si="16"/>
        <v>0</v>
      </c>
      <c r="F96">
        <f t="shared" si="17"/>
        <v>0</v>
      </c>
      <c r="G96">
        <f t="shared" si="18"/>
        <v>0</v>
      </c>
      <c r="H96">
        <f t="shared" si="19"/>
        <v>0</v>
      </c>
      <c r="I96">
        <f t="shared" si="20"/>
        <v>0</v>
      </c>
      <c r="J96">
        <f t="shared" si="13"/>
        <v>0</v>
      </c>
    </row>
    <row r="97" spans="1:10" x14ac:dyDescent="0.2">
      <c r="A97">
        <f t="shared" si="11"/>
        <v>18000000</v>
      </c>
      <c r="B97">
        <f t="shared" si="15"/>
        <v>0</v>
      </c>
      <c r="C97">
        <f t="shared" si="16"/>
        <v>0</v>
      </c>
      <c r="D97">
        <f t="shared" si="16"/>
        <v>0</v>
      </c>
      <c r="E97">
        <f t="shared" si="16"/>
        <v>0</v>
      </c>
      <c r="F97">
        <f t="shared" si="17"/>
        <v>0</v>
      </c>
      <c r="G97">
        <f t="shared" si="18"/>
        <v>0</v>
      </c>
      <c r="H97">
        <f t="shared" si="19"/>
        <v>0</v>
      </c>
      <c r="I97">
        <f t="shared" si="20"/>
        <v>0</v>
      </c>
      <c r="J97">
        <f t="shared" si="13"/>
        <v>0</v>
      </c>
    </row>
    <row r="98" spans="1:10" x14ac:dyDescent="0.2">
      <c r="A98">
        <f t="shared" si="11"/>
        <v>22000000</v>
      </c>
      <c r="B98">
        <f t="shared" si="15"/>
        <v>0</v>
      </c>
      <c r="C98">
        <f t="shared" si="16"/>
        <v>0</v>
      </c>
      <c r="D98">
        <f t="shared" si="16"/>
        <v>0</v>
      </c>
      <c r="E98">
        <f t="shared" si="16"/>
        <v>0</v>
      </c>
      <c r="F98">
        <f t="shared" si="17"/>
        <v>0</v>
      </c>
      <c r="G98">
        <f t="shared" si="18"/>
        <v>0</v>
      </c>
      <c r="H98">
        <f t="shared" si="19"/>
        <v>0</v>
      </c>
      <c r="I98">
        <f t="shared" si="20"/>
        <v>0</v>
      </c>
      <c r="J98">
        <f t="shared" si="13"/>
        <v>0</v>
      </c>
    </row>
    <row r="99" spans="1:10" x14ac:dyDescent="0.2">
      <c r="A99">
        <f t="shared" ref="A99:A159" si="21">A87*10</f>
        <v>27000000</v>
      </c>
      <c r="B99">
        <f t="shared" si="15"/>
        <v>0</v>
      </c>
      <c r="C99">
        <f t="shared" si="16"/>
        <v>0</v>
      </c>
      <c r="D99">
        <f t="shared" si="16"/>
        <v>0</v>
      </c>
      <c r="E99">
        <f t="shared" si="16"/>
        <v>0</v>
      </c>
      <c r="F99">
        <f t="shared" si="17"/>
        <v>0</v>
      </c>
      <c r="G99">
        <f t="shared" si="18"/>
        <v>0</v>
      </c>
      <c r="H99">
        <f t="shared" si="19"/>
        <v>0</v>
      </c>
      <c r="I99">
        <f t="shared" si="20"/>
        <v>0</v>
      </c>
      <c r="J99">
        <f t="shared" si="13"/>
        <v>0</v>
      </c>
    </row>
    <row r="100" spans="1:10" x14ac:dyDescent="0.2">
      <c r="A100">
        <f t="shared" si="21"/>
        <v>33000000</v>
      </c>
      <c r="B100">
        <f t="shared" si="15"/>
        <v>0</v>
      </c>
      <c r="C100">
        <f t="shared" si="16"/>
        <v>0</v>
      </c>
      <c r="D100">
        <f t="shared" si="16"/>
        <v>0</v>
      </c>
      <c r="E100">
        <f t="shared" si="16"/>
        <v>0</v>
      </c>
      <c r="F100">
        <f t="shared" si="17"/>
        <v>0</v>
      </c>
      <c r="G100">
        <f t="shared" si="18"/>
        <v>0</v>
      </c>
      <c r="H100">
        <f t="shared" si="19"/>
        <v>0</v>
      </c>
      <c r="I100">
        <f t="shared" si="20"/>
        <v>0</v>
      </c>
      <c r="J100">
        <f t="shared" si="13"/>
        <v>0</v>
      </c>
    </row>
    <row r="101" spans="1:10" x14ac:dyDescent="0.2">
      <c r="A101">
        <f t="shared" si="21"/>
        <v>39000000</v>
      </c>
      <c r="B101">
        <f t="shared" si="15"/>
        <v>0</v>
      </c>
      <c r="C101">
        <f t="shared" si="16"/>
        <v>0</v>
      </c>
      <c r="D101">
        <f t="shared" si="16"/>
        <v>0</v>
      </c>
      <c r="E101">
        <f t="shared" si="16"/>
        <v>0</v>
      </c>
      <c r="F101">
        <f t="shared" si="17"/>
        <v>0</v>
      </c>
      <c r="G101">
        <f t="shared" si="18"/>
        <v>0</v>
      </c>
      <c r="H101">
        <f t="shared" si="19"/>
        <v>0</v>
      </c>
      <c r="I101">
        <f t="shared" si="20"/>
        <v>0</v>
      </c>
      <c r="J101">
        <f t="shared" si="13"/>
        <v>0</v>
      </c>
    </row>
    <row r="102" spans="1:10" x14ac:dyDescent="0.2">
      <c r="A102">
        <f t="shared" si="21"/>
        <v>47000000</v>
      </c>
      <c r="B102">
        <f t="shared" si="15"/>
        <v>0</v>
      </c>
      <c r="C102">
        <f t="shared" si="16"/>
        <v>0</v>
      </c>
      <c r="D102">
        <f t="shared" si="16"/>
        <v>0</v>
      </c>
      <c r="E102">
        <f t="shared" si="16"/>
        <v>0</v>
      </c>
      <c r="F102">
        <f t="shared" si="17"/>
        <v>47000000</v>
      </c>
      <c r="G102">
        <f t="shared" si="18"/>
        <v>0</v>
      </c>
      <c r="H102">
        <f t="shared" si="19"/>
        <v>0</v>
      </c>
      <c r="I102">
        <f t="shared" si="20"/>
        <v>0</v>
      </c>
      <c r="J102">
        <f t="shared" si="13"/>
        <v>0</v>
      </c>
    </row>
    <row r="103" spans="1:10" x14ac:dyDescent="0.2">
      <c r="A103">
        <f t="shared" si="21"/>
        <v>56000000</v>
      </c>
      <c r="B103">
        <f t="shared" si="15"/>
        <v>0</v>
      </c>
      <c r="C103">
        <f t="shared" si="16"/>
        <v>0</v>
      </c>
      <c r="D103">
        <f t="shared" si="16"/>
        <v>0</v>
      </c>
      <c r="E103">
        <f t="shared" si="16"/>
        <v>0</v>
      </c>
      <c r="F103">
        <f t="shared" ref="F103:F134" si="22">IF(IF((F$3*10^12-$A104)*(F$3*10^12-$A103)*-1&lt;0,0,1)*IF(ABS(F$3*10^12-$A104)&gt;(F$3*10^12-$A103),$A103,$A104)=F104,0,IF((F$3*10^12-$A104)*(F$3*10^12-$A103)*-1&lt;0,0,1)*IF(ABS(F$3*10^12-$A104)&gt;(F$3*10^12-$A103),$A103,$A104))</f>
        <v>0</v>
      </c>
      <c r="G103">
        <f t="shared" ref="G103:G134" si="23">IF(IF((G$3*10^12-$A104)*(G$3*10^12-$A103)*-1&lt;0,0,1)*IF(ABS(G$3*10^12-$A104)&gt;(G$3*10^12-$A103),$A103,$A104)=G104,0,IF((G$3*10^12-$A104)*(G$3*10^12-$A103)*-1&lt;0,0,1)*IF(ABS(G$3*10^12-$A104)&gt;(G$3*10^12-$A103),$A103,$A104))</f>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si="13"/>
        <v>0</v>
      </c>
    </row>
    <row r="104" spans="1:10" x14ac:dyDescent="0.2">
      <c r="A104">
        <f t="shared" si="21"/>
        <v>68000000</v>
      </c>
      <c r="B104">
        <f t="shared" si="15"/>
        <v>0</v>
      </c>
      <c r="C104">
        <f t="shared" si="16"/>
        <v>0</v>
      </c>
      <c r="D104">
        <f t="shared" si="16"/>
        <v>0</v>
      </c>
      <c r="E104">
        <f t="shared" si="16"/>
        <v>0</v>
      </c>
      <c r="F104">
        <f t="shared" si="22"/>
        <v>0</v>
      </c>
      <c r="G104">
        <f t="shared" si="23"/>
        <v>0</v>
      </c>
      <c r="H104">
        <f t="shared" si="24"/>
        <v>0</v>
      </c>
      <c r="I104">
        <f t="shared" si="25"/>
        <v>0</v>
      </c>
      <c r="J104">
        <f t="shared" si="13"/>
        <v>0</v>
      </c>
    </row>
    <row r="105" spans="1:10" x14ac:dyDescent="0.2">
      <c r="A105">
        <f t="shared" si="21"/>
        <v>82000000</v>
      </c>
      <c r="B105">
        <f t="shared" si="15"/>
        <v>0</v>
      </c>
      <c r="C105">
        <f t="shared" si="16"/>
        <v>0</v>
      </c>
      <c r="D105">
        <f t="shared" si="16"/>
        <v>0</v>
      </c>
      <c r="E105">
        <f t="shared" si="16"/>
        <v>0</v>
      </c>
      <c r="F105">
        <f t="shared" si="22"/>
        <v>0</v>
      </c>
      <c r="G105">
        <f t="shared" si="23"/>
        <v>0</v>
      </c>
      <c r="H105">
        <f t="shared" si="24"/>
        <v>0</v>
      </c>
      <c r="I105">
        <f t="shared" si="25"/>
        <v>0</v>
      </c>
      <c r="J105">
        <f t="shared" si="13"/>
        <v>0</v>
      </c>
    </row>
    <row r="106" spans="1:10" x14ac:dyDescent="0.2">
      <c r="A106">
        <f t="shared" si="21"/>
        <v>100000000</v>
      </c>
      <c r="B106">
        <f t="shared" si="15"/>
        <v>0</v>
      </c>
      <c r="C106">
        <f t="shared" si="16"/>
        <v>0</v>
      </c>
      <c r="D106">
        <f t="shared" si="16"/>
        <v>0</v>
      </c>
      <c r="E106">
        <f t="shared" si="16"/>
        <v>0</v>
      </c>
      <c r="F106">
        <f t="shared" si="22"/>
        <v>0</v>
      </c>
      <c r="G106">
        <f t="shared" si="23"/>
        <v>0</v>
      </c>
      <c r="H106">
        <f t="shared" si="24"/>
        <v>0</v>
      </c>
      <c r="I106">
        <f t="shared" si="25"/>
        <v>0</v>
      </c>
      <c r="J106">
        <f t="shared" si="13"/>
        <v>0</v>
      </c>
    </row>
    <row r="107" spans="1:10" x14ac:dyDescent="0.2">
      <c r="A107">
        <f t="shared" si="21"/>
        <v>120000000</v>
      </c>
      <c r="B107">
        <f t="shared" si="15"/>
        <v>0</v>
      </c>
      <c r="C107">
        <f t="shared" si="16"/>
        <v>0</v>
      </c>
      <c r="D107">
        <f t="shared" si="16"/>
        <v>0</v>
      </c>
      <c r="E107">
        <f t="shared" si="16"/>
        <v>0</v>
      </c>
      <c r="F107">
        <f t="shared" si="22"/>
        <v>0</v>
      </c>
      <c r="G107">
        <f t="shared" si="23"/>
        <v>0</v>
      </c>
      <c r="H107">
        <f t="shared" si="24"/>
        <v>0</v>
      </c>
      <c r="I107">
        <f t="shared" si="25"/>
        <v>0</v>
      </c>
      <c r="J107">
        <f t="shared" si="13"/>
        <v>0</v>
      </c>
    </row>
    <row r="108" spans="1:10" x14ac:dyDescent="0.2">
      <c r="A108">
        <f t="shared" si="21"/>
        <v>150000000</v>
      </c>
      <c r="B108">
        <f t="shared" si="15"/>
        <v>0</v>
      </c>
      <c r="C108">
        <f t="shared" si="16"/>
        <v>0</v>
      </c>
      <c r="D108">
        <f t="shared" si="16"/>
        <v>0</v>
      </c>
      <c r="E108">
        <f t="shared" si="16"/>
        <v>0</v>
      </c>
      <c r="F108">
        <f t="shared" si="22"/>
        <v>0</v>
      </c>
      <c r="G108">
        <f t="shared" si="23"/>
        <v>0</v>
      </c>
      <c r="H108">
        <f t="shared" si="24"/>
        <v>0</v>
      </c>
      <c r="I108">
        <f t="shared" si="25"/>
        <v>0</v>
      </c>
      <c r="J108">
        <f t="shared" si="13"/>
        <v>0</v>
      </c>
    </row>
    <row r="109" spans="1:10" x14ac:dyDescent="0.2">
      <c r="A109">
        <f t="shared" si="21"/>
        <v>180000000</v>
      </c>
      <c r="B109">
        <f t="shared" si="15"/>
        <v>0</v>
      </c>
      <c r="C109">
        <f t="shared" si="16"/>
        <v>0</v>
      </c>
      <c r="D109">
        <f t="shared" si="16"/>
        <v>0</v>
      </c>
      <c r="E109">
        <f t="shared" si="16"/>
        <v>220000000</v>
      </c>
      <c r="F109">
        <f t="shared" si="22"/>
        <v>0</v>
      </c>
      <c r="G109">
        <f t="shared" si="23"/>
        <v>0</v>
      </c>
      <c r="H109">
        <f t="shared" si="24"/>
        <v>0</v>
      </c>
      <c r="I109">
        <f t="shared" si="25"/>
        <v>0</v>
      </c>
      <c r="J109">
        <f t="shared" si="13"/>
        <v>0</v>
      </c>
    </row>
    <row r="110" spans="1:10" x14ac:dyDescent="0.2">
      <c r="A110">
        <f t="shared" si="21"/>
        <v>220000000</v>
      </c>
      <c r="B110">
        <f t="shared" si="15"/>
        <v>0</v>
      </c>
      <c r="C110">
        <f t="shared" si="16"/>
        <v>0</v>
      </c>
      <c r="D110">
        <f t="shared" si="16"/>
        <v>0</v>
      </c>
      <c r="E110">
        <f t="shared" si="16"/>
        <v>0</v>
      </c>
      <c r="F110">
        <f t="shared" si="22"/>
        <v>0</v>
      </c>
      <c r="G110">
        <f t="shared" si="23"/>
        <v>0</v>
      </c>
      <c r="H110">
        <f t="shared" si="24"/>
        <v>0</v>
      </c>
      <c r="I110">
        <f t="shared" si="25"/>
        <v>0</v>
      </c>
      <c r="J110">
        <f t="shared" si="13"/>
        <v>0</v>
      </c>
    </row>
    <row r="111" spans="1:10" x14ac:dyDescent="0.2">
      <c r="A111">
        <f t="shared" si="21"/>
        <v>270000000</v>
      </c>
      <c r="B111">
        <f t="shared" si="15"/>
        <v>0</v>
      </c>
      <c r="C111">
        <f t="shared" si="16"/>
        <v>0</v>
      </c>
      <c r="D111">
        <f t="shared" si="16"/>
        <v>0</v>
      </c>
      <c r="E111">
        <f t="shared" si="16"/>
        <v>0</v>
      </c>
      <c r="F111">
        <f t="shared" si="22"/>
        <v>0</v>
      </c>
      <c r="G111">
        <f t="shared" si="23"/>
        <v>0</v>
      </c>
      <c r="H111">
        <f t="shared" si="24"/>
        <v>0</v>
      </c>
      <c r="I111">
        <f t="shared" si="25"/>
        <v>0</v>
      </c>
      <c r="J111">
        <f t="shared" si="13"/>
        <v>0</v>
      </c>
    </row>
    <row r="112" spans="1:10" x14ac:dyDescent="0.2">
      <c r="A112">
        <f t="shared" si="21"/>
        <v>330000000</v>
      </c>
      <c r="B112">
        <f t="shared" si="15"/>
        <v>0</v>
      </c>
      <c r="C112">
        <f t="shared" si="16"/>
        <v>0</v>
      </c>
      <c r="D112">
        <f t="shared" si="16"/>
        <v>0</v>
      </c>
      <c r="E112">
        <f t="shared" si="16"/>
        <v>0</v>
      </c>
      <c r="F112">
        <f t="shared" si="22"/>
        <v>0</v>
      </c>
      <c r="G112">
        <f t="shared" si="23"/>
        <v>0</v>
      </c>
      <c r="H112">
        <f t="shared" si="24"/>
        <v>0</v>
      </c>
      <c r="I112">
        <f t="shared" si="25"/>
        <v>0</v>
      </c>
      <c r="J112">
        <f t="shared" si="13"/>
        <v>0</v>
      </c>
    </row>
    <row r="113" spans="1:10" x14ac:dyDescent="0.2">
      <c r="A113">
        <f t="shared" si="21"/>
        <v>390000000</v>
      </c>
      <c r="B113">
        <f t="shared" si="15"/>
        <v>0</v>
      </c>
      <c r="C113">
        <f t="shared" si="16"/>
        <v>0</v>
      </c>
      <c r="D113">
        <f t="shared" si="16"/>
        <v>0</v>
      </c>
      <c r="E113">
        <f t="shared" si="16"/>
        <v>0</v>
      </c>
      <c r="F113">
        <f t="shared" si="22"/>
        <v>0</v>
      </c>
      <c r="G113">
        <f t="shared" si="23"/>
        <v>0</v>
      </c>
      <c r="H113">
        <f t="shared" si="24"/>
        <v>0</v>
      </c>
      <c r="I113">
        <f t="shared" si="25"/>
        <v>0</v>
      </c>
      <c r="J113">
        <f t="shared" si="13"/>
        <v>0</v>
      </c>
    </row>
    <row r="114" spans="1:10" x14ac:dyDescent="0.2">
      <c r="A114">
        <f t="shared" si="21"/>
        <v>470000000</v>
      </c>
      <c r="B114">
        <f t="shared" si="15"/>
        <v>0</v>
      </c>
      <c r="C114">
        <f t="shared" si="16"/>
        <v>0</v>
      </c>
      <c r="D114">
        <f t="shared" si="16"/>
        <v>0</v>
      </c>
      <c r="E114">
        <f t="shared" si="16"/>
        <v>0</v>
      </c>
      <c r="F114">
        <f t="shared" si="22"/>
        <v>0</v>
      </c>
      <c r="G114">
        <f t="shared" si="23"/>
        <v>0</v>
      </c>
      <c r="H114">
        <f t="shared" si="24"/>
        <v>0</v>
      </c>
      <c r="I114">
        <f t="shared" si="25"/>
        <v>0</v>
      </c>
      <c r="J114">
        <f t="shared" si="13"/>
        <v>0</v>
      </c>
    </row>
    <row r="115" spans="1:10" x14ac:dyDescent="0.2">
      <c r="A115">
        <f t="shared" si="21"/>
        <v>560000000</v>
      </c>
      <c r="B115">
        <f t="shared" si="15"/>
        <v>0</v>
      </c>
      <c r="C115">
        <f t="shared" si="16"/>
        <v>0</v>
      </c>
      <c r="D115">
        <f t="shared" si="16"/>
        <v>0</v>
      </c>
      <c r="E115">
        <f t="shared" si="16"/>
        <v>0</v>
      </c>
      <c r="F115">
        <f t="shared" si="22"/>
        <v>0</v>
      </c>
      <c r="G115">
        <f t="shared" si="23"/>
        <v>0</v>
      </c>
      <c r="H115">
        <f t="shared" si="24"/>
        <v>0</v>
      </c>
      <c r="I115">
        <f t="shared" si="25"/>
        <v>0</v>
      </c>
      <c r="J115">
        <f t="shared" si="13"/>
        <v>0</v>
      </c>
    </row>
    <row r="116" spans="1:10" x14ac:dyDescent="0.2">
      <c r="A116">
        <f t="shared" si="21"/>
        <v>680000000</v>
      </c>
      <c r="B116">
        <f t="shared" si="15"/>
        <v>0</v>
      </c>
      <c r="C116">
        <f t="shared" si="16"/>
        <v>0</v>
      </c>
      <c r="D116">
        <f t="shared" si="16"/>
        <v>0</v>
      </c>
      <c r="E116">
        <f t="shared" si="16"/>
        <v>0</v>
      </c>
      <c r="F116">
        <f t="shared" si="22"/>
        <v>0</v>
      </c>
      <c r="G116">
        <f t="shared" si="23"/>
        <v>0</v>
      </c>
      <c r="H116">
        <f t="shared" si="24"/>
        <v>0</v>
      </c>
      <c r="I116">
        <f t="shared" si="25"/>
        <v>0</v>
      </c>
      <c r="J116">
        <f t="shared" si="13"/>
        <v>0</v>
      </c>
    </row>
    <row r="117" spans="1:10" x14ac:dyDescent="0.2">
      <c r="A117">
        <f t="shared" si="21"/>
        <v>820000000</v>
      </c>
      <c r="B117">
        <f t="shared" si="15"/>
        <v>0</v>
      </c>
      <c r="C117">
        <f t="shared" si="16"/>
        <v>0</v>
      </c>
      <c r="D117">
        <f t="shared" si="16"/>
        <v>0</v>
      </c>
      <c r="E117">
        <f t="shared" si="16"/>
        <v>0</v>
      </c>
      <c r="F117">
        <f t="shared" si="22"/>
        <v>0</v>
      </c>
      <c r="G117">
        <f t="shared" si="23"/>
        <v>0</v>
      </c>
      <c r="H117">
        <f t="shared" si="24"/>
        <v>0</v>
      </c>
      <c r="I117">
        <f t="shared" si="25"/>
        <v>0</v>
      </c>
      <c r="J117">
        <f t="shared" si="13"/>
        <v>0</v>
      </c>
    </row>
    <row r="118" spans="1:10" x14ac:dyDescent="0.2">
      <c r="A118">
        <f t="shared" si="21"/>
        <v>1000000000</v>
      </c>
      <c r="B118">
        <f t="shared" si="15"/>
        <v>0</v>
      </c>
      <c r="C118">
        <f t="shared" si="16"/>
        <v>0</v>
      </c>
      <c r="D118">
        <f t="shared" si="16"/>
        <v>0</v>
      </c>
      <c r="E118">
        <f t="shared" si="16"/>
        <v>0</v>
      </c>
      <c r="F118">
        <f t="shared" si="22"/>
        <v>0</v>
      </c>
      <c r="G118">
        <f t="shared" si="23"/>
        <v>0</v>
      </c>
      <c r="H118">
        <f t="shared" si="24"/>
        <v>0</v>
      </c>
      <c r="I118">
        <f t="shared" si="25"/>
        <v>0</v>
      </c>
      <c r="J118">
        <f t="shared" si="13"/>
        <v>0</v>
      </c>
    </row>
    <row r="119" spans="1:10" x14ac:dyDescent="0.2">
      <c r="A119">
        <f t="shared" si="21"/>
        <v>1200000000</v>
      </c>
      <c r="B119">
        <f t="shared" si="15"/>
        <v>0</v>
      </c>
      <c r="C119">
        <f t="shared" si="16"/>
        <v>0</v>
      </c>
      <c r="D119">
        <f t="shared" si="16"/>
        <v>0</v>
      </c>
      <c r="E119">
        <f t="shared" si="16"/>
        <v>0</v>
      </c>
      <c r="F119">
        <f t="shared" si="22"/>
        <v>0</v>
      </c>
      <c r="G119">
        <f t="shared" si="23"/>
        <v>0</v>
      </c>
      <c r="H119">
        <f t="shared" si="24"/>
        <v>0</v>
      </c>
      <c r="I119">
        <f t="shared" si="25"/>
        <v>0</v>
      </c>
      <c r="J119">
        <f t="shared" si="13"/>
        <v>0</v>
      </c>
    </row>
    <row r="120" spans="1:10" x14ac:dyDescent="0.2">
      <c r="A120">
        <f t="shared" si="21"/>
        <v>1500000000</v>
      </c>
      <c r="B120">
        <f t="shared" si="15"/>
        <v>0</v>
      </c>
      <c r="C120">
        <f t="shared" si="16"/>
        <v>0</v>
      </c>
      <c r="D120">
        <f t="shared" si="16"/>
        <v>0</v>
      </c>
      <c r="E120">
        <f t="shared" si="16"/>
        <v>0</v>
      </c>
      <c r="F120">
        <f t="shared" si="22"/>
        <v>0</v>
      </c>
      <c r="G120">
        <f t="shared" si="23"/>
        <v>0</v>
      </c>
      <c r="H120">
        <f t="shared" si="24"/>
        <v>0</v>
      </c>
      <c r="I120">
        <f t="shared" si="25"/>
        <v>0</v>
      </c>
      <c r="J120">
        <f t="shared" si="13"/>
        <v>0</v>
      </c>
    </row>
    <row r="121" spans="1:10" x14ac:dyDescent="0.2">
      <c r="A121">
        <f t="shared" si="21"/>
        <v>1800000000</v>
      </c>
      <c r="B121">
        <f t="shared" si="15"/>
        <v>0</v>
      </c>
      <c r="C121">
        <f t="shared" si="16"/>
        <v>0</v>
      </c>
      <c r="D121">
        <f t="shared" si="16"/>
        <v>0</v>
      </c>
      <c r="E121">
        <f t="shared" si="16"/>
        <v>0</v>
      </c>
      <c r="F121">
        <f t="shared" si="22"/>
        <v>0</v>
      </c>
      <c r="G121">
        <f t="shared" si="23"/>
        <v>0</v>
      </c>
      <c r="H121">
        <f t="shared" si="24"/>
        <v>0</v>
      </c>
      <c r="I121">
        <f t="shared" si="25"/>
        <v>0</v>
      </c>
      <c r="J121">
        <f t="shared" si="13"/>
        <v>0</v>
      </c>
    </row>
    <row r="122" spans="1:10" x14ac:dyDescent="0.2">
      <c r="A122">
        <f t="shared" si="21"/>
        <v>2200000000</v>
      </c>
      <c r="B122">
        <f t="shared" si="15"/>
        <v>0</v>
      </c>
      <c r="C122">
        <f t="shared" si="16"/>
        <v>0</v>
      </c>
      <c r="D122">
        <f t="shared" si="16"/>
        <v>0</v>
      </c>
      <c r="E122">
        <f t="shared" si="16"/>
        <v>0</v>
      </c>
      <c r="F122">
        <f t="shared" si="22"/>
        <v>0</v>
      </c>
      <c r="G122">
        <f t="shared" si="23"/>
        <v>0</v>
      </c>
      <c r="H122">
        <f t="shared" si="24"/>
        <v>0</v>
      </c>
      <c r="I122">
        <f t="shared" si="25"/>
        <v>0</v>
      </c>
      <c r="J122">
        <f t="shared" si="13"/>
        <v>0</v>
      </c>
    </row>
    <row r="123" spans="1:10" x14ac:dyDescent="0.2">
      <c r="A123">
        <f t="shared" si="21"/>
        <v>2700000000</v>
      </c>
      <c r="B123">
        <f t="shared" si="15"/>
        <v>0</v>
      </c>
      <c r="C123">
        <f t="shared" si="16"/>
        <v>0</v>
      </c>
      <c r="D123">
        <f t="shared" si="16"/>
        <v>0</v>
      </c>
      <c r="E123">
        <f t="shared" si="16"/>
        <v>0</v>
      </c>
      <c r="F123">
        <f t="shared" si="22"/>
        <v>0</v>
      </c>
      <c r="G123">
        <f t="shared" si="23"/>
        <v>0</v>
      </c>
      <c r="H123">
        <f t="shared" si="24"/>
        <v>0</v>
      </c>
      <c r="I123">
        <f t="shared" si="25"/>
        <v>0</v>
      </c>
      <c r="J123">
        <f t="shared" si="13"/>
        <v>0</v>
      </c>
    </row>
    <row r="124" spans="1:10" x14ac:dyDescent="0.2">
      <c r="A124">
        <f t="shared" si="21"/>
        <v>3300000000</v>
      </c>
      <c r="B124">
        <f t="shared" si="15"/>
        <v>0</v>
      </c>
      <c r="C124">
        <f t="shared" si="16"/>
        <v>0</v>
      </c>
      <c r="D124">
        <f t="shared" si="16"/>
        <v>0</v>
      </c>
      <c r="E124">
        <f t="shared" si="16"/>
        <v>0</v>
      </c>
      <c r="F124">
        <f t="shared" si="22"/>
        <v>0</v>
      </c>
      <c r="G124">
        <f t="shared" si="23"/>
        <v>0</v>
      </c>
      <c r="H124">
        <f t="shared" si="24"/>
        <v>0</v>
      </c>
      <c r="I124">
        <f t="shared" si="25"/>
        <v>0</v>
      </c>
      <c r="J124">
        <f t="shared" si="13"/>
        <v>0</v>
      </c>
    </row>
    <row r="125" spans="1:10" x14ac:dyDescent="0.2">
      <c r="A125">
        <f t="shared" si="21"/>
        <v>3900000000</v>
      </c>
      <c r="B125">
        <f t="shared" si="15"/>
        <v>0</v>
      </c>
      <c r="C125">
        <f t="shared" si="16"/>
        <v>0</v>
      </c>
      <c r="D125">
        <f t="shared" si="16"/>
        <v>0</v>
      </c>
      <c r="E125">
        <f t="shared" si="16"/>
        <v>0</v>
      </c>
      <c r="F125">
        <f t="shared" si="22"/>
        <v>0</v>
      </c>
      <c r="G125">
        <f t="shared" si="23"/>
        <v>0</v>
      </c>
      <c r="H125">
        <f t="shared" si="24"/>
        <v>0</v>
      </c>
      <c r="I125">
        <f t="shared" si="25"/>
        <v>0</v>
      </c>
      <c r="J125">
        <f t="shared" si="13"/>
        <v>0</v>
      </c>
    </row>
    <row r="126" spans="1:10" x14ac:dyDescent="0.2">
      <c r="A126">
        <f t="shared" si="21"/>
        <v>4700000000</v>
      </c>
      <c r="B126">
        <f t="shared" si="15"/>
        <v>0</v>
      </c>
      <c r="C126">
        <f t="shared" si="16"/>
        <v>0</v>
      </c>
      <c r="D126">
        <f t="shared" si="16"/>
        <v>0</v>
      </c>
      <c r="E126">
        <f t="shared" si="16"/>
        <v>0</v>
      </c>
      <c r="F126">
        <f t="shared" si="22"/>
        <v>0</v>
      </c>
      <c r="G126">
        <f t="shared" si="23"/>
        <v>0</v>
      </c>
      <c r="H126">
        <f t="shared" si="24"/>
        <v>0</v>
      </c>
      <c r="I126">
        <f t="shared" si="25"/>
        <v>0</v>
      </c>
      <c r="J126">
        <f t="shared" si="13"/>
        <v>0</v>
      </c>
    </row>
    <row r="127" spans="1:10" x14ac:dyDescent="0.2">
      <c r="A127">
        <f t="shared" si="21"/>
        <v>5600000000</v>
      </c>
      <c r="B127">
        <f t="shared" si="15"/>
        <v>0</v>
      </c>
      <c r="C127">
        <f t="shared" si="16"/>
        <v>0</v>
      </c>
      <c r="D127">
        <f t="shared" si="16"/>
        <v>0</v>
      </c>
      <c r="E127">
        <f t="shared" si="16"/>
        <v>0</v>
      </c>
      <c r="F127">
        <f t="shared" si="22"/>
        <v>0</v>
      </c>
      <c r="G127">
        <f t="shared" si="23"/>
        <v>0</v>
      </c>
      <c r="H127">
        <f t="shared" si="24"/>
        <v>0</v>
      </c>
      <c r="I127">
        <f t="shared" si="25"/>
        <v>0</v>
      </c>
      <c r="J127">
        <f t="shared" si="13"/>
        <v>0</v>
      </c>
    </row>
    <row r="128" spans="1:10" x14ac:dyDescent="0.2">
      <c r="A128">
        <f t="shared" si="21"/>
        <v>6800000000</v>
      </c>
      <c r="B128">
        <f t="shared" si="15"/>
        <v>0</v>
      </c>
      <c r="C128">
        <f t="shared" si="16"/>
        <v>0</v>
      </c>
      <c r="D128">
        <f t="shared" si="16"/>
        <v>0</v>
      </c>
      <c r="E128">
        <f t="shared" si="16"/>
        <v>0</v>
      </c>
      <c r="F128">
        <f t="shared" si="22"/>
        <v>0</v>
      </c>
      <c r="G128">
        <f t="shared" si="23"/>
        <v>0</v>
      </c>
      <c r="H128">
        <f t="shared" si="24"/>
        <v>0</v>
      </c>
      <c r="I128">
        <f t="shared" si="25"/>
        <v>0</v>
      </c>
      <c r="J128">
        <f t="shared" si="13"/>
        <v>0</v>
      </c>
    </row>
    <row r="129" spans="1:10" x14ac:dyDescent="0.2">
      <c r="A129">
        <f t="shared" si="21"/>
        <v>8200000000</v>
      </c>
      <c r="B129">
        <f t="shared" si="15"/>
        <v>0</v>
      </c>
      <c r="C129">
        <f t="shared" si="16"/>
        <v>0</v>
      </c>
      <c r="D129">
        <f t="shared" si="16"/>
        <v>0</v>
      </c>
      <c r="E129">
        <f t="shared" si="16"/>
        <v>0</v>
      </c>
      <c r="F129">
        <f t="shared" si="22"/>
        <v>0</v>
      </c>
      <c r="G129">
        <f t="shared" si="23"/>
        <v>0</v>
      </c>
      <c r="H129">
        <f t="shared" si="24"/>
        <v>0</v>
      </c>
      <c r="I129">
        <f t="shared" si="25"/>
        <v>0</v>
      </c>
      <c r="J129">
        <f t="shared" si="13"/>
        <v>0</v>
      </c>
    </row>
    <row r="130" spans="1:10" x14ac:dyDescent="0.2">
      <c r="A130">
        <f t="shared" si="21"/>
        <v>10000000000</v>
      </c>
      <c r="B130">
        <f t="shared" si="15"/>
        <v>0</v>
      </c>
      <c r="C130">
        <f t="shared" si="16"/>
        <v>0</v>
      </c>
      <c r="D130">
        <f t="shared" si="16"/>
        <v>0</v>
      </c>
      <c r="E130">
        <f t="shared" si="16"/>
        <v>0</v>
      </c>
      <c r="F130">
        <f t="shared" si="22"/>
        <v>0</v>
      </c>
      <c r="G130">
        <f t="shared" si="23"/>
        <v>0</v>
      </c>
      <c r="H130">
        <f t="shared" si="24"/>
        <v>0</v>
      </c>
      <c r="I130">
        <f t="shared" si="25"/>
        <v>0</v>
      </c>
      <c r="J130">
        <f t="shared" si="13"/>
        <v>0</v>
      </c>
    </row>
    <row r="131" spans="1:10" x14ac:dyDescent="0.2">
      <c r="A131">
        <f t="shared" si="21"/>
        <v>12000000000</v>
      </c>
      <c r="B131">
        <f t="shared" si="15"/>
        <v>0</v>
      </c>
      <c r="C131">
        <f t="shared" si="16"/>
        <v>0</v>
      </c>
      <c r="D131">
        <f t="shared" si="16"/>
        <v>0</v>
      </c>
      <c r="E131">
        <f t="shared" si="16"/>
        <v>0</v>
      </c>
      <c r="F131">
        <f t="shared" si="22"/>
        <v>0</v>
      </c>
      <c r="G131">
        <f t="shared" si="23"/>
        <v>0</v>
      </c>
      <c r="H131">
        <f t="shared" si="24"/>
        <v>0</v>
      </c>
      <c r="I131">
        <f t="shared" si="25"/>
        <v>0</v>
      </c>
      <c r="J131">
        <f t="shared" si="13"/>
        <v>0</v>
      </c>
    </row>
    <row r="132" spans="1:10" x14ac:dyDescent="0.2">
      <c r="A132">
        <f t="shared" si="21"/>
        <v>15000000000</v>
      </c>
      <c r="B132">
        <f t="shared" si="15"/>
        <v>0</v>
      </c>
      <c r="C132">
        <f t="shared" si="16"/>
        <v>0</v>
      </c>
      <c r="D132">
        <f t="shared" si="16"/>
        <v>0</v>
      </c>
      <c r="E132">
        <f t="shared" si="16"/>
        <v>0</v>
      </c>
      <c r="F132">
        <f t="shared" si="22"/>
        <v>0</v>
      </c>
      <c r="G132">
        <f t="shared" si="23"/>
        <v>0</v>
      </c>
      <c r="H132">
        <f t="shared" si="24"/>
        <v>0</v>
      </c>
      <c r="I132">
        <f t="shared" si="25"/>
        <v>0</v>
      </c>
      <c r="J132">
        <f t="shared" si="13"/>
        <v>0</v>
      </c>
    </row>
    <row r="133" spans="1:10" x14ac:dyDescent="0.2">
      <c r="A133">
        <f t="shared" si="21"/>
        <v>18000000000</v>
      </c>
      <c r="B133">
        <f t="shared" si="15"/>
        <v>0</v>
      </c>
      <c r="C133">
        <f t="shared" si="16"/>
        <v>0</v>
      </c>
      <c r="D133">
        <f t="shared" si="16"/>
        <v>0</v>
      </c>
      <c r="E133">
        <f t="shared" si="16"/>
        <v>0</v>
      </c>
      <c r="F133">
        <f t="shared" si="22"/>
        <v>0</v>
      </c>
      <c r="G133">
        <f t="shared" si="23"/>
        <v>0</v>
      </c>
      <c r="H133">
        <f t="shared" si="24"/>
        <v>0</v>
      </c>
      <c r="I133">
        <f t="shared" si="25"/>
        <v>0</v>
      </c>
      <c r="J133">
        <f>IF(IF((J$3*10^12-$A134)*(J$3*10^12-$A133)*-1&lt;0,0,1)*IF(ABS(J$3*10^12-$A134)&gt;(J$3*10^12-$A133),$A133,$A134)=J134,0,IF((J$3*10^12-$A134)*(J$3*10^12-$A133)*-1&lt;0,0,1)*IF(ABS(J$3*10^12-$A134)&gt;(J$3*10^12-$A133),$A133,$A134))</f>
        <v>0</v>
      </c>
    </row>
    <row r="134" spans="1:10" x14ac:dyDescent="0.2">
      <c r="A134">
        <f t="shared" si="21"/>
        <v>22000000000</v>
      </c>
      <c r="B134">
        <f t="shared" si="15"/>
        <v>0</v>
      </c>
      <c r="C134">
        <f t="shared" si="16"/>
        <v>0</v>
      </c>
      <c r="D134">
        <f t="shared" si="16"/>
        <v>0</v>
      </c>
      <c r="E134">
        <f t="shared" ref="E134:J159" si="26">IF(IF((E$3*10^12-$A135)*(E$3*10^12-$A134)*-1&lt;0,0,1)*IF(ABS(E$3*10^12-$A135)&gt;(E$3*10^12-$A134),$A134,$A135)=E135,0,IF((E$3*10^12-$A135)*(E$3*10^12-$A134)*-1&lt;0,0,1)*IF(ABS(E$3*10^12-$A135)&gt;(E$3*10^12-$A134),$A134,$A135))</f>
        <v>0</v>
      </c>
      <c r="F134">
        <f t="shared" si="22"/>
        <v>0</v>
      </c>
      <c r="G134">
        <f t="shared" si="23"/>
        <v>0</v>
      </c>
      <c r="H134">
        <f t="shared" si="24"/>
        <v>0</v>
      </c>
      <c r="I134">
        <f t="shared" si="25"/>
        <v>0</v>
      </c>
      <c r="J134">
        <f>IF(IF((J$3*10^12-$A135)*(J$3*10^12-$A134)*-1&lt;0,0,1)*IF(ABS(J$3*10^12-$A135)&gt;(J$3*10^12-$A134),$A134,$A135)=J135,0,IF((J$3*10^12-$A135)*(J$3*10^12-$A134)*-1&lt;0,0,1)*IF(ABS(J$3*10^12-$A135)&gt;(J$3*10^12-$A134),$A134,$A135))</f>
        <v>0</v>
      </c>
    </row>
    <row r="135" spans="1:10" x14ac:dyDescent="0.2">
      <c r="A135">
        <f t="shared" si="21"/>
        <v>27000000000</v>
      </c>
      <c r="B135">
        <f t="shared" ref="B135:B159" si="27">IF(IF((B$3*10^12-$A136)*(B$3*10^12-$A135)*-1&lt;0,0,1)*IF(ABS(B$3*10^12-$A136)&gt;(B$3*10^12-$A135),$A135,$A136)=B136,0,IF((B$3*10^12-$A136)*(B$3*10^12-$A135)*-1&lt;0,0,1)*IF(ABS(B$3*10^12-$A136)&gt;(B$3*10^12-$A135),$A135,$A136))</f>
        <v>0</v>
      </c>
      <c r="C135">
        <f t="shared" ref="C135:D159" si="28">IF(IF((C$3*10^12-$A136)*(C$3*10^12-$A135)*-1&lt;0,0,1)*IF(ABS(C$3*10^12-$A136)&gt;(C$3*10^12-$A135),$A135,$A136)=C136,0,IF((C$3*10^12-$A136)*(C$3*10^12-$A135)*-1&lt;0,0,1)*IF(ABS(C$3*10^12-$A136)&gt;(C$3*10^12-$A135),$A135,$A136))</f>
        <v>0</v>
      </c>
      <c r="D135">
        <f t="shared" si="28"/>
        <v>0</v>
      </c>
      <c r="E135">
        <f t="shared" si="26"/>
        <v>0</v>
      </c>
      <c r="F135">
        <f t="shared" si="26"/>
        <v>0</v>
      </c>
      <c r="G135">
        <f t="shared" si="26"/>
        <v>0</v>
      </c>
      <c r="H135">
        <f t="shared" si="26"/>
        <v>0</v>
      </c>
      <c r="I135">
        <f t="shared" si="26"/>
        <v>0</v>
      </c>
      <c r="J135">
        <f t="shared" si="26"/>
        <v>0</v>
      </c>
    </row>
    <row r="136" spans="1:10" x14ac:dyDescent="0.2">
      <c r="A136">
        <f t="shared" si="21"/>
        <v>33000000000</v>
      </c>
      <c r="B136">
        <f t="shared" si="27"/>
        <v>0</v>
      </c>
      <c r="C136">
        <f t="shared" si="28"/>
        <v>0</v>
      </c>
      <c r="D136">
        <f t="shared" si="28"/>
        <v>0</v>
      </c>
      <c r="E136">
        <f t="shared" si="26"/>
        <v>0</v>
      </c>
      <c r="F136">
        <f t="shared" si="26"/>
        <v>0</v>
      </c>
      <c r="G136">
        <f t="shared" si="26"/>
        <v>0</v>
      </c>
      <c r="H136">
        <f t="shared" si="26"/>
        <v>0</v>
      </c>
      <c r="I136">
        <f t="shared" si="26"/>
        <v>0</v>
      </c>
      <c r="J136">
        <f t="shared" si="26"/>
        <v>0</v>
      </c>
    </row>
    <row r="137" spans="1:10" x14ac:dyDescent="0.2">
      <c r="A137">
        <f t="shared" si="21"/>
        <v>39000000000</v>
      </c>
      <c r="B137">
        <f t="shared" si="27"/>
        <v>0</v>
      </c>
      <c r="C137">
        <f t="shared" si="28"/>
        <v>0</v>
      </c>
      <c r="D137">
        <f t="shared" si="28"/>
        <v>0</v>
      </c>
      <c r="E137">
        <f t="shared" si="26"/>
        <v>0</v>
      </c>
      <c r="F137">
        <f t="shared" si="26"/>
        <v>0</v>
      </c>
      <c r="G137">
        <f t="shared" si="26"/>
        <v>0</v>
      </c>
      <c r="H137">
        <f t="shared" si="26"/>
        <v>0</v>
      </c>
      <c r="I137">
        <f t="shared" si="26"/>
        <v>0</v>
      </c>
      <c r="J137">
        <f t="shared" si="26"/>
        <v>0</v>
      </c>
    </row>
    <row r="138" spans="1:10" x14ac:dyDescent="0.2">
      <c r="A138">
        <f t="shared" si="21"/>
        <v>47000000000</v>
      </c>
      <c r="B138">
        <f t="shared" si="27"/>
        <v>0</v>
      </c>
      <c r="C138">
        <f t="shared" si="28"/>
        <v>0</v>
      </c>
      <c r="D138">
        <f t="shared" si="28"/>
        <v>0</v>
      </c>
      <c r="E138">
        <f t="shared" si="26"/>
        <v>0</v>
      </c>
      <c r="F138">
        <f t="shared" si="26"/>
        <v>0</v>
      </c>
      <c r="G138">
        <f t="shared" si="26"/>
        <v>0</v>
      </c>
      <c r="H138">
        <f t="shared" si="26"/>
        <v>0</v>
      </c>
      <c r="I138">
        <f t="shared" si="26"/>
        <v>0</v>
      </c>
      <c r="J138">
        <f t="shared" si="26"/>
        <v>0</v>
      </c>
    </row>
    <row r="139" spans="1:10" x14ac:dyDescent="0.2">
      <c r="A139">
        <f t="shared" si="21"/>
        <v>56000000000</v>
      </c>
      <c r="B139">
        <f t="shared" si="27"/>
        <v>0</v>
      </c>
      <c r="C139">
        <f t="shared" si="28"/>
        <v>0</v>
      </c>
      <c r="D139">
        <f t="shared" si="28"/>
        <v>0</v>
      </c>
      <c r="E139">
        <f t="shared" si="26"/>
        <v>0</v>
      </c>
      <c r="F139">
        <f t="shared" si="26"/>
        <v>0</v>
      </c>
      <c r="G139">
        <f t="shared" si="26"/>
        <v>0</v>
      </c>
      <c r="H139">
        <f t="shared" si="26"/>
        <v>0</v>
      </c>
      <c r="I139">
        <f t="shared" si="26"/>
        <v>0</v>
      </c>
      <c r="J139">
        <f t="shared" si="26"/>
        <v>0</v>
      </c>
    </row>
    <row r="140" spans="1:10" x14ac:dyDescent="0.2">
      <c r="A140">
        <f t="shared" si="21"/>
        <v>68000000000</v>
      </c>
      <c r="B140">
        <f t="shared" si="27"/>
        <v>0</v>
      </c>
      <c r="C140">
        <f t="shared" si="28"/>
        <v>0</v>
      </c>
      <c r="D140">
        <f t="shared" si="28"/>
        <v>0</v>
      </c>
      <c r="E140">
        <f t="shared" si="26"/>
        <v>0</v>
      </c>
      <c r="F140">
        <f t="shared" si="26"/>
        <v>0</v>
      </c>
      <c r="G140">
        <f t="shared" si="26"/>
        <v>0</v>
      </c>
      <c r="H140">
        <f t="shared" si="26"/>
        <v>0</v>
      </c>
      <c r="I140">
        <f t="shared" si="26"/>
        <v>0</v>
      </c>
      <c r="J140">
        <f t="shared" si="26"/>
        <v>0</v>
      </c>
    </row>
    <row r="141" spans="1:10" x14ac:dyDescent="0.2">
      <c r="A141">
        <f t="shared" si="21"/>
        <v>82000000000</v>
      </c>
      <c r="B141">
        <f t="shared" si="27"/>
        <v>0</v>
      </c>
      <c r="C141">
        <f t="shared" si="28"/>
        <v>0</v>
      </c>
      <c r="D141">
        <f t="shared" si="28"/>
        <v>0</v>
      </c>
      <c r="E141">
        <f t="shared" si="26"/>
        <v>0</v>
      </c>
      <c r="F141">
        <f t="shared" si="26"/>
        <v>0</v>
      </c>
      <c r="G141">
        <f t="shared" si="26"/>
        <v>0</v>
      </c>
      <c r="H141">
        <f t="shared" si="26"/>
        <v>0</v>
      </c>
      <c r="I141">
        <f t="shared" si="26"/>
        <v>0</v>
      </c>
      <c r="J141">
        <f t="shared" si="26"/>
        <v>0</v>
      </c>
    </row>
    <row r="142" spans="1:10" x14ac:dyDescent="0.2">
      <c r="A142">
        <f t="shared" si="21"/>
        <v>100000000000</v>
      </c>
      <c r="B142">
        <f t="shared" si="27"/>
        <v>0</v>
      </c>
      <c r="C142">
        <f t="shared" si="28"/>
        <v>0</v>
      </c>
      <c r="D142">
        <f t="shared" si="28"/>
        <v>0</v>
      </c>
      <c r="E142">
        <f t="shared" si="26"/>
        <v>0</v>
      </c>
      <c r="F142">
        <f t="shared" si="26"/>
        <v>0</v>
      </c>
      <c r="G142">
        <f t="shared" si="26"/>
        <v>0</v>
      </c>
      <c r="H142">
        <f t="shared" si="26"/>
        <v>0</v>
      </c>
      <c r="I142">
        <f t="shared" si="26"/>
        <v>0</v>
      </c>
      <c r="J142">
        <f t="shared" si="26"/>
        <v>0</v>
      </c>
    </row>
    <row r="143" spans="1:10" x14ac:dyDescent="0.2">
      <c r="A143">
        <f t="shared" si="21"/>
        <v>120000000000</v>
      </c>
      <c r="B143">
        <f t="shared" si="27"/>
        <v>0</v>
      </c>
      <c r="C143">
        <f t="shared" si="28"/>
        <v>0</v>
      </c>
      <c r="D143">
        <f t="shared" si="28"/>
        <v>0</v>
      </c>
      <c r="E143">
        <f t="shared" si="26"/>
        <v>0</v>
      </c>
      <c r="F143">
        <f t="shared" si="26"/>
        <v>0</v>
      </c>
      <c r="G143">
        <f t="shared" si="26"/>
        <v>0</v>
      </c>
      <c r="H143">
        <f t="shared" si="26"/>
        <v>0</v>
      </c>
      <c r="I143">
        <f t="shared" si="26"/>
        <v>0</v>
      </c>
      <c r="J143">
        <f t="shared" si="26"/>
        <v>0</v>
      </c>
    </row>
    <row r="144" spans="1:10" x14ac:dyDescent="0.2">
      <c r="A144">
        <f t="shared" si="21"/>
        <v>150000000000</v>
      </c>
      <c r="B144">
        <f t="shared" si="27"/>
        <v>0</v>
      </c>
      <c r="C144">
        <f t="shared" si="28"/>
        <v>0</v>
      </c>
      <c r="D144">
        <f t="shared" si="28"/>
        <v>0</v>
      </c>
      <c r="E144">
        <f t="shared" si="26"/>
        <v>0</v>
      </c>
      <c r="F144">
        <f t="shared" si="26"/>
        <v>0</v>
      </c>
      <c r="G144">
        <f t="shared" si="26"/>
        <v>0</v>
      </c>
      <c r="H144">
        <f t="shared" si="26"/>
        <v>0</v>
      </c>
      <c r="I144">
        <f t="shared" si="26"/>
        <v>0</v>
      </c>
      <c r="J144">
        <f t="shared" si="26"/>
        <v>0</v>
      </c>
    </row>
    <row r="145" spans="1:10" x14ac:dyDescent="0.2">
      <c r="A145">
        <f t="shared" si="21"/>
        <v>180000000000</v>
      </c>
      <c r="B145">
        <f t="shared" si="27"/>
        <v>0</v>
      </c>
      <c r="C145">
        <f t="shared" si="28"/>
        <v>0</v>
      </c>
      <c r="D145">
        <f t="shared" si="28"/>
        <v>0</v>
      </c>
      <c r="E145">
        <f t="shared" si="26"/>
        <v>0</v>
      </c>
      <c r="F145">
        <f t="shared" si="26"/>
        <v>0</v>
      </c>
      <c r="G145">
        <f t="shared" si="26"/>
        <v>0</v>
      </c>
      <c r="H145">
        <f t="shared" si="26"/>
        <v>0</v>
      </c>
      <c r="I145">
        <f t="shared" si="26"/>
        <v>0</v>
      </c>
      <c r="J145">
        <f t="shared" si="26"/>
        <v>0</v>
      </c>
    </row>
    <row r="146" spans="1:10" x14ac:dyDescent="0.2">
      <c r="A146">
        <f t="shared" si="21"/>
        <v>220000000000</v>
      </c>
      <c r="B146">
        <f t="shared" si="27"/>
        <v>0</v>
      </c>
      <c r="C146">
        <f t="shared" si="28"/>
        <v>0</v>
      </c>
      <c r="D146">
        <f t="shared" si="28"/>
        <v>0</v>
      </c>
      <c r="E146">
        <f t="shared" si="26"/>
        <v>0</v>
      </c>
      <c r="F146">
        <f t="shared" si="26"/>
        <v>0</v>
      </c>
      <c r="G146">
        <f t="shared" si="26"/>
        <v>0</v>
      </c>
      <c r="H146">
        <f t="shared" si="26"/>
        <v>0</v>
      </c>
      <c r="I146">
        <f t="shared" si="26"/>
        <v>0</v>
      </c>
      <c r="J146">
        <f t="shared" si="26"/>
        <v>0</v>
      </c>
    </row>
    <row r="147" spans="1:10" x14ac:dyDescent="0.2">
      <c r="A147">
        <f t="shared" si="21"/>
        <v>270000000000</v>
      </c>
      <c r="B147">
        <f t="shared" si="27"/>
        <v>0</v>
      </c>
      <c r="C147">
        <f t="shared" si="28"/>
        <v>0</v>
      </c>
      <c r="D147">
        <f t="shared" si="28"/>
        <v>0</v>
      </c>
      <c r="E147">
        <f t="shared" si="26"/>
        <v>0</v>
      </c>
      <c r="F147">
        <f t="shared" si="26"/>
        <v>0</v>
      </c>
      <c r="G147">
        <f t="shared" si="26"/>
        <v>0</v>
      </c>
      <c r="H147">
        <f t="shared" si="26"/>
        <v>0</v>
      </c>
      <c r="I147">
        <f t="shared" si="26"/>
        <v>0</v>
      </c>
      <c r="J147">
        <f t="shared" si="26"/>
        <v>0</v>
      </c>
    </row>
    <row r="148" spans="1:10" x14ac:dyDescent="0.2">
      <c r="A148">
        <f t="shared" si="21"/>
        <v>330000000000</v>
      </c>
      <c r="B148">
        <f t="shared" si="27"/>
        <v>0</v>
      </c>
      <c r="C148">
        <f t="shared" si="28"/>
        <v>0</v>
      </c>
      <c r="D148">
        <f t="shared" si="28"/>
        <v>0</v>
      </c>
      <c r="E148">
        <f t="shared" si="26"/>
        <v>0</v>
      </c>
      <c r="F148">
        <f t="shared" si="26"/>
        <v>0</v>
      </c>
      <c r="G148">
        <f t="shared" si="26"/>
        <v>0</v>
      </c>
      <c r="H148">
        <f t="shared" si="26"/>
        <v>0</v>
      </c>
      <c r="I148">
        <f t="shared" si="26"/>
        <v>0</v>
      </c>
      <c r="J148">
        <f t="shared" si="26"/>
        <v>0</v>
      </c>
    </row>
    <row r="149" spans="1:10" x14ac:dyDescent="0.2">
      <c r="A149">
        <f t="shared" si="21"/>
        <v>390000000000</v>
      </c>
      <c r="B149">
        <f t="shared" si="27"/>
        <v>0</v>
      </c>
      <c r="C149">
        <f t="shared" si="28"/>
        <v>0</v>
      </c>
      <c r="D149">
        <f t="shared" si="28"/>
        <v>0</v>
      </c>
      <c r="E149">
        <f t="shared" si="26"/>
        <v>0</v>
      </c>
      <c r="F149">
        <f t="shared" si="26"/>
        <v>0</v>
      </c>
      <c r="G149">
        <f t="shared" si="26"/>
        <v>0</v>
      </c>
      <c r="H149">
        <f t="shared" si="26"/>
        <v>0</v>
      </c>
      <c r="I149">
        <f t="shared" si="26"/>
        <v>0</v>
      </c>
      <c r="J149">
        <f t="shared" si="26"/>
        <v>0</v>
      </c>
    </row>
    <row r="150" spans="1:10" x14ac:dyDescent="0.2">
      <c r="A150">
        <f t="shared" si="21"/>
        <v>470000000000</v>
      </c>
      <c r="B150">
        <f t="shared" si="27"/>
        <v>0</v>
      </c>
      <c r="C150">
        <f t="shared" si="28"/>
        <v>0</v>
      </c>
      <c r="D150">
        <f t="shared" si="28"/>
        <v>0</v>
      </c>
      <c r="E150">
        <f t="shared" si="26"/>
        <v>0</v>
      </c>
      <c r="F150">
        <f t="shared" si="26"/>
        <v>0</v>
      </c>
      <c r="G150">
        <f t="shared" si="26"/>
        <v>0</v>
      </c>
      <c r="H150">
        <f t="shared" si="26"/>
        <v>0</v>
      </c>
      <c r="I150">
        <f t="shared" si="26"/>
        <v>0</v>
      </c>
      <c r="J150">
        <f t="shared" si="26"/>
        <v>0</v>
      </c>
    </row>
    <row r="151" spans="1:10" x14ac:dyDescent="0.2">
      <c r="A151">
        <f t="shared" si="21"/>
        <v>560000000000</v>
      </c>
      <c r="B151">
        <f t="shared" si="27"/>
        <v>0</v>
      </c>
      <c r="C151">
        <f t="shared" si="28"/>
        <v>0</v>
      </c>
      <c r="D151">
        <f t="shared" si="28"/>
        <v>0</v>
      </c>
      <c r="E151">
        <f t="shared" si="26"/>
        <v>0</v>
      </c>
      <c r="F151">
        <f t="shared" si="26"/>
        <v>0</v>
      </c>
      <c r="G151">
        <f t="shared" si="26"/>
        <v>0</v>
      </c>
      <c r="H151">
        <f t="shared" si="26"/>
        <v>0</v>
      </c>
      <c r="I151">
        <f t="shared" si="26"/>
        <v>0</v>
      </c>
      <c r="J151">
        <f t="shared" si="26"/>
        <v>0</v>
      </c>
    </row>
    <row r="152" spans="1:10" x14ac:dyDescent="0.2">
      <c r="A152">
        <f t="shared" si="21"/>
        <v>680000000000</v>
      </c>
      <c r="B152">
        <f t="shared" si="27"/>
        <v>0</v>
      </c>
      <c r="C152">
        <f t="shared" si="28"/>
        <v>0</v>
      </c>
      <c r="D152">
        <f t="shared" si="28"/>
        <v>0</v>
      </c>
      <c r="E152">
        <f t="shared" si="26"/>
        <v>0</v>
      </c>
      <c r="F152">
        <f t="shared" si="26"/>
        <v>0</v>
      </c>
      <c r="G152">
        <f t="shared" si="26"/>
        <v>0</v>
      </c>
      <c r="H152">
        <f t="shared" si="26"/>
        <v>0</v>
      </c>
      <c r="I152">
        <f t="shared" si="26"/>
        <v>0</v>
      </c>
      <c r="J152">
        <f t="shared" si="26"/>
        <v>0</v>
      </c>
    </row>
    <row r="153" spans="1:10" x14ac:dyDescent="0.2">
      <c r="A153">
        <f t="shared" si="21"/>
        <v>820000000000</v>
      </c>
      <c r="B153">
        <f t="shared" si="27"/>
        <v>0</v>
      </c>
      <c r="C153">
        <f t="shared" si="28"/>
        <v>0</v>
      </c>
      <c r="D153">
        <f t="shared" si="28"/>
        <v>0</v>
      </c>
      <c r="E153">
        <f t="shared" si="26"/>
        <v>0</v>
      </c>
      <c r="F153">
        <f t="shared" si="26"/>
        <v>0</v>
      </c>
      <c r="G153">
        <f t="shared" si="26"/>
        <v>0</v>
      </c>
      <c r="H153">
        <f t="shared" si="26"/>
        <v>0</v>
      </c>
      <c r="I153">
        <f t="shared" si="26"/>
        <v>0</v>
      </c>
      <c r="J153">
        <f t="shared" si="26"/>
        <v>0</v>
      </c>
    </row>
    <row r="154" spans="1:10" x14ac:dyDescent="0.2">
      <c r="A154">
        <f t="shared" si="21"/>
        <v>1000000000000</v>
      </c>
      <c r="B154">
        <f t="shared" si="27"/>
        <v>0</v>
      </c>
      <c r="C154">
        <f t="shared" si="28"/>
        <v>0</v>
      </c>
      <c r="D154">
        <f t="shared" si="28"/>
        <v>0</v>
      </c>
      <c r="E154">
        <f t="shared" si="26"/>
        <v>0</v>
      </c>
      <c r="F154">
        <f t="shared" si="26"/>
        <v>0</v>
      </c>
      <c r="G154">
        <f t="shared" si="26"/>
        <v>0</v>
      </c>
      <c r="H154">
        <f t="shared" si="26"/>
        <v>0</v>
      </c>
      <c r="I154">
        <f t="shared" si="26"/>
        <v>0</v>
      </c>
      <c r="J154">
        <f t="shared" si="26"/>
        <v>0</v>
      </c>
    </row>
    <row r="155" spans="1:10" x14ac:dyDescent="0.2">
      <c r="A155">
        <f t="shared" si="21"/>
        <v>1200000000000</v>
      </c>
      <c r="B155">
        <f t="shared" si="27"/>
        <v>0</v>
      </c>
      <c r="C155">
        <f t="shared" si="28"/>
        <v>0</v>
      </c>
      <c r="D155">
        <f t="shared" si="28"/>
        <v>0</v>
      </c>
      <c r="E155">
        <f t="shared" si="26"/>
        <v>0</v>
      </c>
      <c r="F155">
        <f t="shared" si="26"/>
        <v>0</v>
      </c>
      <c r="G155">
        <f t="shared" si="26"/>
        <v>0</v>
      </c>
      <c r="H155">
        <f t="shared" si="26"/>
        <v>0</v>
      </c>
      <c r="I155">
        <f t="shared" si="26"/>
        <v>0</v>
      </c>
      <c r="J155">
        <f t="shared" si="26"/>
        <v>0</v>
      </c>
    </row>
    <row r="156" spans="1:10" x14ac:dyDescent="0.2">
      <c r="A156">
        <f t="shared" si="21"/>
        <v>1500000000000</v>
      </c>
      <c r="B156">
        <f t="shared" si="27"/>
        <v>0</v>
      </c>
      <c r="C156">
        <f t="shared" si="28"/>
        <v>0</v>
      </c>
      <c r="D156">
        <f t="shared" si="28"/>
        <v>0</v>
      </c>
      <c r="E156">
        <f t="shared" si="26"/>
        <v>0</v>
      </c>
      <c r="F156">
        <f t="shared" si="26"/>
        <v>0</v>
      </c>
      <c r="G156">
        <f t="shared" si="26"/>
        <v>0</v>
      </c>
      <c r="H156">
        <f t="shared" si="26"/>
        <v>0</v>
      </c>
      <c r="I156">
        <f t="shared" si="26"/>
        <v>0</v>
      </c>
      <c r="J156">
        <f t="shared" si="26"/>
        <v>0</v>
      </c>
    </row>
    <row r="157" spans="1:10" x14ac:dyDescent="0.2">
      <c r="A157">
        <f t="shared" si="21"/>
        <v>1800000000000</v>
      </c>
      <c r="B157">
        <f t="shared" si="27"/>
        <v>0</v>
      </c>
      <c r="C157">
        <f t="shared" si="28"/>
        <v>0</v>
      </c>
      <c r="D157">
        <f t="shared" si="28"/>
        <v>0</v>
      </c>
      <c r="E157">
        <f t="shared" si="26"/>
        <v>0</v>
      </c>
      <c r="F157">
        <f t="shared" si="26"/>
        <v>0</v>
      </c>
      <c r="G157">
        <f t="shared" si="26"/>
        <v>0</v>
      </c>
      <c r="H157">
        <f t="shared" si="26"/>
        <v>0</v>
      </c>
      <c r="I157">
        <f t="shared" si="26"/>
        <v>0</v>
      </c>
      <c r="J157">
        <f t="shared" si="26"/>
        <v>0</v>
      </c>
    </row>
    <row r="158" spans="1:10" x14ac:dyDescent="0.2">
      <c r="A158">
        <f t="shared" si="21"/>
        <v>2200000000000</v>
      </c>
      <c r="B158">
        <f t="shared" si="27"/>
        <v>0</v>
      </c>
      <c r="C158">
        <f t="shared" si="28"/>
        <v>0</v>
      </c>
      <c r="D158">
        <f t="shared" si="28"/>
        <v>0</v>
      </c>
      <c r="E158">
        <f t="shared" si="26"/>
        <v>0</v>
      </c>
      <c r="F158">
        <f t="shared" si="26"/>
        <v>0</v>
      </c>
      <c r="G158">
        <f t="shared" si="26"/>
        <v>0</v>
      </c>
      <c r="H158">
        <f t="shared" si="26"/>
        <v>0</v>
      </c>
      <c r="I158">
        <f t="shared" si="26"/>
        <v>0</v>
      </c>
      <c r="J158">
        <f t="shared" si="26"/>
        <v>0</v>
      </c>
    </row>
    <row r="159" spans="1:10" x14ac:dyDescent="0.2">
      <c r="A159" s="43">
        <f t="shared" si="21"/>
        <v>2700000000000</v>
      </c>
      <c r="B159">
        <f t="shared" si="27"/>
        <v>2700000000000</v>
      </c>
      <c r="C159">
        <f t="shared" si="28"/>
        <v>2700000000000</v>
      </c>
      <c r="D159">
        <f t="shared" si="28"/>
        <v>2700000000000</v>
      </c>
      <c r="E159">
        <f t="shared" si="26"/>
        <v>2700000000000</v>
      </c>
      <c r="F159">
        <f t="shared" si="26"/>
        <v>2700000000000</v>
      </c>
      <c r="G159">
        <f t="shared" si="26"/>
        <v>2700000000000</v>
      </c>
      <c r="H159">
        <f t="shared" si="26"/>
        <v>2700000000000</v>
      </c>
      <c r="I159">
        <f t="shared" si="26"/>
        <v>2700000000000</v>
      </c>
      <c r="J159">
        <f t="shared" si="26"/>
        <v>2700000000000</v>
      </c>
    </row>
  </sheetData>
  <phoneticPr fontId="5"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7"/>
  <sheetViews>
    <sheetView workbookViewId="0">
      <selection activeCell="B6" sqref="B6"/>
    </sheetView>
  </sheetViews>
  <sheetFormatPr defaultRowHeight="12.75" x14ac:dyDescent="0.2"/>
  <cols>
    <col min="1" max="1" width="18.5703125" customWidth="1"/>
    <col min="2" max="2" width="9.28515625" customWidth="1"/>
    <col min="4" max="4" width="11.140625" customWidth="1"/>
  </cols>
  <sheetData>
    <row r="1" spans="1:5" x14ac:dyDescent="0.2">
      <c r="C1" t="s">
        <v>183</v>
      </c>
      <c r="D1" t="s">
        <v>182</v>
      </c>
    </row>
    <row r="2" spans="1:5" x14ac:dyDescent="0.2">
      <c r="A2" t="s">
        <v>180</v>
      </c>
      <c r="B2" s="47">
        <v>85</v>
      </c>
      <c r="C2" t="s">
        <v>181</v>
      </c>
      <c r="D2">
        <f>B2*1000000</f>
        <v>85000000</v>
      </c>
      <c r="E2" t="s">
        <v>9</v>
      </c>
    </row>
    <row r="3" spans="1:5" x14ac:dyDescent="0.2">
      <c r="A3" t="s">
        <v>184</v>
      </c>
      <c r="B3" s="47">
        <v>3000</v>
      </c>
      <c r="C3" t="s">
        <v>30</v>
      </c>
      <c r="D3">
        <f>B3*0.000000000001</f>
        <v>3E-9</v>
      </c>
      <c r="E3" t="s">
        <v>24</v>
      </c>
    </row>
    <row r="4" spans="1:5" x14ac:dyDescent="0.2">
      <c r="A4" t="s">
        <v>186</v>
      </c>
      <c r="B4" s="48">
        <f>1000000000*1/((D2*2*3.14159)^2*D3)</f>
        <v>1.1686430773614742</v>
      </c>
      <c r="C4" t="s">
        <v>187</v>
      </c>
      <c r="D4">
        <f>B4/1000000000</f>
        <v>1.1686430773614743E-9</v>
      </c>
      <c r="E4" t="s">
        <v>19</v>
      </c>
    </row>
    <row r="5" spans="1:5" x14ac:dyDescent="0.2">
      <c r="A5" t="s">
        <v>185</v>
      </c>
      <c r="B5">
        <f>4*B3</f>
        <v>12000</v>
      </c>
      <c r="C5" t="s">
        <v>30</v>
      </c>
      <c r="D5">
        <f>B5*0.000000000001</f>
        <v>1.2E-8</v>
      </c>
      <c r="E5" t="s">
        <v>24</v>
      </c>
    </row>
    <row r="6" spans="1:5" x14ac:dyDescent="0.2">
      <c r="A6" t="s">
        <v>188</v>
      </c>
      <c r="B6" s="4">
        <f>SQRT(D4/D3)</f>
        <v>0.62413755891936573</v>
      </c>
      <c r="C6" s="4" t="s">
        <v>138</v>
      </c>
      <c r="D6" s="4">
        <f>B6</f>
        <v>0.62413755891936573</v>
      </c>
      <c r="E6" t="s">
        <v>138</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E16"/>
  <sheetViews>
    <sheetView workbookViewId="0">
      <selection activeCell="G37" sqref="G37"/>
    </sheetView>
  </sheetViews>
  <sheetFormatPr defaultRowHeight="12.75" x14ac:dyDescent="0.2"/>
  <sheetData>
    <row r="3" spans="1:5" x14ac:dyDescent="0.2">
      <c r="A3" t="s">
        <v>155</v>
      </c>
      <c r="B3" t="e">
        <f>Iripple1</f>
        <v>#NAME?</v>
      </c>
    </row>
    <row r="4" spans="1:5" x14ac:dyDescent="0.2">
      <c r="A4" t="s">
        <v>6</v>
      </c>
      <c r="B4">
        <f>Fsw</f>
        <v>600000</v>
      </c>
    </row>
    <row r="6" spans="1:5" x14ac:dyDescent="0.2">
      <c r="A6" t="s">
        <v>142</v>
      </c>
      <c r="B6" s="41">
        <v>0.5</v>
      </c>
      <c r="C6" t="s">
        <v>63</v>
      </c>
      <c r="D6">
        <f>B6/1000</f>
        <v>5.0000000000000001E-4</v>
      </c>
      <c r="E6" t="s">
        <v>20</v>
      </c>
    </row>
    <row r="7" spans="1:5" x14ac:dyDescent="0.2">
      <c r="A7" t="s">
        <v>153</v>
      </c>
      <c r="B7" s="41">
        <v>20</v>
      </c>
      <c r="C7" t="s">
        <v>23</v>
      </c>
      <c r="D7">
        <f>B7/1000000</f>
        <v>2.0000000000000002E-5</v>
      </c>
      <c r="E7" t="s">
        <v>24</v>
      </c>
    </row>
    <row r="9" spans="1:5" x14ac:dyDescent="0.2">
      <c r="A9" t="s">
        <v>143</v>
      </c>
      <c r="B9" s="41">
        <v>20</v>
      </c>
      <c r="C9" t="s">
        <v>63</v>
      </c>
      <c r="D9">
        <f>B9/1000</f>
        <v>0.02</v>
      </c>
      <c r="E9" t="s">
        <v>20</v>
      </c>
    </row>
    <row r="10" spans="1:5" x14ac:dyDescent="0.2">
      <c r="A10" t="s">
        <v>154</v>
      </c>
      <c r="B10" s="41">
        <v>68</v>
      </c>
      <c r="C10" t="s">
        <v>23</v>
      </c>
      <c r="D10">
        <f>B10/1000000</f>
        <v>6.7999999999999999E-5</v>
      </c>
      <c r="E10" t="s">
        <v>24</v>
      </c>
    </row>
    <row r="12" spans="1:5" x14ac:dyDescent="0.2">
      <c r="A12" t="s">
        <v>157</v>
      </c>
      <c r="B12">
        <f>(D7/(D7+D10))*SQRT((D9*D10*B4)^2+1)/SQRT((((D6+D9)*D7*D10/(D10+D7))*B4)^2+1)</f>
        <v>0.28817610934128135</v>
      </c>
      <c r="C12" t="s">
        <v>156</v>
      </c>
    </row>
    <row r="13" spans="1:5" x14ac:dyDescent="0.2">
      <c r="A13" t="s">
        <v>158</v>
      </c>
      <c r="B13">
        <f>1-B12</f>
        <v>0.71182389065871865</v>
      </c>
      <c r="C13" t="s">
        <v>156</v>
      </c>
    </row>
    <row r="15" spans="1:5" x14ac:dyDescent="0.2">
      <c r="A15" t="s">
        <v>157</v>
      </c>
      <c r="B15" t="e">
        <f>B12*(Iripple1/(2*SQRT(3)))</f>
        <v>#NAME?</v>
      </c>
      <c r="C15" t="s">
        <v>1</v>
      </c>
    </row>
    <row r="16" spans="1:5" x14ac:dyDescent="0.2">
      <c r="A16" t="s">
        <v>158</v>
      </c>
      <c r="B16" t="e">
        <f>B13*(Iripple1/(2*SQRT(3)))</f>
        <v>#NAME?</v>
      </c>
      <c r="C16"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14</vt:i4>
      </vt:variant>
      <vt:variant>
        <vt:lpstr>Pojmenované oblasti</vt:lpstr>
      </vt:variant>
      <vt:variant>
        <vt:i4>286</vt:i4>
      </vt:variant>
    </vt:vector>
  </HeadingPairs>
  <TitlesOfParts>
    <vt:vector size="300" baseType="lpstr">
      <vt:lpstr>Design Regulator</vt:lpstr>
      <vt:lpstr>BOM &amp; Schematic</vt:lpstr>
      <vt:lpstr>EVM</vt:lpstr>
      <vt:lpstr>Variable Management</vt:lpstr>
      <vt:lpstr>Stability Calculations</vt:lpstr>
      <vt:lpstr>Ch2 Stability Calculations</vt:lpstr>
      <vt:lpstr>Bode Plot Management</vt:lpstr>
      <vt:lpstr>Efficiency Calculations</vt:lpstr>
      <vt:lpstr>Ch2 Efficiency Calculations</vt:lpstr>
      <vt:lpstr>Efficiency Plot Management</vt:lpstr>
      <vt:lpstr>Schematic Management</vt:lpstr>
      <vt:lpstr>Standard Value Calculator</vt:lpstr>
      <vt:lpstr>Snubber</vt:lpstr>
      <vt:lpstr>Parallel Output Caps</vt:lpstr>
      <vt:lpstr>_Don1</vt:lpstr>
      <vt:lpstr>_Don2</vt:lpstr>
      <vt:lpstr>Acs</vt:lpstr>
      <vt:lpstr>Acs_Ch2</vt:lpstr>
      <vt:lpstr>'Ch2 Stability Calculations'!Adc</vt:lpstr>
      <vt:lpstr>Adc</vt:lpstr>
      <vt:lpstr>AEA</vt:lpstr>
      <vt:lpstr>Afb</vt:lpstr>
      <vt:lpstr>Afb_Ch2</vt:lpstr>
      <vt:lpstr>Am</vt:lpstr>
      <vt:lpstr>Am_buck</vt:lpstr>
      <vt:lpstr>Am_buck_Ch2</vt:lpstr>
      <vt:lpstr>Am_Ch2</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Cdither</vt:lpstr>
      <vt:lpstr>Cdither_init</vt:lpstr>
      <vt:lpstr>Cin</vt:lpstr>
      <vt:lpstr>CinEsrMax</vt:lpstr>
      <vt:lpstr>Cinmin</vt:lpstr>
      <vt:lpstr>Core_Loss_Ch1</vt:lpstr>
      <vt:lpstr>Coss_Q1</vt:lpstr>
      <vt:lpstr>Coss_Q2</vt:lpstr>
      <vt:lpstr>Coss_Q3</vt:lpstr>
      <vt:lpstr>Coss_Q4</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Fz1_u</vt:lpstr>
      <vt:lpstr>Fz1_u_Ch2</vt:lpstr>
      <vt:lpstr>GBW</vt:lpstr>
      <vt:lpstr>Gfs_Q1</vt:lpstr>
      <vt:lpstr>Gfs_Q2</vt:lpstr>
      <vt:lpstr>Gfs_Q3</vt:lpstr>
      <vt:lpstr>Gfs_Q4</vt:lpstr>
      <vt:lpstr>gm</vt:lpstr>
      <vt:lpstr>Ch1_VOUT</vt:lpstr>
      <vt:lpstr>Ch2_VOUT</vt:lpstr>
      <vt:lpstr>Icoutrms</vt:lpstr>
      <vt:lpstr>Iin_Vinmax</vt:lpstr>
      <vt:lpstr>Iin_Vinmin</vt:lpstr>
      <vt:lpstr>Iin_Vinnom</vt:lpstr>
      <vt:lpstr>Ilimit_DC</vt:lpstr>
      <vt:lpstr>Ilimit2_DC</vt:lpstr>
      <vt:lpstr>Iout</vt:lpstr>
      <vt:lpstr>Iout_OCP_Vinmax</vt:lpstr>
      <vt:lpstr>Iout_OCP_Vinmin</vt:lpstr>
      <vt:lpstr>Iout_OCP_Vinnom</vt:lpstr>
      <vt:lpstr>Iout2</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Lf</vt:lpstr>
      <vt:lpstr>Lo_2</vt:lpstr>
      <vt:lpstr>Lopt</vt:lpstr>
      <vt:lpstr>Lopt2</vt:lpstr>
      <vt:lpstr>Ltc</vt:lpstr>
      <vt:lpstr>mc</vt:lpstr>
      <vt:lpstr>mc_buck</vt:lpstr>
      <vt:lpstr>mc_buck_Ch2</vt:lpstr>
      <vt:lpstr>mc_Ch2</vt:lpstr>
      <vt:lpstr>MODE</vt:lpstr>
      <vt:lpstr>Number_of_Phases</vt:lpstr>
      <vt:lpstr>'BOM &amp; Schematic'!Oblast_tisku</vt:lpstr>
      <vt:lpstr>'Design Regulator'!Oblast_tisku</vt:lpstr>
      <vt:lpstr>Pi</vt:lpstr>
      <vt:lpstr>Pin</vt:lpstr>
      <vt:lpstr>PLOT_TYPE</vt:lpstr>
      <vt:lpstr>'Ch2 Stability Calculations'!pole1</vt:lpstr>
      <vt:lpstr>pole1</vt:lpstr>
      <vt:lpstr>'Ch2 Stability Calculations'!Pole2</vt:lpstr>
      <vt:lpstr>Pole2</vt:lpstr>
      <vt:lpstr>'Ch2 Stability Calculations'!pole3</vt:lpstr>
      <vt:lpstr>pole3</vt:lpstr>
      <vt:lpstr>'Ch2 Stability Calculations'!pole4</vt:lpstr>
      <vt:lpstr>pole4</vt:lpstr>
      <vt:lpstr>Pout</vt:lpstr>
      <vt:lpstr>'Ch2 Stability Calculations'!pterm1</vt:lpstr>
      <vt:lpstr>pterm1</vt:lpstr>
      <vt:lpstr>'Ch2 Stability Calculations'!pterm2</vt:lpstr>
      <vt:lpstr>pterm2</vt:lpstr>
      <vt:lpstr>Q</vt:lpstr>
      <vt:lpstr>Q_Ch2</vt:lpstr>
      <vt:lpstr>Qg_Q1</vt:lpstr>
      <vt:lpstr>Qg_Q2</vt:lpstr>
      <vt:lpstr>Qg_Q3</vt:lpstr>
      <vt:lpstr>Qg_Q4</vt:lpstr>
      <vt:lpstr>Qgd_Q1</vt:lpstr>
      <vt:lpstr>Qgd_Q2</vt:lpstr>
      <vt:lpstr>Qgd_Q3</vt:lpstr>
      <vt:lpstr>Qgd_Q4</vt:lpstr>
      <vt:lpstr>Qgs_Q1</vt:lpstr>
      <vt:lpstr>Qgs_Q2</vt:lpstr>
      <vt:lpstr>Qgs_Q3</vt:lpstr>
      <vt:lpstr>Qgs_Q4</vt:lpstr>
      <vt:lpstr>Qoss_Q1</vt:lpstr>
      <vt:lpstr>Qoss_Q2</vt:lpstr>
      <vt:lpstr>Qoss_Q3</vt:lpstr>
      <vt:lpstr>Qoss_Q4</vt:lpstr>
      <vt:lpstr>Qrr_Q2</vt:lpstr>
      <vt:lpstr>Qrr_Q4</vt:lpstr>
      <vt:lpstr>QrrSky_Q2</vt:lpstr>
      <vt:lpstr>QrrSky_Q4</vt:lpstr>
      <vt:lpstr>'Ch2 Stability Calculations'!radconv</vt:lpstr>
      <vt:lpstr>radconv</vt:lpstr>
      <vt:lpstr>Rcea1</vt:lpstr>
      <vt:lpstr>Rcea1_u</vt:lpstr>
      <vt:lpstr>Rcea2</vt:lpstr>
      <vt:lpstr>Rcea2_u</vt:lpstr>
      <vt:lpstr>RCinEsr</vt:lpstr>
      <vt:lpstr>RCoutEsr</vt:lpstr>
      <vt:lpstr>Rdcr</vt:lpstr>
      <vt:lpstr>Rdcr2</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Rgate1</vt:lpstr>
      <vt:lpstr>Rgate2</vt:lpstr>
      <vt:lpstr>Rgate3</vt:lpstr>
      <vt:lpstr>Rgate4</vt:lpstr>
      <vt:lpstr>Ri</vt:lpstr>
      <vt:lpstr>Ri_Ch2</vt:lpstr>
      <vt:lpstr>Ro</vt:lpstr>
      <vt:lpstr>Ro_Ch2</vt:lpstr>
      <vt:lpstr>RoEA</vt:lpstr>
      <vt:lpstr>Rout</vt:lpstr>
      <vt:lpstr>Rout2</vt:lpstr>
      <vt:lpstr>Rpg</vt:lpstr>
      <vt:lpstr>Rs</vt:lpstr>
      <vt:lpstr>Rs_Ch2</vt:lpstr>
      <vt:lpstr>Rs_ideal</vt:lpstr>
      <vt:lpstr>Rs2_ideal</vt:lpstr>
      <vt:lpstr>Se_ext</vt:lpstr>
      <vt:lpstr>Se_ext_Ch2</vt:lpstr>
      <vt:lpstr>SENSING_TYPE</vt:lpstr>
      <vt:lpstr>Sf</vt:lpstr>
      <vt:lpstr>Sf_Ch2</vt:lpstr>
      <vt:lpstr>SCH_DUAL</vt:lpstr>
      <vt:lpstr>SCH_MODE</vt:lpstr>
      <vt:lpstr>SCH_MULTIPHASE</vt:lpstr>
      <vt:lpstr>SCH_SINGLE</vt:lpstr>
      <vt:lpstr>SINGLE_OUTPUT</vt:lpstr>
      <vt:lpstr>Sn</vt:lpstr>
      <vt:lpstr>Sn_Ch2</vt:lpstr>
      <vt:lpstr>Ta</vt:lpstr>
      <vt:lpstr>Tf_buck</vt:lpstr>
      <vt:lpstr>Tf_Ch2</vt:lpstr>
      <vt:lpstr>ThetaCa</vt:lpstr>
      <vt:lpstr>ThetaJA_Q1</vt:lpstr>
      <vt:lpstr>ThetaJA_Q2</vt:lpstr>
      <vt:lpstr>ThetaJA_Q3</vt:lpstr>
      <vt:lpstr>ThetaJA_Q4</vt:lpstr>
      <vt:lpstr>ThetaJaCtrl</vt:lpstr>
      <vt:lpstr>TL</vt:lpstr>
      <vt:lpstr>Tr_buck</vt:lpstr>
      <vt:lpstr>Tr_Ch2</vt:lpstr>
      <vt:lpstr>Tres</vt:lpstr>
      <vt:lpstr>Trr_Q1</vt:lpstr>
      <vt:lpstr>Trr_Q2</vt:lpstr>
      <vt:lpstr>Trr_Q3</vt:lpstr>
      <vt:lpstr>Trr_Q4</vt:lpstr>
      <vt:lpstr>Ts</vt:lpstr>
      <vt:lpstr>Tss</vt:lpstr>
      <vt:lpstr>VARIANT</vt:lpstr>
      <vt:lpstr>VCC</vt:lpstr>
      <vt:lpstr>VfdSky_Q2</vt:lpstr>
      <vt:lpstr>VfdSky_Q4</vt:lpstr>
      <vt:lpstr>Vin</vt:lpstr>
      <vt:lpstr>VIN_max</vt:lpstr>
      <vt:lpstr>VIN_MAX_RATING</vt:lpstr>
      <vt:lpstr>VIN_min</vt:lpstr>
      <vt:lpstr>VIN_nom</vt:lpstr>
      <vt:lpstr>Vinripple1</vt:lpstr>
      <vt:lpstr>Vo1_ripple</vt:lpstr>
      <vt:lpstr>Vo2_ripple</vt:lpstr>
      <vt:lpstr>Vout</vt:lpstr>
      <vt:lpstr>VOUT_MAX_RATING</vt:lpstr>
      <vt:lpstr>Vout2</vt:lpstr>
      <vt:lpstr>Vref</vt:lpstr>
      <vt:lpstr>Vsd_Q1</vt:lpstr>
      <vt:lpstr>Vsd_Q2</vt:lpstr>
      <vt:lpstr>Vsd_Q3</vt:lpstr>
      <vt:lpstr>Vsd_Q4</vt:lpstr>
      <vt:lpstr>Vsp_Q1</vt:lpstr>
      <vt:lpstr>Vsp_Q2</vt:lpstr>
      <vt:lpstr>Vsp_Q3</vt:lpstr>
      <vt:lpstr>Vsp_Q4</vt:lpstr>
      <vt:lpstr>Vth_Q1</vt:lpstr>
      <vt:lpstr>Vth_Q2</vt:lpstr>
      <vt:lpstr>Vth_Q3</vt:lpstr>
      <vt:lpstr>Vth_Q4</vt:lpstr>
      <vt:lpstr>'Ch2 Stability Calculations'!z_RHP</vt:lpstr>
      <vt:lpstr>z_RHP</vt:lpstr>
      <vt:lpstr>'Ch2 Stability Calculations'!Zero1</vt:lpstr>
      <vt:lpstr>Zero1</vt:lpstr>
      <vt:lpstr>'Ch2 Stability Calculations'!Zero2</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LM5143-Q1 Quickstart Tool</dc:title>
  <dc:creator>Timothy Hegarty</dc:creator>
  <cp:keywords>LM5143-Q1, PWM controller, current mode, PCB layout</cp:keywords>
  <cp:lastModifiedBy>Haisman David (256476)</cp:lastModifiedBy>
  <cp:lastPrinted>2018-10-08T16:56:44Z</cp:lastPrinted>
  <dcterms:created xsi:type="dcterms:W3CDTF">1996-10-14T23:33:28Z</dcterms:created>
  <dcterms:modified xsi:type="dcterms:W3CDTF">2025-11-14T08:36:25Z</dcterms:modified>
</cp:coreProperties>
</file>