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16CFDA2-2281-4335-B008-A46EF6F5A34D}" xr6:coauthVersionLast="47" xr6:coauthVersionMax="47" xr10:uidLastSave="{00000000-0000-0000-0000-000000000000}"/>
  <bookViews>
    <workbookView xWindow="-120" yWindow="-120" windowWidth="20730" windowHeight="11160" activeTab="1" xr2:uid="{A146E476-A29A-4220-9CF8-8F6A8D86803B}"/>
  </bookViews>
  <sheets>
    <sheet name="Profitability Matrix" sheetId="3" r:id="rId1"/>
    <sheet name="Internal Sales Data" sheetId="2" r:id="rId2"/>
    <sheet name="50ml Shampoo 2024" sheetId="4" r:id="rId3"/>
    <sheet name="Sheet1" sheetId="1" state="hidden" r:id="rId4"/>
  </sheets>
  <definedNames>
    <definedName name="ExternalData_1" localSheetId="2" hidden="1">'50ml Shampoo 2024'!$A$1:$I$12</definedName>
    <definedName name="ExternalData_1" localSheetId="1" hidden="1">'Internal Sales Data'!$A$1:$I$11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4" l="1"/>
  <c r="L2" i="4"/>
  <c r="K2" i="4"/>
  <c r="K3" i="4"/>
  <c r="K4" i="4"/>
  <c r="K5" i="4"/>
  <c r="K6" i="4"/>
  <c r="K7" i="4"/>
  <c r="K8" i="4"/>
  <c r="K9" i="4"/>
  <c r="K10" i="4"/>
  <c r="K11" i="4"/>
  <c r="K12" i="4"/>
  <c r="J2" i="4"/>
  <c r="J3" i="4"/>
  <c r="J4" i="4"/>
  <c r="J5" i="4"/>
  <c r="J6" i="4"/>
  <c r="J7" i="4"/>
  <c r="J8" i="4"/>
  <c r="J9" i="4"/>
  <c r="J10" i="4"/>
  <c r="J11" i="4"/>
  <c r="J12" i="4"/>
  <c r="L2" i="2"/>
  <c r="K2" i="2"/>
  <c r="K3" i="2"/>
  <c r="K4" i="2"/>
  <c r="K5" i="2"/>
  <c r="K6" i="2"/>
  <c r="K7" i="2"/>
  <c r="K8" i="2"/>
  <c r="K9" i="2"/>
  <c r="K10" i="2"/>
  <c r="K11" i="2"/>
  <c r="J2" i="2"/>
  <c r="J3" i="2"/>
  <c r="J4" i="2"/>
  <c r="J5" i="2"/>
  <c r="J6" i="2"/>
  <c r="J7" i="2"/>
  <c r="J8" i="2"/>
  <c r="J9" i="2"/>
  <c r="J10" i="2"/>
  <c r="J11" i="2"/>
  <c r="I2" i="2"/>
  <c r="I13" i="4"/>
  <c r="L11" i="4"/>
  <c r="L12" i="4"/>
  <c r="I11" i="4"/>
  <c r="I12" i="4"/>
  <c r="M2" i="4"/>
  <c r="E12" i="4" s="1"/>
  <c r="M3" i="4"/>
  <c r="M4" i="4"/>
  <c r="M5" i="4"/>
  <c r="M6" i="4"/>
  <c r="M7" i="4"/>
  <c r="M8" i="4"/>
  <c r="M9" i="4"/>
  <c r="M10" i="4"/>
  <c r="M11" i="4"/>
  <c r="L10" i="4"/>
  <c r="I10" i="4"/>
  <c r="L9" i="4"/>
  <c r="I9" i="4"/>
  <c r="L8" i="4"/>
  <c r="I8" i="4"/>
  <c r="L7" i="4"/>
  <c r="I7" i="4"/>
  <c r="L6" i="4"/>
  <c r="I6" i="4"/>
  <c r="L5" i="4"/>
  <c r="I5" i="4"/>
  <c r="L4" i="4"/>
  <c r="I4" i="4"/>
  <c r="L3" i="4"/>
  <c r="I3" i="4"/>
  <c r="I2" i="4"/>
  <c r="M12" i="4" l="1"/>
  <c r="L12" i="2"/>
  <c r="L3" i="2"/>
  <c r="L4" i="2"/>
  <c r="L5" i="2"/>
  <c r="L6" i="2"/>
  <c r="L7" i="2"/>
  <c r="L8" i="2"/>
  <c r="L9" i="2"/>
  <c r="L10" i="2"/>
  <c r="L11" i="2"/>
  <c r="K12" i="2"/>
  <c r="I3" i="2"/>
  <c r="I5" i="2"/>
  <c r="I6" i="2"/>
  <c r="I7" i="2"/>
  <c r="I8" i="2"/>
  <c r="I9" i="2"/>
  <c r="I10" i="2"/>
  <c r="I11" i="2"/>
  <c r="I4" i="2"/>
  <c r="H12" i="2"/>
  <c r="I12" i="2" l="1"/>
  <c r="M6" i="2" s="1"/>
  <c r="M4" i="2" l="1"/>
  <c r="M11" i="2"/>
  <c r="M9" i="2"/>
  <c r="M2" i="2"/>
  <c r="M7" i="2"/>
  <c r="M3" i="2"/>
  <c r="M10" i="2"/>
  <c r="M5" i="2"/>
  <c r="M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9E5B9-B1DF-45BA-A802-836D337AE4B1}" keepAlive="1" name="Query - internal_sales_data" description="Connection to the 'internal_sales_data' query in the workbook." type="5" refreshedVersion="8" background="1" saveData="1">
    <dbPr connection="Provider=Microsoft.Mashup.OleDb.1;Data Source=$Workbook$;Location=internal_sales_data;Extended Properties=&quot;&quot;" command="SELECT * FROM [internal_sales_data]"/>
  </connection>
  <connection id="2" xr16:uid="{937596DB-F91B-4339-9A37-C78E27F96661}" keepAlive="1" name="Query - internal_sales_data (2)" description="Connection to the 'internal_sales_data (2)' query in the workbook." type="5" refreshedVersion="8" background="1" saveData="1">
    <dbPr connection="Provider=Microsoft.Mashup.OleDb.1;Data Source=$Workbook$;Location=&quot;internal_sales_data (2)&quot;;Extended Properties=&quot;&quot;" command="SELECT * FROM [internal_sales_data (2)]"/>
  </connection>
</connections>
</file>

<file path=xl/sharedStrings.xml><?xml version="1.0" encoding="utf-8"?>
<sst xmlns="http://schemas.openxmlformats.org/spreadsheetml/2006/main" count="104" uniqueCount="35">
  <si>
    <t>Brand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</si>
  <si>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</si>
  <si>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</si>
  <si>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</si>
  <si>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</si>
  <si>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</si>
  <si>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</si>
  <si>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</si>
  <si>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Starbust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</si>
  <si>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</si>
  <si>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</si>
  <si>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</si>
  <si>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</si>
  <si>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</si>
  <si>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</si>
  <si>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</si>
  <si>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</si>
  <si>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</si>
  <si>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Shinez</t>
  </si>
  <si>
    <t>Repair</t>
  </si>
  <si>
    <t>Shinez Repair 100ml</t>
  </si>
  <si>
    <t>Shinez Repair 125ml</t>
  </si>
  <si>
    <t>Shinez Repair 150ml</t>
  </si>
  <si>
    <t>Shinez Repair 200ml</t>
  </si>
  <si>
    <t>Total</t>
  </si>
  <si>
    <t>Net Sales 2022</t>
  </si>
  <si>
    <t>Gross Profit Per Product</t>
  </si>
  <si>
    <t>Gross Profit Per Unit</t>
  </si>
  <si>
    <t>Net Sales Contribution</t>
  </si>
  <si>
    <t>Gross Margin</t>
  </si>
  <si>
    <t>Row Labels</t>
  </si>
  <si>
    <t>Sum of Net Sales Contribution</t>
  </si>
  <si>
    <t>Gross Margins</t>
  </si>
  <si>
    <t>Price Per ml</t>
  </si>
  <si>
    <t>Starbust Ultra Soft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</si>
</sst>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&quot;$&quot;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0" fontId="2" fillId="2" borderId="1" xfId="0" applyNumberFormat="1" applyFont="1" applyFill="1" applyBorder="1"/>
    <xf numFmtId="165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34">
    <dxf>
      <numFmt numFmtId="165" formatCode="&quot;$&quot;#,##0.000"/>
    </dxf>
    <dxf>
      <numFmt numFmtId="165" formatCode="&quot;$&quot;#,##0.000"/>
    </dxf>
    <dxf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4" formatCode="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$&quot;#,##0.00"/>
    </dxf>
    <dxf>
      <numFmt numFmtId="11" formatCode="&quot;$&quot;#,##0.00_);\(&quot;$&quot;#,##0.00\)"/>
    </dxf>
    <dxf>
      <numFmt numFmtId="164" formatCode="&quot;$&quot;#,##0.00"/>
    </dxf>
    <dxf>
      <numFmt numFmtId="11" formatCode="&quot;$&quot;#,##0.00_);\(&quot;$&quot;#,##0.00\)"/>
    </dxf>
    <dxf>
      <numFmt numFmtId="164" formatCode="&quot;$&quot;#,##0.00"/>
    </dxf>
    <dxf>
      <numFmt numFmtId="164" formatCode="&quot;$&quot;#,##0.00"/>
    </dxf>
    <dxf>
      <numFmt numFmtId="4" formatCode="#,##0.00"/>
    </dxf>
    <dxf>
      <numFmt numFmtId="4" formatCode="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Matrix'!$A$13</c:f>
              <c:strCache>
                <c:ptCount val="1"/>
                <c:pt idx="0">
                  <c:v>Extra Shiny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'Profitability Matrix'!$B$12:$K$12</c:f>
              <c:numCache>
                <c:formatCode>0.00%</c:formatCode>
                <c:ptCount val="10"/>
                <c:pt idx="0">
                  <c:v>-2.2857142857142856</c:v>
                </c:pt>
                <c:pt idx="1">
                  <c:v>-2.2758620689655173</c:v>
                </c:pt>
                <c:pt idx="2">
                  <c:v>-2</c:v>
                </c:pt>
                <c:pt idx="3">
                  <c:v>-1.8333333333333333</c:v>
                </c:pt>
                <c:pt idx="4">
                  <c:v>0.64864864864864868</c:v>
                </c:pt>
                <c:pt idx="5">
                  <c:v>0.65714285714285714</c:v>
                </c:pt>
                <c:pt idx="6">
                  <c:v>0.70588235294117652</c:v>
                </c:pt>
                <c:pt idx="7">
                  <c:v>0.70967741935483875</c:v>
                </c:pt>
                <c:pt idx="8">
                  <c:v>0.9642857142857143</c:v>
                </c:pt>
                <c:pt idx="9">
                  <c:v>0.96941176470588231</c:v>
                </c:pt>
              </c:numCache>
            </c:numRef>
          </c:xVal>
          <c:yVal>
            <c:numRef>
              <c:f>'Profitability Matrix'!$B$13:$K$13</c:f>
              <c:numCache>
                <c:formatCode>0.00%</c:formatCode>
                <c:ptCount val="10"/>
                <c:pt idx="1">
                  <c:v>5.6234431164798981E-2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0-4D13-9A46-C121D565155A}"/>
            </c:ext>
          </c:extLst>
        </c:ser>
        <c:ser>
          <c:idx val="1"/>
          <c:order val="1"/>
          <c:tx>
            <c:strRef>
              <c:f>'Profitability Matrix'!$A$14</c:f>
              <c:strCache>
                <c:ptCount val="1"/>
                <c:pt idx="0">
                  <c:v>Repair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'Profitability Matrix'!$B$12:$K$12</c:f>
              <c:numCache>
                <c:formatCode>0.00%</c:formatCode>
                <c:ptCount val="10"/>
                <c:pt idx="0">
                  <c:v>-2.2857142857142856</c:v>
                </c:pt>
                <c:pt idx="1">
                  <c:v>-2.2758620689655173</c:v>
                </c:pt>
                <c:pt idx="2">
                  <c:v>-2</c:v>
                </c:pt>
                <c:pt idx="3">
                  <c:v>-1.8333333333333333</c:v>
                </c:pt>
                <c:pt idx="4">
                  <c:v>0.64864864864864868</c:v>
                </c:pt>
                <c:pt idx="5">
                  <c:v>0.65714285714285714</c:v>
                </c:pt>
                <c:pt idx="6">
                  <c:v>0.70588235294117652</c:v>
                </c:pt>
                <c:pt idx="7">
                  <c:v>0.70967741935483875</c:v>
                </c:pt>
                <c:pt idx="8">
                  <c:v>0.9642857142857143</c:v>
                </c:pt>
                <c:pt idx="9">
                  <c:v>0.96941176470588231</c:v>
                </c:pt>
              </c:numCache>
            </c:numRef>
          </c:xVal>
          <c:yVal>
            <c:numRef>
              <c:f>'Profitability Matrix'!$B$14:$K$14</c:f>
              <c:numCache>
                <c:formatCode>0.00%</c:formatCode>
                <c:ptCount val="10"/>
                <c:pt idx="0">
                  <c:v>0.10657918965945172</c:v>
                </c:pt>
                <c:pt idx="3">
                  <c:v>3.9151515102392878E-3</c:v>
                </c:pt>
                <c:pt idx="6">
                  <c:v>5.5464598881963825E-2</c:v>
                </c:pt>
                <c:pt idx="9">
                  <c:v>0.55464646395056583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90-4D13-9A46-C121D565155A}"/>
            </c:ext>
          </c:extLst>
        </c:ser>
        <c:ser>
          <c:idx val="2"/>
          <c:order val="2"/>
          <c:tx>
            <c:strRef>
              <c:f>'Profitability Matrix'!$A$15</c:f>
              <c:strCache>
                <c:ptCount val="1"/>
                <c:pt idx="0">
                  <c:v>Strong Hair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'Profitability Matrix'!$B$12:$K$12</c:f>
              <c:numCache>
                <c:formatCode>0.00%</c:formatCode>
                <c:ptCount val="10"/>
                <c:pt idx="0">
                  <c:v>-2.2857142857142856</c:v>
                </c:pt>
                <c:pt idx="1">
                  <c:v>-2.2758620689655173</c:v>
                </c:pt>
                <c:pt idx="2">
                  <c:v>-2</c:v>
                </c:pt>
                <c:pt idx="3">
                  <c:v>-1.8333333333333333</c:v>
                </c:pt>
                <c:pt idx="4">
                  <c:v>0.64864864864864868</c:v>
                </c:pt>
                <c:pt idx="5">
                  <c:v>0.65714285714285714</c:v>
                </c:pt>
                <c:pt idx="6">
                  <c:v>0.70588235294117652</c:v>
                </c:pt>
                <c:pt idx="7">
                  <c:v>0.70967741935483875</c:v>
                </c:pt>
                <c:pt idx="8">
                  <c:v>0.9642857142857143</c:v>
                </c:pt>
                <c:pt idx="9">
                  <c:v>0.96941176470588231</c:v>
                </c:pt>
              </c:numCache>
            </c:numRef>
          </c:xVal>
          <c:yVal>
            <c:numRef>
              <c:f>'Profitability Matrix'!$B$15:$K$15</c:f>
              <c:numCache>
                <c:formatCode>0.00%</c:formatCode>
                <c:ptCount val="10"/>
                <c:pt idx="4">
                  <c:v>2.3915827034622777E-2</c:v>
                </c:pt>
                <c:pt idx="8">
                  <c:v>2.7147617295956387E-2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90-4D13-9A46-C121D565155A}"/>
            </c:ext>
          </c:extLst>
        </c:ser>
        <c:ser>
          <c:idx val="3"/>
          <c:order val="3"/>
          <c:tx>
            <c:strRef>
              <c:f>'Profitability Matrix'!$A$16</c:f>
              <c:strCache>
                <c:ptCount val="1"/>
                <c:pt idx="0">
                  <c:v>Ultra Soft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'Profitability Matrix'!$B$12:$K$12</c:f>
              <c:numCache>
                <c:formatCode>0.00%</c:formatCode>
                <c:ptCount val="10"/>
                <c:pt idx="0">
                  <c:v>-2.2857142857142856</c:v>
                </c:pt>
                <c:pt idx="1">
                  <c:v>-2.2758620689655173</c:v>
                </c:pt>
                <c:pt idx="2">
                  <c:v>-2</c:v>
                </c:pt>
                <c:pt idx="3">
                  <c:v>-1.8333333333333333</c:v>
                </c:pt>
                <c:pt idx="4">
                  <c:v>0.64864864864864868</c:v>
                </c:pt>
                <c:pt idx="5">
                  <c:v>0.65714285714285714</c:v>
                </c:pt>
                <c:pt idx="6">
                  <c:v>0.70588235294117652</c:v>
                </c:pt>
                <c:pt idx="7">
                  <c:v>0.70967741935483875</c:v>
                </c:pt>
                <c:pt idx="8">
                  <c:v>0.9642857142857143</c:v>
                </c:pt>
                <c:pt idx="9">
                  <c:v>0.96941176470588231</c:v>
                </c:pt>
              </c:numCache>
            </c:numRef>
          </c:xVal>
          <c:yVal>
            <c:numRef>
              <c:f>'Profitability Matrix'!$B$16:$K$16</c:f>
              <c:numCache>
                <c:formatCode>0.00%</c:formatCode>
                <c:ptCount val="10"/>
                <c:pt idx="2">
                  <c:v>4.0398286605208104E-3</c:v>
                </c:pt>
                <c:pt idx="5">
                  <c:v>6.7869141060964283E-2</c:v>
                </c:pt>
                <c:pt idx="7">
                  <c:v>0.10018775078091612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90-4D13-9A46-C121D5651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571640"/>
        <c:axId val="585575600"/>
      </c:scatterChart>
      <c:valAx>
        <c:axId val="5855716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cap="all" baseline="0"/>
                  <a:t>Gross Margin</a:t>
                </a:r>
                <a:endParaRPr lang="en-US" sz="1000" b="0"/>
              </a:p>
            </c:rich>
          </c:tx>
          <c:layout>
            <c:manualLayout>
              <c:xMode val="edge"/>
              <c:yMode val="edge"/>
              <c:x val="0.39920822397200351"/>
              <c:y val="0.8697141294838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75600"/>
        <c:crosses val="autoZero"/>
        <c:crossBetween val="midCat"/>
      </c:valAx>
      <c:valAx>
        <c:axId val="585575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cap="all" baseline="0"/>
                  <a:t>Net Sales Contribution</a:t>
                </a:r>
                <a:endParaRPr lang="en-US" sz="10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7164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175684</xdr:colOff>
      <xdr:row>0</xdr:row>
      <xdr:rowOff>48163</xdr:rowOff>
    </xdr:from>
    <xdr:to>
      <xdr:col>18</xdr:col>
      <xdr:colOff>496147</xdr:colOff>
      <xdr:row>25</xdr:row>
      <xdr:rowOff>40543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E819B-9D74-052E-B655-ED203920A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16.037289120373" createdVersion="8" refreshedVersion="8" minRefreshableVersion="3" recordCount="10" xr:uid="{3811FD6D-67C9-47F3-B1B1-3646C1A3BB8B}">
  <cacheSource type="worksheet">
    <worksheetSource name="internal_sales_data"/>
  </cacheSource>
  <cacheFields count="13">
    <cacheField name="Brand" numFmtId="0">
      <sharedItems/>
    </cacheField>
    <cacheField name="Product" numFmtId="0">
      <sharedItems count="4">
        <s v="Ultra Soft"/>
        <s v="Extra Shiny"/>
        <s v="Strong Hair"/>
        <s v="Repair"/>
      </sharedItems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/>
    </cacheField>
    <cacheField name="Retail Price" numFmtId="164">
      <sharedItems containsSemiMixedTypes="0" containsString="0" containsNumber="1" containsInteger="1" minValue="5" maxValue="725"/>
    </cacheField>
    <cacheField name="Net Price" numFmtId="164">
      <sharedItems containsSemiMixedTypes="0" containsString="0" containsNumber="1" containsInteger="1" minValue="5" maxValue="425"/>
    </cacheField>
    <cacheField name="COGS" numFmtId="164">
      <sharedItems containsSemiMixedTypes="0" containsString="0" containsNumber="1" containsInteger="1" minValue="1" maxValue="115"/>
    </cacheField>
    <cacheField name="Volume 2022" numFmtId="4">
      <sharedItems containsSemiMixedTypes="0" containsString="0" containsNumber="1" containsInteger="1" minValue="231270" maxValue="1156348"/>
    </cacheField>
    <cacheField name="Net Sales 2022" numFmtId="164">
      <sharedItems containsSemiMixedTypes="0" containsString="0" containsNumber="1" containsInteger="1" minValue="1400826" maxValue="198450350"/>
    </cacheField>
    <cacheField name="Gross Profit Per Unit" numFmtId="7">
      <sharedItems containsSemiMixedTypes="0" containsString="0" containsNumber="1" containsInteger="1" minValue="-80" maxValue="412"/>
    </cacheField>
    <cacheField name="Gross Profit Per Product" numFmtId="7">
      <sharedItems containsSemiMixedTypes="0" containsString="0" containsNumber="1" containsInteger="1" minValue="-87162560" maxValue="192380104"/>
    </cacheField>
    <cacheField name="Gross Margin" numFmtId="10">
      <sharedItems containsSemiMixedTypes="0" containsString="0" containsNumber="1" minValue="-2.2857142857142856" maxValue="0.96941176470588231" count="10">
        <n v="0.70967741935483875"/>
        <n v="-2.2758620689655173"/>
        <n v="0.9642857142857143"/>
        <n v="0.65714285714285714"/>
        <n v="0.64864864864864868"/>
        <n v="-2"/>
        <n v="-2.2857142857142856"/>
        <n v="0.96941176470588231"/>
        <n v="0.70588235294117652"/>
        <n v="-1.8333333333333333"/>
      </sharedItems>
    </cacheField>
    <cacheField name="Net Sales Contribution" numFmtId="10">
      <sharedItems containsSemiMixedTypes="0" containsString="0" containsNumber="1" minValue="3.9151515102392878E-3" maxValue="0.554646463950565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x v="0"/>
    <n v="100"/>
    <s v="Starbust Ultra Soft 100ml"/>
    <n v="5"/>
    <n v="31"/>
    <n v="9"/>
    <n v="1156348"/>
    <n v="35846788"/>
    <n v="22"/>
    <n v="25439656"/>
    <x v="0"/>
    <n v="0.10018775078091612"/>
  </r>
  <r>
    <s v="Starbust"/>
    <x v="1"/>
    <n v="100"/>
    <s v="Starbust Extra Shiny 100ml"/>
    <n v="5"/>
    <n v="29"/>
    <n v="95"/>
    <n v="693809"/>
    <n v="20120461"/>
    <n v="-66"/>
    <n v="-45791394"/>
    <x v="1"/>
    <n v="5.6234431164798981E-2"/>
  </r>
  <r>
    <s v="Starbust"/>
    <x v="2"/>
    <n v="100"/>
    <s v="Starbust Strong Hair 100ml"/>
    <n v="5"/>
    <n v="28"/>
    <n v="1"/>
    <n v="346904"/>
    <n v="9713312"/>
    <n v="27"/>
    <n v="9366408"/>
    <x v="2"/>
    <n v="2.7147617295956387E-2"/>
  </r>
  <r>
    <s v="Starbust"/>
    <x v="0"/>
    <n v="150"/>
    <s v="Starbust Ultra Soft 150ml"/>
    <n v="7"/>
    <n v="35"/>
    <n v="12"/>
    <n v="693809"/>
    <n v="24283315"/>
    <n v="23"/>
    <n v="15957607"/>
    <x v="3"/>
    <n v="6.7869141060964283E-2"/>
  </r>
  <r>
    <s v="Starbust"/>
    <x v="2"/>
    <n v="150"/>
    <s v="Starbust Strong Hair 150ml"/>
    <n v="725"/>
    <n v="37"/>
    <n v="13"/>
    <n v="231270"/>
    <n v="8556990"/>
    <n v="24"/>
    <n v="5550480"/>
    <x v="4"/>
    <n v="2.3915827034622777E-2"/>
  </r>
  <r>
    <s v="Starbust"/>
    <x v="0"/>
    <n v="200"/>
    <s v="Starbust Ultra Soft 200ml"/>
    <n v="9"/>
    <n v="5"/>
    <n v="15"/>
    <n v="289087"/>
    <n v="1445435"/>
    <n v="-10"/>
    <n v="-2890870"/>
    <x v="5"/>
    <n v="4.0398286605208104E-3"/>
  </r>
  <r>
    <s v="Shinez"/>
    <x v="3"/>
    <n v="100"/>
    <s v="Shinez Repair 100ml"/>
    <n v="6"/>
    <n v="35"/>
    <n v="115"/>
    <n v="1089532"/>
    <n v="38133620"/>
    <n v="-80"/>
    <n v="-87162560"/>
    <x v="6"/>
    <n v="0.10657918965945172"/>
  </r>
  <r>
    <s v="Shinez"/>
    <x v="3"/>
    <n v="125"/>
    <s v="Shinez Repair 125ml"/>
    <n v="7"/>
    <n v="425"/>
    <n v="13"/>
    <n v="466942"/>
    <n v="198450350"/>
    <n v="412"/>
    <n v="192380104"/>
    <x v="7"/>
    <n v="0.55464646395056583"/>
  </r>
  <r>
    <s v="Shinez"/>
    <x v="3"/>
    <n v="150"/>
    <s v="Shinez Repair 150ml"/>
    <n v="8"/>
    <n v="51"/>
    <n v="15"/>
    <n v="389118"/>
    <n v="19845018"/>
    <n v="36"/>
    <n v="14008248"/>
    <x v="8"/>
    <n v="5.5464598881963825E-2"/>
  </r>
  <r>
    <s v="Shinez"/>
    <x v="3"/>
    <n v="200"/>
    <s v="Shinez Repair 200ml"/>
    <n v="10"/>
    <n v="6"/>
    <n v="17"/>
    <n v="233471"/>
    <n v="1400826"/>
    <n v="-11"/>
    <n v="-2568181"/>
    <x v="9"/>
    <n v="3.9151515102392878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9801C-4FEA-4B44-9BB7-4C050524F9B0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oduct" colHeaderCaption="Gross Margins">
  <location ref="A3:K8" firstHeaderRow="1" firstDataRow="2" firstDataCol="1"/>
  <pivotFields count="13"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4" showAll="0"/>
    <pivotField numFmtId="164" showAll="0"/>
    <pivotField numFmtId="2" showAll="0"/>
    <pivotField showAll="0"/>
    <pivotField axis="axisCol" numFmtId="10" showAll="0">
      <items count="11">
        <item x="6"/>
        <item x="1"/>
        <item x="5"/>
        <item x="9"/>
        <item x="4"/>
        <item x="3"/>
        <item x="8"/>
        <item x="0"/>
        <item x="2"/>
        <item x="7"/>
        <item t="default"/>
      </items>
    </pivotField>
    <pivotField dataField="1" numFmtId="1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A62390-9A16-45DC-AD85-373C056D330E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9" name="Column1" tableColumnId="9"/>
      <queryTableField id="10" dataBound="0" tableColumnId="10"/>
      <queryTableField id="11" dataBound="0" tableColumnId="11"/>
      <queryTableField id="13" dataBound="0" tableColumnId="13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7E4E21-DB7F-4036-AF16-6E505BFC29BD}" autoFormatId="16" applyNumberFormats="0" applyBorderFormats="0" applyFontFormats="0" applyPatternFormats="0" applyAlignmentFormats="0" applyWidthHeightFormats="0">
  <queryTableRefresh nextId="15" unboundColumnsRight="4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9" name="Column1" tableColumnId="9"/>
      <queryTableField id="10" dataBound="0" tableColumnId="10"/>
      <queryTableField id="11" dataBound="0" tableColumnId="11"/>
      <queryTableField id="13" dataBound="0" tableColumnId="13"/>
      <queryTableField id="14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4F30C-AA00-4E9B-8F76-1D3395290B9A}" name="internal_sales_data" displayName="internal_sales_data" ref="A1:M12" tableType="queryTable" totalsRowCount="1">
  <autoFilter ref="A1:M11" xr:uid="{94D4F30C-AA00-4E9B-8F76-1D3395290B9A}"/>
  <tableColumns count="13">
    <tableColumn id="1" xr3:uid="{D05C3FA3-E358-4810-BEA8-3672A631D025}" uniqueName="1" name="Brand" totalsRowLabel="Total" queryTableFieldId="1" dataDxfId="33"/>
    <tableColumn id="2" xr3:uid="{44CF8D0B-8F98-4249-ACEC-5D9EC3D3FC48}" uniqueName="2" name="Product" queryTableFieldId="2" dataDxfId="32"/>
    <tableColumn id="3" xr3:uid="{E7B846F2-C391-4CB2-BCB2-B5928A3885EE}" uniqueName="3" name="Pack Size (ml)" queryTableFieldId="3"/>
    <tableColumn id="4" xr3:uid="{125F55CD-D636-4705-A715-CC9B442BDB36}" uniqueName="4" name="ProductID" queryTableFieldId="4" dataDxfId="31"/>
    <tableColumn id="5" xr3:uid="{81F429D3-3596-4AB2-9FD7-45F58F0EAC45}" uniqueName="5" name="Retail Price" queryTableFieldId="5" dataDxfId="30" totalsRowDxfId="29"/>
    <tableColumn id="6" xr3:uid="{FFA59F54-5417-47D7-8337-086C33C837D0}" uniqueName="6" name="Net Price" queryTableFieldId="6" dataDxfId="28" totalsRowDxfId="27"/>
    <tableColumn id="7" xr3:uid="{2980A2FD-F42D-48B1-82F0-B4F5D2321210}" uniqueName="7" name="COGS" queryTableFieldId="7" dataDxfId="26" totalsRowDxfId="25"/>
    <tableColumn id="8" xr3:uid="{7A09A0CE-2413-4853-AB60-81CE385C3618}" uniqueName="8" name="Volume 2022" totalsRowFunction="custom" queryTableFieldId="8" dataDxfId="24" totalsRowDxfId="23">
      <totalsRowFormula>SUBTOTAL(9,internal_sales_data[Volume 2022])</totalsRowFormula>
    </tableColumn>
    <tableColumn id="9" xr3:uid="{2D488B2F-B50B-4EDE-B442-217D7DDC4AB2}" uniqueName="9" name="Net Sales 2022" totalsRowFunction="custom" queryTableFieldId="9" dataDxfId="22" totalsRowDxfId="21">
      <totalsRowFormula>SUBTOTAL(9,internal_sales_data[Net Sales 2022])</totalsRowFormula>
    </tableColumn>
    <tableColumn id="10" xr3:uid="{FE7F1F61-7802-4D65-B8DC-611A9D8C996B}" uniqueName="10" name="Gross Profit Per Unit" queryTableFieldId="10" dataDxfId="20" totalsRowDxfId="19">
      <calculatedColumnFormula>internal_sales_data[[#This Row],[Net Price]]-internal_sales_data[[#This Row],[COGS]]</calculatedColumnFormula>
    </tableColumn>
    <tableColumn id="11" xr3:uid="{48904930-2588-4B27-B9E0-6F7D062C7BF7}" uniqueName="11" name="Gross Profit Per Product" totalsRowFunction="custom" queryTableFieldId="11" dataDxfId="18" totalsRowDxfId="17">
      <calculatedColumnFormula>internal_sales_data[[#This Row],[Gross Profit Per Unit]]*internal_sales_data[[#This Row],[Volume 2022]]</calculatedColumnFormula>
      <totalsRowFormula>SUBTOTAL(9,internal_sales_data[Gross Profit Per Product])</totalsRowFormula>
    </tableColumn>
    <tableColumn id="13" xr3:uid="{8D9412F6-B1C1-420D-86E2-7F12239F15A8}" uniqueName="13" name="Gross Margin" totalsRowFunction="average" queryTableFieldId="13" dataDxfId="16" totalsRowDxfId="15">
      <calculatedColumnFormula>(internal_sales_data[[#This Row],[Net Price]]-internal_sales_data[[#This Row],[COGS]])/internal_sales_data[[#This Row],[Net Price]]</calculatedColumnFormula>
    </tableColumn>
    <tableColumn id="12" xr3:uid="{12D594EB-2637-43EE-BF65-C8EAB2D621EE}" uniqueName="12" name="Net Sales Contribution" queryTableFieldId="12" dataDxfId="14">
      <calculatedColumnFormula>internal_sales_data[[#This Row],[Net Sales 2022]]/$I$12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8D848-E748-4C70-BF2B-BF7669C9D8A8}" name="internal_sales_data3" displayName="internal_sales_data3" ref="A1:M13" tableType="queryTable" totalsRowCount="1">
  <autoFilter ref="A1:M12" xr:uid="{C618D848-E748-4C70-BF2B-BF7669C9D8A8}"/>
  <tableColumns count="13">
    <tableColumn id="1" xr3:uid="{E248E4F6-E962-47FB-B538-346A7DC4B263}" uniqueName="1" name="Brand" totalsRowLabel="Total" queryTableFieldId="1" dataDxfId="13"/>
    <tableColumn id="2" xr3:uid="{C8427CAB-3B00-4C41-82B0-F6B4D8B49236}" uniqueName="2" name="Product" queryTableFieldId="2" dataDxfId="12"/>
    <tableColumn id="3" xr3:uid="{1FD2A06F-9E73-4966-B774-BADF621960F3}" uniqueName="3" name="Pack Size (ml)" queryTableFieldId="3"/>
    <tableColumn id="4" xr3:uid="{5E723B29-4119-4B84-A2DA-6FE0E2590FE9}" uniqueName="4" name="ProductID" queryTableFieldId="4" dataDxfId="11"/>
    <tableColumn id="5" xr3:uid="{71F8821A-7663-4ABF-A1BE-FE9357ADA807}" uniqueName="5" name="Retail Price" queryTableFieldId="5" dataDxfId="10"/>
    <tableColumn id="6" xr3:uid="{003B69FF-8B17-49F8-8EBD-A3C2402DB2D8}" uniqueName="6" name="Net Price" queryTableFieldId="6" dataDxfId="9"/>
    <tableColumn id="7" xr3:uid="{C8EB662C-84AC-4B8C-87A6-93874F449211}" uniqueName="7" name="COGS" queryTableFieldId="7" dataDxfId="8"/>
    <tableColumn id="8" xr3:uid="{5CA9D85D-9858-4E0C-BFF7-36604A681301}" uniqueName="8" name="Volume 2022" queryTableFieldId="8" dataDxfId="7"/>
    <tableColumn id="9" xr3:uid="{D8E6914C-8138-483F-A5BA-D01BA19B927F}" uniqueName="9" name="Net Sales 2022" totalsRowFunction="sum" queryTableFieldId="9" dataDxfId="6" totalsRowDxfId="5"/>
    <tableColumn id="10" xr3:uid="{67CE1188-F44D-4E58-8842-3B6CC2EACE0D}" uniqueName="10" name="Gross Profit Per Unit" queryTableFieldId="10" dataDxfId="4">
      <calculatedColumnFormula>internal_sales_data3[[#This Row],[Net Price]]-internal_sales_data3[[#This Row],[COGS]]</calculatedColumnFormula>
    </tableColumn>
    <tableColumn id="11" xr3:uid="{14801BE0-A0DF-4AD0-99DD-9ABE43D353E0}" uniqueName="11" name="Gross Profit Per Product" queryTableFieldId="11" dataDxfId="3">
      <calculatedColumnFormula>internal_sales_data3[[#This Row],[Gross Profit Per Unit]]*internal_sales_data3[[#This Row],[Volume 2022]]</calculatedColumnFormula>
    </tableColumn>
    <tableColumn id="13" xr3:uid="{690D10B7-B6D9-4BD7-8407-32D68FBC66D8}" uniqueName="13" name="Gross Margin" queryTableFieldId="13" dataDxfId="2">
      <calculatedColumnFormula>(internal_sales_data3[[#This Row],[Net Price]]-internal_sales_data3[[#This Row],[COGS]])/internal_sales_data3[[#This Row],[Net Price]]</calculatedColumnFormula>
    </tableColumn>
    <tableColumn id="12" xr3:uid="{857C16CD-B5E7-4B96-8D2B-3BCCA0A5A6BF}" uniqueName="12" name="Price Per ml" queryTableFieldId="14" dataDxfId="1" totalsRowDxfId="0">
      <calculatedColumnFormula>$E2/$C2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0E5E-A911-44BC-9596-10E22763C802}">
  <dimension ref="A3:K16"/>
  <sheetViews>
    <sheetView zoomScale="90" zoomScaleNormal="90" workbookViewId="0">
      <selection activeCell="A19" sqref="A19"/>
    </sheetView>
  </sheetViews>
  <sheetFormatPr defaultRowHeight="15" x14ac:dyDescent="0.25"/>
  <cols>
    <col min="1" max="1" width="28.140625" bestFit="1" customWidth="1"/>
    <col min="2" max="2" width="16" bestFit="1" customWidth="1"/>
    <col min="3" max="5" width="9.140625" bestFit="1" customWidth="1"/>
    <col min="6" max="11" width="7.42578125" bestFit="1" customWidth="1"/>
    <col min="12" max="12" width="11.28515625" bestFit="1" customWidth="1"/>
  </cols>
  <sheetData>
    <row r="3" spans="1:11" x14ac:dyDescent="0.25">
      <c r="A3" s="4" t="s">
        <v>31</v>
      </c>
      <c r="B3" s="4" t="s">
        <v>32</v>
      </c>
    </row>
    <row r="4" spans="1:11" x14ac:dyDescent="0.25">
      <c r="A4" s="4" t="s">
        <v>1</v>
      </c>
      <c r="B4" s="3">
        <v>-2.2857142857142856</v>
      </c>
      <c r="C4" s="3">
        <v>-2.2758620689655173</v>
      </c>
      <c r="D4" s="3">
        <v>-2</v>
      </c>
      <c r="E4" s="3">
        <v>-1.8333333333333333</v>
      </c>
      <c r="F4" s="3">
        <v>0.64864864864864868</v>
      </c>
      <c r="G4" s="3">
        <v>0.65714285714285714</v>
      </c>
      <c r="H4" s="3">
        <v>0.70588235294117652</v>
      </c>
      <c r="I4" s="3">
        <v>0.70967741935483875</v>
      </c>
      <c r="J4" s="3">
        <v>0.9642857142857143</v>
      </c>
      <c r="K4" s="3">
        <v>0.96941176470588231</v>
      </c>
    </row>
    <row r="5" spans="1:11" x14ac:dyDescent="0.25">
      <c r="A5" s="5" t="s">
        <v>11</v>
      </c>
      <c r="B5" s="3"/>
      <c r="C5" s="3">
        <v>5.6234431164798981E-2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5" t="s">
        <v>19</v>
      </c>
      <c r="B6" s="3">
        <v>0.10657918965945172</v>
      </c>
      <c r="C6" s="3"/>
      <c r="D6" s="3"/>
      <c r="E6" s="3">
        <v>3.9151515102392878E-3</v>
      </c>
      <c r="F6" s="3"/>
      <c r="G6" s="3"/>
      <c r="H6" s="3">
        <v>5.5464598881963825E-2</v>
      </c>
      <c r="I6" s="3"/>
      <c r="J6" s="3"/>
      <c r="K6" s="3">
        <v>0.55464646395056583</v>
      </c>
    </row>
    <row r="7" spans="1:11" x14ac:dyDescent="0.25">
      <c r="A7" s="5" t="s">
        <v>13</v>
      </c>
      <c r="B7" s="3"/>
      <c r="C7" s="3"/>
      <c r="D7" s="3"/>
      <c r="E7" s="3"/>
      <c r="F7" s="3">
        <v>2.3915827034622777E-2</v>
      </c>
      <c r="G7" s="3"/>
      <c r="H7" s="3"/>
      <c r="I7" s="3"/>
      <c r="J7" s="3">
        <v>2.7147617295956387E-2</v>
      </c>
      <c r="K7" s="3"/>
    </row>
    <row r="8" spans="1:11" x14ac:dyDescent="0.25">
      <c r="A8" s="5" t="s">
        <v>9</v>
      </c>
      <c r="B8" s="3"/>
      <c r="C8" s="3"/>
      <c r="D8" s="3">
        <v>4.0398286605208104E-3</v>
      </c>
      <c r="E8" s="3"/>
      <c r="F8" s="3"/>
      <c r="G8" s="3">
        <v>6.7869141060964283E-2</v>
      </c>
      <c r="H8" s="3"/>
      <c r="I8" s="3">
        <v>0.10018775078091612</v>
      </c>
      <c r="J8" s="3"/>
      <c r="K8" s="3"/>
    </row>
    <row r="11" spans="1:11" x14ac:dyDescent="0.25">
      <c r="A11" s="6"/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6" t="s">
        <v>30</v>
      </c>
      <c r="B12" s="7">
        <v>-2.2857142857142856</v>
      </c>
      <c r="C12" s="7">
        <v>-2.2758620689655173</v>
      </c>
      <c r="D12" s="7">
        <v>-2</v>
      </c>
      <c r="E12" s="7">
        <v>-1.8333333333333333</v>
      </c>
      <c r="F12" s="7">
        <v>0.64864864864864868</v>
      </c>
      <c r="G12" s="7">
        <v>0.65714285714285714</v>
      </c>
      <c r="H12" s="7">
        <v>0.70588235294117652</v>
      </c>
      <c r="I12" s="7">
        <v>0.70967741935483875</v>
      </c>
      <c r="J12" s="7">
        <v>0.9642857142857143</v>
      </c>
      <c r="K12" s="7">
        <v>0.96941176470588231</v>
      </c>
    </row>
    <row r="13" spans="1:11" x14ac:dyDescent="0.25">
      <c r="A13" s="5" t="s">
        <v>11</v>
      </c>
      <c r="B13" s="3"/>
      <c r="C13" s="3">
        <v>5.6234431164798981E-2</v>
      </c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19</v>
      </c>
      <c r="B14" s="3">
        <v>0.10657918965945172</v>
      </c>
      <c r="C14" s="3"/>
      <c r="D14" s="3"/>
      <c r="E14" s="3">
        <v>3.9151515102392878E-3</v>
      </c>
      <c r="F14" s="3"/>
      <c r="G14" s="3"/>
      <c r="H14" s="3">
        <v>5.5464598881963825E-2</v>
      </c>
      <c r="I14" s="3"/>
      <c r="J14" s="3"/>
      <c r="K14" s="3">
        <v>0.55464646395056583</v>
      </c>
    </row>
    <row r="15" spans="1:11" x14ac:dyDescent="0.25">
      <c r="A15" s="5" t="s">
        <v>13</v>
      </c>
      <c r="B15" s="3"/>
      <c r="C15" s="3"/>
      <c r="D15" s="3"/>
      <c r="E15" s="3"/>
      <c r="F15" s="3">
        <v>2.3915827034622777E-2</v>
      </c>
      <c r="G15" s="3"/>
      <c r="H15" s="3"/>
      <c r="I15" s="3"/>
      <c r="J15" s="3">
        <v>2.7147617295956387E-2</v>
      </c>
      <c r="K15" s="3"/>
    </row>
    <row r="16" spans="1:11" x14ac:dyDescent="0.25">
      <c r="A16" s="5" t="s">
        <v>9</v>
      </c>
      <c r="B16" s="3"/>
      <c r="C16" s="3"/>
      <c r="D16" s="3">
        <v>4.0398286605208104E-3</v>
      </c>
      <c r="E16" s="3"/>
      <c r="F16" s="3"/>
      <c r="G16" s="3">
        <v>6.7869141060964283E-2</v>
      </c>
      <c r="H16" s="3"/>
      <c r="I16" s="3">
        <v>0.10018775078091612</v>
      </c>
      <c r="J16" s="3"/>
      <c r="K16" s="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8A33-3C4E-475F-8737-27FB1273FF51}">
  <dimension ref="A1:V14"/>
  <sheetViews>
    <sheetView tabSelected="1" zoomScale="90" zoomScaleNormal="90" workbookViewId="0">
      <selection activeCell="A13" sqref="A13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.5703125" bestFit="1" customWidth="1"/>
    <col min="4" max="4" width="24.5703125" bestFit="1" customWidth="1"/>
    <col min="5" max="5" width="13.28515625" bestFit="1" customWidth="1"/>
    <col min="6" max="6" width="11.42578125" bestFit="1" customWidth="1"/>
    <col min="7" max="7" width="8.28515625" customWidth="1"/>
    <col min="8" max="8" width="14.7109375" bestFit="1" customWidth="1"/>
    <col min="9" max="9" width="17.140625" bestFit="1" customWidth="1"/>
    <col min="10" max="10" width="22" customWidth="1"/>
    <col min="11" max="11" width="24.85546875" bestFit="1" customWidth="1"/>
    <col min="12" max="12" width="15" bestFit="1" customWidth="1"/>
    <col min="13" max="13" width="23.7109375" bestFit="1" customWidth="1"/>
    <col min="14" max="14" width="15.5703125" bestFit="1" customWidth="1"/>
    <col min="15" max="15" width="13.85546875" bestFit="1" customWidth="1"/>
    <col min="16" max="16" width="12.7109375" bestFit="1" customWidth="1"/>
    <col min="21" max="21" width="13.8554687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25</v>
      </c>
      <c r="J1" t="s">
        <v>27</v>
      </c>
      <c r="K1" t="s">
        <v>26</v>
      </c>
      <c r="L1" t="s">
        <v>29</v>
      </c>
      <c r="M1" t="s">
        <v>28</v>
      </c>
    </row>
    <row r="2" spans="1:22" x14ac:dyDescent="0.25">
      <c r="A2" t="s">
        <v>8</v>
      </c>
      <c r="B2" t="s">
        <v>9</v>
      </c>
      <c r="C2">
        <v>100</v>
      </c>
      <c r="D2" t="s">
        <v>10</v>
      </c>
      <c r="E2" s="1">
        <v>5</v>
      </c>
      <c r="F2" s="1">
        <v>31</v>
      </c>
      <c r="G2" s="1">
        <v>9</v>
      </c>
      <c r="H2" s="2">
        <v>1156348</v>
      </c>
      <c r="I2" s="1">
        <f>internal_sales_data[[#This Row],[Volume 2022]]*internal_sales_data[[#This Row],[Net Price]]</f>
        <v>35846788</v>
      </c>
      <c r="J2" s="9">
        <f>internal_sales_data[[#This Row],[Net Price]]-internal_sales_data[[#This Row],[COGS]]</f>
        <v>22</v>
      </c>
      <c r="K2" s="9">
        <f>internal_sales_data[[#This Row],[Gross Profit Per Unit]]*internal_sales_data[[#This Row],[Volume 2022]]</f>
        <v>25439656</v>
      </c>
      <c r="L2" s="3">
        <f>(internal_sales_data[[#This Row],[Net Price]]-internal_sales_data[[#This Row],[COGS]])/internal_sales_data[[#This Row],[Net Price]]</f>
        <v>0.70967741935483875</v>
      </c>
      <c r="M2" s="3">
        <f>internal_sales_data[[#This Row],[Net Sales 2022]]/$I$12</f>
        <v>0.10018775078091612</v>
      </c>
      <c r="T2" s="1"/>
      <c r="U2" s="1"/>
    </row>
    <row r="3" spans="1:22" x14ac:dyDescent="0.25">
      <c r="A3" t="s">
        <v>8</v>
      </c>
      <c r="B3" t="s">
        <v>11</v>
      </c>
      <c r="C3">
        <v>100</v>
      </c>
      <c r="D3" t="s">
        <v>12</v>
      </c>
      <c r="E3" s="1">
        <v>5</v>
      </c>
      <c r="F3" s="1">
        <v>29</v>
      </c>
      <c r="G3" s="1">
        <v>95</v>
      </c>
      <c r="H3" s="2">
        <v>693809</v>
      </c>
      <c r="I3" s="1">
        <f>internal_sales_data[[#This Row],[Volume 2022]]*internal_sales_data[[#This Row],[Net Price]]</f>
        <v>20120461</v>
      </c>
      <c r="J3" s="9">
        <f>internal_sales_data[[#This Row],[Net Price]]-internal_sales_data[[#This Row],[COGS]]</f>
        <v>-66</v>
      </c>
      <c r="K3" s="9">
        <f>internal_sales_data[[#This Row],[Gross Profit Per Unit]]*internal_sales_data[[#This Row],[Volume 2022]]</f>
        <v>-45791394</v>
      </c>
      <c r="L3" s="3">
        <f>(internal_sales_data[[#This Row],[Net Price]]-internal_sales_data[[#This Row],[COGS]])/internal_sales_data[[#This Row],[Net Price]]</f>
        <v>-2.2758620689655173</v>
      </c>
      <c r="M3" s="3">
        <f>internal_sales_data[[#This Row],[Net Sales 2022]]/$I$12</f>
        <v>5.6234431164798981E-2</v>
      </c>
      <c r="T3" s="1"/>
    </row>
    <row r="4" spans="1:22" x14ac:dyDescent="0.25">
      <c r="A4" t="s">
        <v>8</v>
      </c>
      <c r="B4" t="s">
        <v>13</v>
      </c>
      <c r="C4">
        <v>100</v>
      </c>
      <c r="D4" t="s">
        <v>14</v>
      </c>
      <c r="E4" s="1">
        <v>5</v>
      </c>
      <c r="F4" s="1">
        <v>28</v>
      </c>
      <c r="G4" s="1">
        <v>1</v>
      </c>
      <c r="H4" s="2">
        <v>346904</v>
      </c>
      <c r="I4" s="1">
        <f>internal_sales_data[[#This Row],[Volume 2022]]*internal_sales_data[[#This Row],[Net Price]]</f>
        <v>9713312</v>
      </c>
      <c r="J4" s="9">
        <f>internal_sales_data[[#This Row],[Net Price]]-internal_sales_data[[#This Row],[COGS]]</f>
        <v>27</v>
      </c>
      <c r="K4" s="9">
        <f>internal_sales_data[[#This Row],[Gross Profit Per Unit]]*internal_sales_data[[#This Row],[Volume 2022]]</f>
        <v>9366408</v>
      </c>
      <c r="L4" s="3">
        <f>(internal_sales_data[[#This Row],[Net Price]]-internal_sales_data[[#This Row],[COGS]])/internal_sales_data[[#This Row],[Net Price]]</f>
        <v>0.9642857142857143</v>
      </c>
      <c r="M4" s="3">
        <f>internal_sales_data[[#This Row],[Net Sales 2022]]/$I$12</f>
        <v>2.7147617295956387E-2</v>
      </c>
      <c r="T4" s="1"/>
      <c r="U4" s="1"/>
      <c r="V4" s="1"/>
    </row>
    <row r="5" spans="1:22" x14ac:dyDescent="0.25">
      <c r="A5" t="s">
        <v>8</v>
      </c>
      <c r="B5" t="s">
        <v>9</v>
      </c>
      <c r="C5">
        <v>150</v>
      </c>
      <c r="D5" t="s">
        <v>15</v>
      </c>
      <c r="E5" s="1">
        <v>7</v>
      </c>
      <c r="F5" s="1">
        <v>35</v>
      </c>
      <c r="G5" s="1">
        <v>12</v>
      </c>
      <c r="H5" s="2">
        <v>693809</v>
      </c>
      <c r="I5" s="1">
        <f>internal_sales_data[[#This Row],[Volume 2022]]*internal_sales_data[[#This Row],[Net Price]]</f>
        <v>24283315</v>
      </c>
      <c r="J5" s="9">
        <f>internal_sales_data[[#This Row],[Net Price]]-internal_sales_data[[#This Row],[COGS]]</f>
        <v>23</v>
      </c>
      <c r="K5" s="9">
        <f>internal_sales_data[[#This Row],[Gross Profit Per Unit]]*internal_sales_data[[#This Row],[Volume 2022]]</f>
        <v>15957607</v>
      </c>
      <c r="L5" s="3">
        <f>(internal_sales_data[[#This Row],[Net Price]]-internal_sales_data[[#This Row],[COGS]])/internal_sales_data[[#This Row],[Net Price]]</f>
        <v>0.65714285714285714</v>
      </c>
      <c r="M5" s="3">
        <f>internal_sales_data[[#This Row],[Net Sales 2022]]/$I$12</f>
        <v>6.7869141060964283E-2</v>
      </c>
      <c r="T5" s="1"/>
    </row>
    <row r="6" spans="1:22" x14ac:dyDescent="0.25">
      <c r="A6" t="s">
        <v>8</v>
      </c>
      <c r="B6" t="s">
        <v>13</v>
      </c>
      <c r="C6">
        <v>150</v>
      </c>
      <c r="D6" t="s">
        <v>16</v>
      </c>
      <c r="E6" s="1">
        <v>725</v>
      </c>
      <c r="F6" s="1">
        <v>37</v>
      </c>
      <c r="G6" s="1">
        <v>13</v>
      </c>
      <c r="H6" s="2">
        <v>231270</v>
      </c>
      <c r="I6" s="1">
        <f>internal_sales_data[[#This Row],[Volume 2022]]*internal_sales_data[[#This Row],[Net Price]]</f>
        <v>8556990</v>
      </c>
      <c r="J6" s="9">
        <f>internal_sales_data[[#This Row],[Net Price]]-internal_sales_data[[#This Row],[COGS]]</f>
        <v>24</v>
      </c>
      <c r="K6" s="9">
        <f>internal_sales_data[[#This Row],[Gross Profit Per Unit]]*internal_sales_data[[#This Row],[Volume 2022]]</f>
        <v>5550480</v>
      </c>
      <c r="L6" s="3">
        <f>(internal_sales_data[[#This Row],[Net Price]]-internal_sales_data[[#This Row],[COGS]])/internal_sales_data[[#This Row],[Net Price]]</f>
        <v>0.64864864864864868</v>
      </c>
      <c r="M6" s="3">
        <f>internal_sales_data[[#This Row],[Net Sales 2022]]/$I$12</f>
        <v>2.3915827034622777E-2</v>
      </c>
      <c r="T6" s="1"/>
    </row>
    <row r="7" spans="1:22" x14ac:dyDescent="0.25">
      <c r="A7" t="s">
        <v>8</v>
      </c>
      <c r="B7" t="s">
        <v>9</v>
      </c>
      <c r="C7">
        <v>200</v>
      </c>
      <c r="D7" t="s">
        <v>17</v>
      </c>
      <c r="E7" s="1">
        <v>9</v>
      </c>
      <c r="F7" s="1">
        <v>5</v>
      </c>
      <c r="G7" s="1">
        <v>15</v>
      </c>
      <c r="H7" s="2">
        <v>289087</v>
      </c>
      <c r="I7" s="1">
        <f>internal_sales_data[[#This Row],[Volume 2022]]*internal_sales_data[[#This Row],[Net Price]]</f>
        <v>1445435</v>
      </c>
      <c r="J7" s="9">
        <f>internal_sales_data[[#This Row],[Net Price]]-internal_sales_data[[#This Row],[COGS]]</f>
        <v>-10</v>
      </c>
      <c r="K7" s="9">
        <f>internal_sales_data[[#This Row],[Gross Profit Per Unit]]*internal_sales_data[[#This Row],[Volume 2022]]</f>
        <v>-2890870</v>
      </c>
      <c r="L7" s="3">
        <f>(internal_sales_data[[#This Row],[Net Price]]-internal_sales_data[[#This Row],[COGS]])/internal_sales_data[[#This Row],[Net Price]]</f>
        <v>-2</v>
      </c>
      <c r="M7" s="3">
        <f>internal_sales_data[[#This Row],[Net Sales 2022]]/$I$12</f>
        <v>4.0398286605208104E-3</v>
      </c>
      <c r="T7" s="1"/>
    </row>
    <row r="8" spans="1:22" x14ac:dyDescent="0.25">
      <c r="A8" t="s">
        <v>18</v>
      </c>
      <c r="B8" t="s">
        <v>19</v>
      </c>
      <c r="C8">
        <v>100</v>
      </c>
      <c r="D8" t="s">
        <v>20</v>
      </c>
      <c r="E8" s="1">
        <v>6</v>
      </c>
      <c r="F8" s="1">
        <v>35</v>
      </c>
      <c r="G8" s="1">
        <v>115</v>
      </c>
      <c r="H8" s="2">
        <v>1089532</v>
      </c>
      <c r="I8" s="1">
        <f>internal_sales_data[[#This Row],[Volume 2022]]*internal_sales_data[[#This Row],[Net Price]]</f>
        <v>38133620</v>
      </c>
      <c r="J8" s="9">
        <f>internal_sales_data[[#This Row],[Net Price]]-internal_sales_data[[#This Row],[COGS]]</f>
        <v>-80</v>
      </c>
      <c r="K8" s="9">
        <f>internal_sales_data[[#This Row],[Gross Profit Per Unit]]*internal_sales_data[[#This Row],[Volume 2022]]</f>
        <v>-87162560</v>
      </c>
      <c r="L8" s="3">
        <f>(internal_sales_data[[#This Row],[Net Price]]-internal_sales_data[[#This Row],[COGS]])/internal_sales_data[[#This Row],[Net Price]]</f>
        <v>-2.2857142857142856</v>
      </c>
      <c r="M8" s="3">
        <f>internal_sales_data[[#This Row],[Net Sales 2022]]/$I$12</f>
        <v>0.10657918965945172</v>
      </c>
      <c r="T8" s="1"/>
    </row>
    <row r="9" spans="1:22" x14ac:dyDescent="0.25">
      <c r="A9" t="s">
        <v>18</v>
      </c>
      <c r="B9" t="s">
        <v>19</v>
      </c>
      <c r="C9">
        <v>125</v>
      </c>
      <c r="D9" t="s">
        <v>21</v>
      </c>
      <c r="E9" s="1">
        <v>7</v>
      </c>
      <c r="F9" s="1">
        <v>425</v>
      </c>
      <c r="G9" s="1">
        <v>13</v>
      </c>
      <c r="H9" s="2">
        <v>466942</v>
      </c>
      <c r="I9" s="1">
        <f>internal_sales_data[[#This Row],[Volume 2022]]*internal_sales_data[[#This Row],[Net Price]]</f>
        <v>198450350</v>
      </c>
      <c r="J9" s="9">
        <f>internal_sales_data[[#This Row],[Net Price]]-internal_sales_data[[#This Row],[COGS]]</f>
        <v>412</v>
      </c>
      <c r="K9" s="9">
        <f>internal_sales_data[[#This Row],[Gross Profit Per Unit]]*internal_sales_data[[#This Row],[Volume 2022]]</f>
        <v>192380104</v>
      </c>
      <c r="L9" s="3">
        <f>(internal_sales_data[[#This Row],[Net Price]]-internal_sales_data[[#This Row],[COGS]])/internal_sales_data[[#This Row],[Net Price]]</f>
        <v>0.96941176470588231</v>
      </c>
      <c r="M9" s="3">
        <f>internal_sales_data[[#This Row],[Net Sales 2022]]/$I$12</f>
        <v>0.55464646395056583</v>
      </c>
      <c r="T9" s="1"/>
    </row>
    <row r="10" spans="1:22" x14ac:dyDescent="0.25">
      <c r="A10" t="s">
        <v>18</v>
      </c>
      <c r="B10" t="s">
        <v>19</v>
      </c>
      <c r="C10">
        <v>150</v>
      </c>
      <c r="D10" t="s">
        <v>22</v>
      </c>
      <c r="E10" s="1">
        <v>8</v>
      </c>
      <c r="F10" s="1">
        <v>51</v>
      </c>
      <c r="G10" s="1">
        <v>15</v>
      </c>
      <c r="H10" s="2">
        <v>389118</v>
      </c>
      <c r="I10" s="1">
        <f>internal_sales_data[[#This Row],[Volume 2022]]*internal_sales_data[[#This Row],[Net Price]]</f>
        <v>19845018</v>
      </c>
      <c r="J10" s="9">
        <f>internal_sales_data[[#This Row],[Net Price]]-internal_sales_data[[#This Row],[COGS]]</f>
        <v>36</v>
      </c>
      <c r="K10" s="9">
        <f>internal_sales_data[[#This Row],[Gross Profit Per Unit]]*internal_sales_data[[#This Row],[Volume 2022]]</f>
        <v>14008248</v>
      </c>
      <c r="L10" s="3">
        <f>(internal_sales_data[[#This Row],[Net Price]]-internal_sales_data[[#This Row],[COGS]])/internal_sales_data[[#This Row],[Net Price]]</f>
        <v>0.70588235294117652</v>
      </c>
      <c r="M10" s="3">
        <f>internal_sales_data[[#This Row],[Net Sales 2022]]/$I$12</f>
        <v>5.5464598881963825E-2</v>
      </c>
      <c r="T10" s="1"/>
    </row>
    <row r="11" spans="1:22" x14ac:dyDescent="0.25">
      <c r="A11" t="s">
        <v>18</v>
      </c>
      <c r="B11" t="s">
        <v>19</v>
      </c>
      <c r="C11">
        <v>200</v>
      </c>
      <c r="D11" t="s">
        <v>23</v>
      </c>
      <c r="E11" s="1">
        <v>10</v>
      </c>
      <c r="F11" s="1">
        <v>6</v>
      </c>
      <c r="G11" s="1">
        <v>17</v>
      </c>
      <c r="H11" s="2">
        <v>233471</v>
      </c>
      <c r="I11" s="1">
        <f>internal_sales_data[[#This Row],[Volume 2022]]*internal_sales_data[[#This Row],[Net Price]]</f>
        <v>1400826</v>
      </c>
      <c r="J11" s="9">
        <f>internal_sales_data[[#This Row],[Net Price]]-internal_sales_data[[#This Row],[COGS]]</f>
        <v>-11</v>
      </c>
      <c r="K11" s="9">
        <f>internal_sales_data[[#This Row],[Gross Profit Per Unit]]*internal_sales_data[[#This Row],[Volume 2022]]</f>
        <v>-2568181</v>
      </c>
      <c r="L11" s="3">
        <f>(internal_sales_data[[#This Row],[Net Price]]-internal_sales_data[[#This Row],[COGS]])/internal_sales_data[[#This Row],[Net Price]]</f>
        <v>-1.8333333333333333</v>
      </c>
      <c r="M11" s="3">
        <f>internal_sales_data[[#This Row],[Net Sales 2022]]/$I$12</f>
        <v>3.9151515102392878E-3</v>
      </c>
      <c r="T11" s="1"/>
    </row>
    <row r="12" spans="1:22" x14ac:dyDescent="0.25">
      <c r="A12" t="s">
        <v>24</v>
      </c>
      <c r="E12" s="1"/>
      <c r="F12" s="1"/>
      <c r="G12" s="1"/>
      <c r="H12" s="2">
        <f>SUBTOTAL(9,internal_sales_data[Volume 2022])</f>
        <v>5590290</v>
      </c>
      <c r="I12" s="1">
        <f>SUBTOTAL(9,internal_sales_data[Net Sales 2022])</f>
        <v>357796115</v>
      </c>
      <c r="J12" s="1"/>
      <c r="K12" s="1">
        <f>SUBTOTAL(9,internal_sales_data[Gross Profit Per Product])</f>
        <v>124289498</v>
      </c>
      <c r="L12" s="3">
        <f>SUBTOTAL(101,internal_sales_data[Gross Margin])</f>
        <v>-0.37398609309340192</v>
      </c>
    </row>
    <row r="13" spans="1:22" x14ac:dyDescent="0.25">
      <c r="H13" s="2"/>
      <c r="I13" s="2"/>
    </row>
    <row r="14" spans="1:22" x14ac:dyDescent="0.25">
      <c r="H14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0A5E-0B27-4FD4-B0DB-8B835C95C7B8}">
  <dimension ref="A1:M14"/>
  <sheetViews>
    <sheetView zoomScale="90" zoomScaleNormal="90" workbookViewId="0">
      <selection activeCell="A14" sqref="A14"/>
    </sheetView>
  </sheetViews>
  <sheetFormatPr defaultRowHeight="15" x14ac:dyDescent="0.25"/>
  <cols>
    <col min="2" max="2" width="10.7109375" bestFit="1" customWidth="1"/>
    <col min="3" max="3" width="15.5703125" bestFit="1" customWidth="1"/>
    <col min="4" max="4" width="24.5703125" bestFit="1" customWidth="1"/>
    <col min="5" max="5" width="13.28515625" bestFit="1" customWidth="1"/>
    <col min="6" max="6" width="11.42578125" bestFit="1" customWidth="1"/>
    <col min="8" max="8" width="14.7109375" bestFit="1" customWidth="1"/>
    <col min="9" max="9" width="16.140625" bestFit="1" customWidth="1"/>
    <col min="10" max="10" width="21.7109375" bestFit="1" customWidth="1"/>
    <col min="11" max="11" width="24.85546875" bestFit="1" customWidth="1"/>
    <col min="12" max="12" width="1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25</v>
      </c>
      <c r="J1" t="s">
        <v>27</v>
      </c>
      <c r="K1" t="s">
        <v>26</v>
      </c>
      <c r="L1" t="s">
        <v>29</v>
      </c>
      <c r="M1" t="s">
        <v>33</v>
      </c>
    </row>
    <row r="2" spans="1:13" x14ac:dyDescent="0.25">
      <c r="A2" t="s">
        <v>8</v>
      </c>
      <c r="B2" t="s">
        <v>9</v>
      </c>
      <c r="C2">
        <v>100</v>
      </c>
      <c r="D2" t="s">
        <v>10</v>
      </c>
      <c r="E2" s="1">
        <v>5</v>
      </c>
      <c r="F2" s="1">
        <v>31</v>
      </c>
      <c r="G2" s="1">
        <v>9</v>
      </c>
      <c r="H2" s="2">
        <v>1156348</v>
      </c>
      <c r="I2" s="1">
        <f>internal_sales_data3[[#This Row],[Volume 2022]]*internal_sales_data3[[#This Row],[Net Price]]</f>
        <v>35846788</v>
      </c>
      <c r="J2" s="1">
        <f>internal_sales_data3[[#This Row],[Net Price]]-internal_sales_data3[[#This Row],[COGS]]</f>
        <v>22</v>
      </c>
      <c r="K2" s="1">
        <f>internal_sales_data3[[#This Row],[Gross Profit Per Unit]]*internal_sales_data3[[#This Row],[Volume 2022]]</f>
        <v>25439656</v>
      </c>
      <c r="L2" s="3">
        <f>(internal_sales_data3[[#This Row],[Net Price]]-internal_sales_data3[[#This Row],[COGS]])/internal_sales_data3[[#This Row],[Net Price]]</f>
        <v>0.70967741935483875</v>
      </c>
      <c r="M2" s="8">
        <f t="shared" ref="M2:M11" si="0">$E2/$C2</f>
        <v>0.05</v>
      </c>
    </row>
    <row r="3" spans="1:13" x14ac:dyDescent="0.25">
      <c r="A3" t="s">
        <v>8</v>
      </c>
      <c r="B3" t="s">
        <v>11</v>
      </c>
      <c r="C3">
        <v>100</v>
      </c>
      <c r="D3" t="s">
        <v>12</v>
      </c>
      <c r="E3" s="1">
        <v>5</v>
      </c>
      <c r="F3" s="1">
        <v>29</v>
      </c>
      <c r="G3" s="1">
        <v>95</v>
      </c>
      <c r="H3" s="2">
        <v>693809</v>
      </c>
      <c r="I3" s="1">
        <f>internal_sales_data3[[#This Row],[Volume 2022]]*internal_sales_data3[[#This Row],[Net Price]]</f>
        <v>20120461</v>
      </c>
      <c r="J3" s="1">
        <f>internal_sales_data3[[#This Row],[Net Price]]-internal_sales_data3[[#This Row],[COGS]]</f>
        <v>-66</v>
      </c>
      <c r="K3" s="1">
        <f>internal_sales_data3[[#This Row],[Gross Profit Per Unit]]*internal_sales_data3[[#This Row],[Volume 2022]]</f>
        <v>-45791394</v>
      </c>
      <c r="L3" s="3">
        <f>(internal_sales_data3[[#This Row],[Net Price]]-internal_sales_data3[[#This Row],[COGS]])/internal_sales_data3[[#This Row],[Net Price]]</f>
        <v>-2.2758620689655173</v>
      </c>
      <c r="M3" s="8">
        <f t="shared" si="0"/>
        <v>0.05</v>
      </c>
    </row>
    <row r="4" spans="1:13" x14ac:dyDescent="0.25">
      <c r="A4" t="s">
        <v>8</v>
      </c>
      <c r="B4" t="s">
        <v>13</v>
      </c>
      <c r="C4">
        <v>100</v>
      </c>
      <c r="D4" t="s">
        <v>14</v>
      </c>
      <c r="E4" s="1">
        <v>5</v>
      </c>
      <c r="F4" s="1">
        <v>28</v>
      </c>
      <c r="G4" s="1">
        <v>1</v>
      </c>
      <c r="H4" s="2">
        <v>346904</v>
      </c>
      <c r="I4" s="1">
        <f>internal_sales_data3[[#This Row],[Volume 2022]]*internal_sales_data3[[#This Row],[Net Price]]</f>
        <v>9713312</v>
      </c>
      <c r="J4" s="1">
        <f>internal_sales_data3[[#This Row],[Net Price]]-internal_sales_data3[[#This Row],[COGS]]</f>
        <v>27</v>
      </c>
      <c r="K4" s="1">
        <f>internal_sales_data3[[#This Row],[Gross Profit Per Unit]]*internal_sales_data3[[#This Row],[Volume 2022]]</f>
        <v>9366408</v>
      </c>
      <c r="L4" s="3">
        <f>(internal_sales_data3[[#This Row],[Net Price]]-internal_sales_data3[[#This Row],[COGS]])/internal_sales_data3[[#This Row],[Net Price]]</f>
        <v>0.9642857142857143</v>
      </c>
      <c r="M4" s="8">
        <f t="shared" si="0"/>
        <v>0.05</v>
      </c>
    </row>
    <row r="5" spans="1:13" x14ac:dyDescent="0.25">
      <c r="A5" t="s">
        <v>8</v>
      </c>
      <c r="B5" t="s">
        <v>9</v>
      </c>
      <c r="C5">
        <v>150</v>
      </c>
      <c r="D5" t="s">
        <v>15</v>
      </c>
      <c r="E5" s="1">
        <v>7</v>
      </c>
      <c r="F5" s="1">
        <v>35</v>
      </c>
      <c r="G5" s="1">
        <v>12</v>
      </c>
      <c r="H5" s="2">
        <v>693809</v>
      </c>
      <c r="I5" s="1">
        <f>internal_sales_data3[[#This Row],[Volume 2022]]*internal_sales_data3[[#This Row],[Net Price]]</f>
        <v>24283315</v>
      </c>
      <c r="J5" s="1">
        <f>internal_sales_data3[[#This Row],[Net Price]]-internal_sales_data3[[#This Row],[COGS]]</f>
        <v>23</v>
      </c>
      <c r="K5" s="1">
        <f>internal_sales_data3[[#This Row],[Gross Profit Per Unit]]*internal_sales_data3[[#This Row],[Volume 2022]]</f>
        <v>15957607</v>
      </c>
      <c r="L5" s="3">
        <f>(internal_sales_data3[[#This Row],[Net Price]]-internal_sales_data3[[#This Row],[COGS]])/internal_sales_data3[[#This Row],[Net Price]]</f>
        <v>0.65714285714285714</v>
      </c>
      <c r="M5" s="8">
        <f t="shared" si="0"/>
        <v>4.6666666666666669E-2</v>
      </c>
    </row>
    <row r="6" spans="1:13" x14ac:dyDescent="0.25">
      <c r="A6" t="s">
        <v>8</v>
      </c>
      <c r="B6" t="s">
        <v>13</v>
      </c>
      <c r="C6">
        <v>150</v>
      </c>
      <c r="D6" t="s">
        <v>16</v>
      </c>
      <c r="E6" s="1">
        <v>725</v>
      </c>
      <c r="F6" s="1">
        <v>37</v>
      </c>
      <c r="G6" s="1">
        <v>13</v>
      </c>
      <c r="H6" s="2">
        <v>231270</v>
      </c>
      <c r="I6" s="1">
        <f>internal_sales_data3[[#This Row],[Volume 2022]]*internal_sales_data3[[#This Row],[Net Price]]</f>
        <v>8556990</v>
      </c>
      <c r="J6" s="1">
        <f>internal_sales_data3[[#This Row],[Net Price]]-internal_sales_data3[[#This Row],[COGS]]</f>
        <v>24</v>
      </c>
      <c r="K6" s="1">
        <f>internal_sales_data3[[#This Row],[Gross Profit Per Unit]]*internal_sales_data3[[#This Row],[Volume 2022]]</f>
        <v>5550480</v>
      </c>
      <c r="L6" s="3">
        <f>(internal_sales_data3[[#This Row],[Net Price]]-internal_sales_data3[[#This Row],[COGS]])/internal_sales_data3[[#This Row],[Net Price]]</f>
        <v>0.64864864864864868</v>
      </c>
      <c r="M6" s="8">
        <f t="shared" si="0"/>
        <v>4.833333333333333</v>
      </c>
    </row>
    <row r="7" spans="1:13" x14ac:dyDescent="0.25">
      <c r="A7" t="s">
        <v>8</v>
      </c>
      <c r="B7" t="s">
        <v>9</v>
      </c>
      <c r="C7">
        <v>200</v>
      </c>
      <c r="D7" t="s">
        <v>17</v>
      </c>
      <c r="E7" s="1">
        <v>9</v>
      </c>
      <c r="F7" s="1">
        <v>5</v>
      </c>
      <c r="G7" s="1">
        <v>15</v>
      </c>
      <c r="H7" s="2">
        <v>289087</v>
      </c>
      <c r="I7" s="1">
        <f>internal_sales_data3[[#This Row],[Volume 2022]]*internal_sales_data3[[#This Row],[Net Price]]</f>
        <v>1445435</v>
      </c>
      <c r="J7" s="1">
        <f>internal_sales_data3[[#This Row],[Net Price]]-internal_sales_data3[[#This Row],[COGS]]</f>
        <v>-10</v>
      </c>
      <c r="K7" s="1">
        <f>internal_sales_data3[[#This Row],[Gross Profit Per Unit]]*internal_sales_data3[[#This Row],[Volume 2022]]</f>
        <v>-2890870</v>
      </c>
      <c r="L7" s="3">
        <f>(internal_sales_data3[[#This Row],[Net Price]]-internal_sales_data3[[#This Row],[COGS]])/internal_sales_data3[[#This Row],[Net Price]]</f>
        <v>-2</v>
      </c>
      <c r="M7" s="8">
        <f t="shared" si="0"/>
        <v>4.4999999999999998E-2</v>
      </c>
    </row>
    <row r="8" spans="1:13" x14ac:dyDescent="0.25">
      <c r="A8" t="s">
        <v>18</v>
      </c>
      <c r="B8" t="s">
        <v>19</v>
      </c>
      <c r="C8">
        <v>100</v>
      </c>
      <c r="D8" t="s">
        <v>20</v>
      </c>
      <c r="E8" s="1">
        <v>6</v>
      </c>
      <c r="F8" s="1">
        <v>35</v>
      </c>
      <c r="G8" s="1">
        <v>115</v>
      </c>
      <c r="H8" s="2">
        <v>1089532</v>
      </c>
      <c r="I8" s="1">
        <f>internal_sales_data3[[#This Row],[Volume 2022]]*internal_sales_data3[[#This Row],[Net Price]]</f>
        <v>38133620</v>
      </c>
      <c r="J8" s="1">
        <f>internal_sales_data3[[#This Row],[Net Price]]-internal_sales_data3[[#This Row],[COGS]]</f>
        <v>-80</v>
      </c>
      <c r="K8" s="1">
        <f>internal_sales_data3[[#This Row],[Gross Profit Per Unit]]*internal_sales_data3[[#This Row],[Volume 2022]]</f>
        <v>-87162560</v>
      </c>
      <c r="L8" s="3">
        <f>(internal_sales_data3[[#This Row],[Net Price]]-internal_sales_data3[[#This Row],[COGS]])/internal_sales_data3[[#This Row],[Net Price]]</f>
        <v>-2.2857142857142856</v>
      </c>
      <c r="M8" s="8">
        <f t="shared" si="0"/>
        <v>0.06</v>
      </c>
    </row>
    <row r="9" spans="1:13" x14ac:dyDescent="0.25">
      <c r="A9" t="s">
        <v>18</v>
      </c>
      <c r="B9" t="s">
        <v>19</v>
      </c>
      <c r="C9">
        <v>125</v>
      </c>
      <c r="D9" t="s">
        <v>21</v>
      </c>
      <c r="E9" s="1">
        <v>7</v>
      </c>
      <c r="F9" s="1">
        <v>425</v>
      </c>
      <c r="G9" s="1">
        <v>13</v>
      </c>
      <c r="H9" s="2">
        <v>466942</v>
      </c>
      <c r="I9" s="1">
        <f>internal_sales_data3[[#This Row],[Volume 2022]]*internal_sales_data3[[#This Row],[Net Price]]</f>
        <v>198450350</v>
      </c>
      <c r="J9" s="1">
        <f>internal_sales_data3[[#This Row],[Net Price]]-internal_sales_data3[[#This Row],[COGS]]</f>
        <v>412</v>
      </c>
      <c r="K9" s="1">
        <f>internal_sales_data3[[#This Row],[Gross Profit Per Unit]]*internal_sales_data3[[#This Row],[Volume 2022]]</f>
        <v>192380104</v>
      </c>
      <c r="L9" s="3">
        <f>(internal_sales_data3[[#This Row],[Net Price]]-internal_sales_data3[[#This Row],[COGS]])/internal_sales_data3[[#This Row],[Net Price]]</f>
        <v>0.96941176470588231</v>
      </c>
      <c r="M9" s="8">
        <f t="shared" si="0"/>
        <v>5.6000000000000001E-2</v>
      </c>
    </row>
    <row r="10" spans="1:13" x14ac:dyDescent="0.25">
      <c r="A10" t="s">
        <v>18</v>
      </c>
      <c r="B10" t="s">
        <v>19</v>
      </c>
      <c r="C10">
        <v>150</v>
      </c>
      <c r="D10" t="s">
        <v>22</v>
      </c>
      <c r="E10" s="1">
        <v>8</v>
      </c>
      <c r="F10" s="1">
        <v>51</v>
      </c>
      <c r="G10" s="1">
        <v>15</v>
      </c>
      <c r="H10" s="2">
        <v>389118</v>
      </c>
      <c r="I10" s="1">
        <f>internal_sales_data3[[#This Row],[Volume 2022]]*internal_sales_data3[[#This Row],[Net Price]]</f>
        <v>19845018</v>
      </c>
      <c r="J10" s="1">
        <f>internal_sales_data3[[#This Row],[Net Price]]-internal_sales_data3[[#This Row],[COGS]]</f>
        <v>36</v>
      </c>
      <c r="K10" s="1">
        <f>internal_sales_data3[[#This Row],[Gross Profit Per Unit]]*internal_sales_data3[[#This Row],[Volume 2022]]</f>
        <v>14008248</v>
      </c>
      <c r="L10" s="3">
        <f>(internal_sales_data3[[#This Row],[Net Price]]-internal_sales_data3[[#This Row],[COGS]])/internal_sales_data3[[#This Row],[Net Price]]</f>
        <v>0.70588235294117652</v>
      </c>
      <c r="M10" s="8">
        <f t="shared" si="0"/>
        <v>5.3333333333333337E-2</v>
      </c>
    </row>
    <row r="11" spans="1:13" x14ac:dyDescent="0.25">
      <c r="A11" t="s">
        <v>18</v>
      </c>
      <c r="B11" t="s">
        <v>19</v>
      </c>
      <c r="C11">
        <v>200</v>
      </c>
      <c r="D11" t="s">
        <v>23</v>
      </c>
      <c r="E11" s="1">
        <v>10</v>
      </c>
      <c r="F11" s="1">
        <v>6</v>
      </c>
      <c r="G11" s="1">
        <v>17</v>
      </c>
      <c r="H11" s="2">
        <v>233471</v>
      </c>
      <c r="I11" s="1">
        <f>internal_sales_data3[[#This Row],[Volume 2022]]*internal_sales_data3[[#This Row],[Net Price]]</f>
        <v>1400826</v>
      </c>
      <c r="J11" s="1">
        <f>internal_sales_data3[[#This Row],[Net Price]]-internal_sales_data3[[#This Row],[COGS]]</f>
        <v>-11</v>
      </c>
      <c r="K11" s="1">
        <f>internal_sales_data3[[#This Row],[Gross Profit Per Unit]]*internal_sales_data3[[#This Row],[Volume 2022]]</f>
        <v>-2568181</v>
      </c>
      <c r="L11" s="3">
        <f>(internal_sales_data3[[#This Row],[Net Price]]-internal_sales_data3[[#This Row],[COGS]])/internal_sales_data3[[#This Row],[Net Price]]</f>
        <v>-1.8333333333333333</v>
      </c>
      <c r="M11" s="8">
        <f t="shared" si="0"/>
        <v>0.05</v>
      </c>
    </row>
    <row r="12" spans="1:13" x14ac:dyDescent="0.25">
      <c r="A12" t="s">
        <v>8</v>
      </c>
      <c r="B12" t="s">
        <v>9</v>
      </c>
      <c r="C12">
        <v>50</v>
      </c>
      <c r="D12" t="s">
        <v>34</v>
      </c>
      <c r="E12" s="1">
        <f>$M$2*1.5</f>
        <v>7.5000000000000011E-2</v>
      </c>
      <c r="F12" s="1">
        <v>2.2999999999999998</v>
      </c>
      <c r="G12" s="1">
        <v>0.7</v>
      </c>
      <c r="H12" s="2">
        <f>0.1*$H$2</f>
        <v>115634.8</v>
      </c>
      <c r="I12" s="1">
        <f>internal_sales_data3[[#This Row],[Volume 2022]]*internal_sales_data3[[#This Row],[Net Price]]</f>
        <v>265960.03999999998</v>
      </c>
      <c r="J12" s="1">
        <f>internal_sales_data3[[#This Row],[Net Price]]-internal_sales_data3[[#This Row],[COGS]]</f>
        <v>1.5999999999999999</v>
      </c>
      <c r="K12" s="1">
        <f>internal_sales_data3[[#This Row],[Gross Profit Per Unit]]*internal_sales_data3[[#This Row],[Volume 2022]]</f>
        <v>185015.67999999999</v>
      </c>
      <c r="L12" s="3">
        <f>(internal_sales_data3[[#This Row],[Net Price]]-internal_sales_data3[[#This Row],[COGS]])/internal_sales_data3[[#This Row],[Net Price]]</f>
        <v>0.69565217391304346</v>
      </c>
      <c r="M12" s="8">
        <f>$E12/$C12</f>
        <v>1.5000000000000002E-3</v>
      </c>
    </row>
    <row r="13" spans="1:13" x14ac:dyDescent="0.25">
      <c r="A13" t="s">
        <v>24</v>
      </c>
      <c r="I13" s="1">
        <f>SUBTOTAL(109,internal_sales_data3[Net Sales 2022])</f>
        <v>358062075.04000002</v>
      </c>
      <c r="M13" s="8"/>
    </row>
    <row r="14" spans="1:13" x14ac:dyDescent="0.25">
      <c r="H1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51B5-3E86-4564-B66C-56F767A8B9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A46B3-8E52-484C-A348-2A7E8D8AD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Profitability Matrix</vt:lpstr>
      <vt:lpstr>Internal Sales Data</vt:lpstr>
      <vt:lpstr>50ml Shampoo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Alholoul</dc:creator>
  <cp:lastModifiedBy>Hajar Alholoul</cp:lastModifiedBy>
  <dcterms:created xsi:type="dcterms:W3CDTF">2025-02-26T05:34:56Z</dcterms:created>
  <dcterms:modified xsi:type="dcterms:W3CDTF">2025-02-28T00:35:12Z</dcterms:modified>
</cp:coreProperties>
</file>