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2"/>
  </bookViews>
  <sheets>
    <sheet r:id="rId1" sheetId="1" name="Comments"/>
    <sheet r:id="rId2" sheetId="2" name="Langdon mod calcs of Hakai Data"/>
    <sheet r:id="rId3" sheetId="3" name="Recalculations"/>
  </sheets>
  <definedNames>
    <definedName name="titration_20211215193633" localSheetId="2">Recalculations!#REF!</definedName>
    <definedName name="titration_20211215221645" localSheetId="2">Recalculations!#REF!</definedName>
    <definedName name="titration_20220204210435" localSheetId="2">Recalculations!#REF!</definedName>
    <definedName name="titration_20220204210850" localSheetId="2">Recalculations!#REF!</definedName>
    <definedName name="titration_20220204211315" localSheetId="2">Recalculations!#REF!</definedName>
    <definedName name="titration_20220204211812" localSheetId="2">Recalculations!#REF!</definedName>
    <definedName name="titration_20220207202750" localSheetId="2">Recalculations!#REF!</definedName>
    <definedName name="titration_20220207203138" localSheetId="2">Recalculations!#REF!</definedName>
    <definedName name="titration_20220207203525" localSheetId="2">Recalculations!#REF!</definedName>
    <definedName name="titration_20220207203525_1" localSheetId="2">Recalculations!#REF!</definedName>
    <definedName name="titration_20220207203955" localSheetId="2">Recalculations!#REF!</definedName>
    <definedName name="titration_20220209190843" localSheetId="2">Recalculations!$A$17:$B$25</definedName>
    <definedName name="titration_20220209190843_1" localSheetId="2">Recalculations!$A$6:$B$14</definedName>
    <definedName name="titration_20220209190843_2" localSheetId="2">Recalculations!$A$29:$B$37</definedName>
    <definedName name="titration_20220209190843_3" localSheetId="2">Recalculations!$A$46:$B$54</definedName>
    <definedName name="titration_20220209190843_4" localSheetId="2">Recalculations!$A$59:$B$67</definedName>
    <definedName name="titration_20220209190843_5" localSheetId="2">Recalculations!$A$75:$B$83</definedName>
    <definedName name="titration_20220209190843_6" localSheetId="2">Recalculations!#REF!</definedName>
    <definedName name="titration_20220209191935" localSheetId="2">Recalculations!#REF!</definedName>
    <definedName name="titration_20220209200344" localSheetId="2">Recalculations!#REF!</definedName>
    <definedName name="titration_20220209210325" localSheetId="2">Recalculations!#REF!</definedName>
    <definedName name="titration_20220209211554" localSheetId="2">Recalculations!#REF!</definedName>
    <definedName name="titration_20220209223101" localSheetId="2">Recalculations!#REF!</definedName>
  </definedNames>
  <calcPr fullCalcOnLoad="1"/>
</workbook>
</file>

<file path=xl/sharedStrings.xml><?xml version="1.0" encoding="utf-8"?>
<sst xmlns="http://schemas.openxmlformats.org/spreadsheetml/2006/main" count="207" uniqueCount="126">
  <si>
    <t>R</t>
  </si>
  <si>
    <t>F</t>
  </si>
  <si>
    <t>TK0</t>
  </si>
  <si>
    <t>BotID</t>
  </si>
  <si>
    <t>Vbot</t>
  </si>
  <si>
    <t>A40</t>
  </si>
  <si>
    <t>uL</t>
  </si>
  <si>
    <t>mV</t>
  </si>
  <si>
    <t>T</t>
  </si>
  <si>
    <t>slope</t>
  </si>
  <si>
    <t>intercept</t>
  </si>
  <si>
    <t>y=0</t>
  </si>
  <si>
    <t>A05</t>
  </si>
  <si>
    <t>A30</t>
  </si>
  <si>
    <t>A07</t>
  </si>
  <si>
    <t>A08</t>
  </si>
  <si>
    <t>DI Blank</t>
  </si>
  <si>
    <t>SW Blank for calvert samples</t>
  </si>
  <si>
    <t>SW blank for Quadra samples while calvert trip underway</t>
  </si>
  <si>
    <t>Thio average</t>
  </si>
  <si>
    <t>Thisulfate used</t>
  </si>
  <si>
    <t>20210823-01</t>
  </si>
  <si>
    <t>Botid</t>
  </si>
  <si>
    <t>Sample/Standard ID</t>
  </si>
  <si>
    <t>Vbot [mL]</t>
  </si>
  <si>
    <t>tstart</t>
  </si>
  <si>
    <t>tend</t>
  </si>
  <si>
    <t>time for titration</t>
  </si>
  <si>
    <t>TKIO3 [deg C]</t>
  </si>
  <si>
    <t>Tthio ITS90 [deg C]</t>
  </si>
  <si>
    <t>Vend</t>
  </si>
  <si>
    <t>Comments</t>
  </si>
  <si>
    <t>blank [ul]</t>
  </si>
  <si>
    <t>use in blank calc?</t>
  </si>
  <si>
    <t>MKIO3 TL [M]</t>
  </si>
  <si>
    <t>VKIO3 @ TL [mL]</t>
  </si>
  <si>
    <t>rho_w @ Tl [kg/m^3]</t>
  </si>
  <si>
    <t>MolThio @ Tl [M]</t>
  </si>
  <si>
    <t>use in mol calc?</t>
  </si>
  <si>
    <t>Salinity [PSU]</t>
  </si>
  <si>
    <t>Sample T [deg C]</t>
  </si>
  <si>
    <t>Density Seawater (millero) [kg/m^3]</t>
  </si>
  <si>
    <t>nO2 [moles O2]</t>
  </si>
  <si>
    <t>m(sample) [kg]</t>
  </si>
  <si>
    <t>cO2 [uM/kg]</t>
  </si>
  <si>
    <t>cO2 [mL/L]</t>
  </si>
  <si>
    <t>MKO3@20C</t>
  </si>
  <si>
    <t>Vstd@20C</t>
  </si>
  <si>
    <t>Standard 1</t>
  </si>
  <si>
    <t>20220406-01</t>
  </si>
  <si>
    <t>Standard</t>
  </si>
  <si>
    <t>Can't use this section. May have had a bubble in thio</t>
  </si>
  <si>
    <t>SW blank for calvert samples and standards</t>
  </si>
  <si>
    <t>kio3 pump</t>
  </si>
  <si>
    <t>used sart pipette</t>
  </si>
  <si>
    <t>SW Blank for Quadra samples</t>
  </si>
  <si>
    <t>100-1000 sart</t>
  </si>
  <si>
    <t>Samples</t>
  </si>
  <si>
    <t>A01</t>
  </si>
  <si>
    <t>DOXY_00222</t>
  </si>
  <si>
    <t>Quadra samples</t>
  </si>
  <si>
    <t>A02</t>
  </si>
  <si>
    <t>DOXY_00223</t>
  </si>
  <si>
    <t>A03</t>
  </si>
  <si>
    <t>DOXY_00224</t>
  </si>
  <si>
    <t>A04</t>
  </si>
  <si>
    <t>DOXY_00225</t>
  </si>
  <si>
    <t>DOXY_00226</t>
  </si>
  <si>
    <t>A06</t>
  </si>
  <si>
    <t>DOXY_00227</t>
  </si>
  <si>
    <t>DOXY_00228</t>
  </si>
  <si>
    <t>A45</t>
  </si>
  <si>
    <t>DOXY_00230</t>
  </si>
  <si>
    <t>wrong bottle in titration file</t>
  </si>
  <si>
    <t>A34</t>
  </si>
  <si>
    <t>DOXY_00229</t>
  </si>
  <si>
    <t>A26</t>
  </si>
  <si>
    <t>DOXY_00231</t>
  </si>
  <si>
    <t>A27</t>
  </si>
  <si>
    <t>DOXY_00232</t>
  </si>
  <si>
    <t>A43</t>
  </si>
  <si>
    <t>DOXY_00233</t>
  </si>
  <si>
    <t>Standard 2</t>
  </si>
  <si>
    <t>y</t>
  </si>
  <si>
    <t>Probe T's</t>
  </si>
  <si>
    <t>assumed offset</t>
  </si>
  <si>
    <t>DOXY_00234</t>
  </si>
  <si>
    <t>Calvert samples</t>
  </si>
  <si>
    <t>DOXY_00235</t>
  </si>
  <si>
    <t>A09</t>
  </si>
  <si>
    <t>DOXY_00236</t>
  </si>
  <si>
    <t>A12</t>
  </si>
  <si>
    <t>DOXY_00237</t>
  </si>
  <si>
    <t>A13</t>
  </si>
  <si>
    <t>DOXY_00238</t>
  </si>
  <si>
    <t>A14</t>
  </si>
  <si>
    <t>DOXY_00239</t>
  </si>
  <si>
    <t>A15</t>
  </si>
  <si>
    <t>DOXY_00240</t>
  </si>
  <si>
    <t>A16</t>
  </si>
  <si>
    <t>DOXY_00241</t>
  </si>
  <si>
    <t>A17</t>
  </si>
  <si>
    <t>DOXY_00242</t>
  </si>
  <si>
    <t>A18</t>
  </si>
  <si>
    <t>DOXY_00243</t>
  </si>
  <si>
    <t>A19</t>
  </si>
  <si>
    <t>DOXY_00244</t>
  </si>
  <si>
    <t>A20</t>
  </si>
  <si>
    <t>DOXY_00245</t>
  </si>
  <si>
    <t>A21</t>
  </si>
  <si>
    <t>DOXY_00246</t>
  </si>
  <si>
    <t>A22</t>
  </si>
  <si>
    <t>DOXY_00247</t>
  </si>
  <si>
    <t>A46</t>
  </si>
  <si>
    <t>DOXY_00248</t>
  </si>
  <si>
    <t>A47</t>
  </si>
  <si>
    <t>DOXY_00249</t>
  </si>
  <si>
    <t>A48</t>
  </si>
  <si>
    <t>DOXY_00250</t>
  </si>
  <si>
    <t>A49</t>
  </si>
  <si>
    <t>DOXY_00251</t>
  </si>
  <si>
    <t>Average time of titration</t>
  </si>
  <si>
    <t>Analysis day length</t>
  </si>
  <si>
    <t># titrations</t>
  </si>
  <si>
    <t># samples</t>
  </si>
  <si>
    <t>Checked over all processing decisions, volumes, molarities etc to finalize values. Only need to assign Sample IDs to the samples once they've been generated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</si>
</sst>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5">
    <numFmt numFmtId="164" formatCode="#,##0.000000"/>
    <numFmt numFmtId="165" formatCode="#,##0.0"/>
    <numFmt numFmtId="166" formatCode="#,##0.00000"/>
    <numFmt numFmtId="167" formatCode="#,##0.000"/>
    <numFmt numFmtId="168" formatCode="#,##0.0000"/>
  </numFmts>
  <fonts count="3" x14ac:knownFonts="1">
    <font>
      <sz val="11"/>
      <color theme="1"/>
      <name val="Calibri"/>
      <family val="2"/>
      <scheme val="minor"/>
    </font>
    <font>
      <b/>
      <sz val="12"/>
      <color rgb="FF000000"/>
      <name val="Calibri"/>
      <family val="2"/>
    </font>
    <font>
      <sz val="11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d966"/>
      </patternFill>
    </fill>
    <fill>
      <patternFill patternType="solid">
        <fgColor rgb="FFc5e0b4"/>
      </patternFill>
    </fill>
    <fill>
      <patternFill patternType="solid">
        <fgColor rgb="FFffe699"/>
      </patternFill>
    </fill>
    <fill>
      <patternFill patternType="solid">
        <fgColor rgb="FFed7d31"/>
      </patternFill>
    </fill>
    <fill>
      <patternFill patternType="solid">
        <fgColor rgb="FFf8cbad"/>
      </patternFill>
    </fill>
    <fill>
      <patternFill patternType="solid">
        <fgColor rgb="FFbdd7ee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c6c6c6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117">
    <xf xfId="0" numFmtId="0" borderId="0" fontId="0" fillId="0"/>
    <xf xfId="0" numFmtId="3" applyNumberFormat="1" borderId="1" applyBorder="1" fontId="1" applyFont="1" fillId="0" applyAlignment="1">
      <alignment horizontal="left"/>
    </xf>
    <xf xfId="0" numFmtId="4" applyNumberFormat="1" borderId="1" applyBorder="1" fontId="2" applyFont="1" fillId="0" applyAlignment="1">
      <alignment horizontal="right"/>
    </xf>
    <xf xfId="0" numFmtId="4" applyNumberFormat="1" borderId="0" fontId="0" fillId="0" applyAlignment="1">
      <alignment horizontal="right"/>
    </xf>
    <xf xfId="0" numFmtId="164" applyNumberFormat="1" borderId="0" fontId="0" fillId="0" applyAlignment="1">
      <alignment horizontal="right"/>
    </xf>
    <xf xfId="0" numFmtId="164" applyNumberFormat="1" borderId="1" applyBorder="1" fontId="2" applyFont="1" fillId="0" applyAlignment="1">
      <alignment horizontal="right"/>
    </xf>
    <xf xfId="0" numFmtId="3" applyNumberFormat="1" borderId="0" fontId="0" fillId="0" applyAlignment="1">
      <alignment horizontal="right"/>
    </xf>
    <xf xfId="0" numFmtId="4" applyNumberFormat="1" borderId="1" applyBorder="1" fontId="1" applyFont="1" fillId="0" applyAlignment="1">
      <alignment horizontal="left"/>
    </xf>
    <xf xfId="0" numFmtId="3" applyNumberFormat="1" borderId="2" applyBorder="1" fontId="2" applyFont="1" fillId="0" applyAlignment="1">
      <alignment horizontal="left"/>
    </xf>
    <xf xfId="0" numFmtId="4" applyNumberFormat="1" borderId="2" applyBorder="1" fontId="2" applyFont="1" fillId="0" applyAlignment="1">
      <alignment horizontal="right"/>
    </xf>
    <xf xfId="0" numFmtId="3" applyNumberFormat="1" borderId="2" applyBorder="1" fontId="2" applyFont="1" fillId="0" applyAlignment="1">
      <alignment horizontal="right"/>
    </xf>
    <xf xfId="0" numFmtId="4" applyNumberFormat="1" borderId="2" applyBorder="1" fontId="2" applyFont="1" fillId="0" applyAlignment="1">
      <alignment horizontal="left"/>
    </xf>
    <xf xfId="0" numFmtId="3" applyNumberFormat="1" borderId="1" applyBorder="1" fontId="2" applyFont="1" fillId="0" applyAlignment="1">
      <alignment horizontal="right"/>
    </xf>
    <xf xfId="0" numFmtId="3" applyNumberFormat="1" borderId="0" fontId="0" fillId="0" applyAlignment="1">
      <alignment horizontal="right"/>
    </xf>
    <xf xfId="0" numFmtId="4" applyNumberFormat="1" borderId="0" fontId="0" fillId="0" applyAlignment="1">
      <alignment horizontal="right"/>
    </xf>
    <xf xfId="0" numFmtId="164" applyNumberFormat="1" borderId="0" fontId="0" fillId="0" applyAlignment="1">
      <alignment horizontal="right"/>
    </xf>
    <xf xfId="0" numFmtId="0" borderId="0" fontId="0" fillId="0" applyAlignment="1">
      <alignment horizontal="general"/>
    </xf>
    <xf xfId="0" numFmtId="4" applyNumberFormat="1" borderId="0" fontId="0" fillId="0" applyAlignment="1">
      <alignment horizontal="general"/>
    </xf>
    <xf xfId="0" numFmtId="21" applyNumberFormat="1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165" applyNumberFormat="1" borderId="0" fontId="0" fillId="0" applyAlignment="1">
      <alignment horizontal="general"/>
    </xf>
    <xf xfId="0" numFmtId="164" applyNumberFormat="1" borderId="0" fontId="0" fillId="0" applyAlignment="1">
      <alignment horizontal="general"/>
    </xf>
    <xf xfId="0" numFmtId="165" applyNumberFormat="1" borderId="1" applyBorder="1" fontId="2" applyFont="1" fillId="0" applyAlignment="1">
      <alignment horizontal="right"/>
    </xf>
    <xf xfId="0" numFmtId="166" applyNumberFormat="1" borderId="0" fontId="0" fillId="0" applyAlignment="1">
      <alignment horizontal="general"/>
    </xf>
    <xf xfId="0" numFmtId="167" applyNumberFormat="1" borderId="0" fontId="0" fillId="0" applyAlignment="1">
      <alignment horizontal="general"/>
    </xf>
    <xf xfId="0" numFmtId="167" applyNumberFormat="1" borderId="1" applyBorder="1" fontId="2" applyFont="1" fillId="0" applyAlignment="1">
      <alignment horizontal="right"/>
    </xf>
    <xf xfId="0" numFmtId="166" applyNumberFormat="1" borderId="1" applyBorder="1" fontId="2" applyFont="1" fillId="0" applyAlignment="1">
      <alignment horizontal="right"/>
    </xf>
    <xf xfId="0" numFmtId="21" applyNumberFormat="1" borderId="2" applyBorder="1" fontId="2" applyFont="1" fillId="0" applyAlignment="1">
      <alignment horizontal="left"/>
    </xf>
    <xf xfId="0" numFmtId="168" applyNumberFormat="1" borderId="1" applyBorder="1" fontId="2" applyFont="1" fillId="0" applyAlignment="1">
      <alignment horizontal="right"/>
    </xf>
    <xf xfId="0" numFmtId="4" applyNumberFormat="1" borderId="1" applyBorder="1" fontId="1" applyFont="1" fillId="0" applyAlignment="1">
      <alignment horizontal="right"/>
    </xf>
    <xf xfId="0" numFmtId="0" borderId="0" fontId="0" fillId="0" applyAlignment="1">
      <alignment wrapText="1"/>
    </xf>
    <xf xfId="0" numFmtId="0" borderId="1" applyBorder="1" fontId="2" applyFont="1" fillId="0" applyAlignment="1">
      <alignment horizontal="center" wrapText="1"/>
    </xf>
    <xf xfId="0" numFmtId="4" applyNumberFormat="1" borderId="1" applyBorder="1" fontId="2" applyFont="1" fillId="0" applyAlignment="1">
      <alignment horizontal="center" wrapText="1"/>
    </xf>
    <xf xfId="0" numFmtId="21" applyNumberFormat="1" borderId="1" applyBorder="1" fontId="2" applyFont="1" fillId="0" applyAlignment="1">
      <alignment horizontal="center" wrapText="1"/>
    </xf>
    <xf xfId="0" numFmtId="3" applyNumberFormat="1" borderId="1" applyBorder="1" fontId="2" applyFont="1" fillId="0" applyAlignment="1">
      <alignment horizontal="center" wrapText="1"/>
    </xf>
    <xf xfId="0" numFmtId="165" applyNumberFormat="1" borderId="1" applyBorder="1" fontId="2" applyFont="1" fillId="0" applyAlignment="1">
      <alignment horizontal="center" wrapText="1"/>
    </xf>
    <xf xfId="0" numFmtId="164" applyNumberFormat="1" borderId="1" applyBorder="1" fontId="2" applyFont="1" fillId="0" applyAlignment="1">
      <alignment horizontal="center" wrapText="1"/>
    </xf>
    <xf xfId="0" numFmtId="164" applyNumberFormat="1" borderId="1" applyBorder="1" fontId="2" applyFont="1" fillId="0" applyAlignment="1">
      <alignment horizontal="left" wrapText="1"/>
    </xf>
    <xf xfId="0" numFmtId="166" applyNumberFormat="1" borderId="1" applyBorder="1" fontId="2" applyFont="1" fillId="0" applyAlignment="1">
      <alignment horizontal="center" wrapText="1"/>
    </xf>
    <xf xfId="0" numFmtId="167" applyNumberFormat="1" borderId="1" applyBorder="1" fontId="2" applyFont="1" fillId="0" applyAlignment="1">
      <alignment horizontal="center" wrapText="1"/>
    </xf>
    <xf xfId="0" numFmtId="4" applyNumberFormat="1" borderId="3" applyBorder="1" fontId="1" applyFont="1" fillId="2" applyFill="1" applyAlignment="1">
      <alignment horizontal="center" wrapText="1"/>
    </xf>
    <xf xfId="0" numFmtId="167" applyNumberFormat="1" borderId="3" applyBorder="1" fontId="1" applyFont="1" fillId="2" applyFill="1" applyAlignment="1">
      <alignment horizontal="center" wrapText="1"/>
    </xf>
    <xf xfId="0" numFmtId="4" applyNumberFormat="1" borderId="0" fontId="0" fillId="0" applyAlignment="1">
      <alignment horizontal="general" wrapText="1"/>
    </xf>
    <xf xfId="0" numFmtId="167" applyNumberFormat="1" borderId="0" fontId="0" fillId="0" applyAlignment="1">
      <alignment horizontal="general" wrapText="1"/>
    </xf>
    <xf xfId="0" numFmtId="21" applyNumberFormat="1" borderId="1" applyBorder="1" fontId="1" applyFont="1" fillId="0" applyAlignment="1">
      <alignment horizontal="left"/>
    </xf>
    <xf xfId="0" numFmtId="0" borderId="1" applyBorder="1" fontId="1" applyFont="1" fillId="0" applyAlignment="1">
      <alignment horizontal="left"/>
    </xf>
    <xf xfId="0" numFmtId="0" borderId="2" applyBorder="1" fontId="2" applyFont="1" fillId="0" applyAlignment="1">
      <alignment horizontal="left"/>
    </xf>
    <xf xfId="0" numFmtId="168" applyNumberFormat="1" borderId="2" applyBorder="1" fontId="2" applyFont="1" fillId="0" applyAlignment="1">
      <alignment horizontal="right"/>
    </xf>
    <xf xfId="0" numFmtId="0" borderId="4" applyBorder="1" fontId="2" applyFont="1" fillId="3" applyFill="1" applyAlignment="1">
      <alignment horizontal="left"/>
    </xf>
    <xf xfId="0" numFmtId="168" applyNumberFormat="1" borderId="5" applyBorder="1" fontId="2" applyFont="1" fillId="3" applyFill="1" applyAlignment="1">
      <alignment horizontal="center"/>
    </xf>
    <xf xfId="0" numFmtId="4" applyNumberFormat="1" borderId="3" applyBorder="1" fontId="2" applyFont="1" fillId="3" applyFill="1" applyAlignment="1">
      <alignment horizontal="right"/>
    </xf>
    <xf xfId="0" numFmtId="21" applyNumberFormat="1" borderId="2" applyBorder="1" fontId="2" applyFont="1" fillId="3" applyFill="1" applyAlignment="1">
      <alignment horizontal="left"/>
    </xf>
    <xf xfId="0" numFmtId="165" applyNumberFormat="1" borderId="2" applyBorder="1" fontId="2" applyFont="1" fillId="3" applyFill="1" applyAlignment="1">
      <alignment horizontal="right"/>
    </xf>
    <xf xfId="0" numFmtId="4" applyNumberFormat="1" borderId="2" applyBorder="1" fontId="2" applyFont="1" fillId="3" applyFill="1" applyAlignment="1">
      <alignment horizontal="right"/>
    </xf>
    <xf xfId="0" numFmtId="0" borderId="3" applyBorder="1" fontId="2" applyFont="1" fillId="3" applyFill="1" applyAlignment="1">
      <alignment horizontal="center"/>
    </xf>
    <xf xfId="0" numFmtId="4" applyNumberFormat="1" borderId="3" applyBorder="1" fontId="2" applyFont="1" fillId="3" applyFill="1" applyAlignment="1">
      <alignment horizontal="center"/>
    </xf>
    <xf xfId="0" numFmtId="164" applyNumberFormat="1" borderId="3" applyBorder="1" fontId="2" applyFont="1" fillId="3" applyFill="1" applyAlignment="1">
      <alignment horizontal="center"/>
    </xf>
    <xf xfId="0" numFmtId="166" applyNumberFormat="1" borderId="3" applyBorder="1" fontId="2" applyFont="1" fillId="3" applyFill="1" applyAlignment="1">
      <alignment horizontal="right"/>
    </xf>
    <xf xfId="0" numFmtId="0" borderId="3" applyBorder="1" fontId="2" applyFont="1" fillId="3" applyFill="1" applyAlignment="1">
      <alignment horizontal="left"/>
    </xf>
    <xf xfId="0" numFmtId="0" borderId="5" applyBorder="1" fontId="2" applyFont="1" fillId="3" applyFill="1" applyAlignment="1">
      <alignment horizontal="left"/>
    </xf>
    <xf xfId="0" numFmtId="168" applyNumberFormat="1" borderId="3" applyBorder="1" fontId="2" applyFont="1" fillId="3" applyFill="1" applyAlignment="1">
      <alignment horizontal="center"/>
    </xf>
    <xf xfId="0" numFmtId="21" applyNumberFormat="1" borderId="3" applyBorder="1" fontId="2" applyFont="1" fillId="3" applyFill="1" applyAlignment="1">
      <alignment horizontal="left"/>
    </xf>
    <xf xfId="0" numFmtId="165" applyNumberFormat="1" borderId="3" applyBorder="1" fontId="2" applyFont="1" fillId="3" applyFill="1" applyAlignment="1">
      <alignment horizontal="right"/>
    </xf>
    <xf xfId="0" numFmtId="21" applyNumberFormat="1" borderId="1" applyBorder="1" fontId="2" applyFont="1" fillId="0" applyAlignment="1">
      <alignment horizontal="left"/>
    </xf>
    <xf xfId="0" numFmtId="168" applyNumberFormat="1" borderId="1" applyBorder="1" fontId="2" applyFont="1" fillId="0" applyAlignment="1">
      <alignment horizontal="center"/>
    </xf>
    <xf xfId="0" numFmtId="4" applyNumberFormat="1" borderId="1" applyBorder="1" fontId="2" applyFont="1" fillId="0" applyAlignment="1">
      <alignment horizontal="center"/>
    </xf>
    <xf xfId="0" numFmtId="164" applyNumberFormat="1" borderId="1" applyBorder="1" fontId="2" applyFont="1" fillId="0" applyAlignment="1">
      <alignment horizontal="center"/>
    </xf>
    <xf xfId="0" numFmtId="0" borderId="6" applyBorder="1" fontId="1" applyFont="1" fillId="0" applyAlignment="1">
      <alignment horizontal="left"/>
    </xf>
    <xf xfId="0" numFmtId="0" borderId="7" applyBorder="1" fontId="2" applyFont="1" fillId="0" applyAlignment="1">
      <alignment horizontal="left"/>
    </xf>
    <xf xfId="0" numFmtId="0" borderId="8" applyBorder="1" fontId="2" applyFont="1" fillId="4" applyFill="1" applyAlignment="1">
      <alignment horizontal="left"/>
    </xf>
    <xf xfId="0" numFmtId="0" borderId="3" applyBorder="1" fontId="2" applyFont="1" fillId="4" applyFill="1" applyAlignment="1">
      <alignment horizontal="left"/>
    </xf>
    <xf xfId="0" numFmtId="4" applyNumberFormat="1" borderId="3" applyBorder="1" fontId="2" applyFont="1" fillId="4" applyFill="1" applyAlignment="1">
      <alignment horizontal="right"/>
    </xf>
    <xf xfId="0" numFmtId="21" applyNumberFormat="1" borderId="2" applyBorder="1" fontId="2" applyFont="1" fillId="4" applyFill="1" applyAlignment="1">
      <alignment horizontal="left"/>
    </xf>
    <xf xfId="0" numFmtId="165" applyNumberFormat="1" borderId="2" applyBorder="1" fontId="2" applyFont="1" fillId="4" applyFill="1" applyAlignment="1">
      <alignment horizontal="right"/>
    </xf>
    <xf xfId="0" numFmtId="4" applyNumberFormat="1" borderId="2" applyBorder="1" fontId="2" applyFont="1" fillId="5" applyFill="1" applyAlignment="1">
      <alignment horizontal="right"/>
    </xf>
    <xf xfId="0" numFmtId="168" applyNumberFormat="1" borderId="3" applyBorder="1" fontId="2" applyFont="1" fillId="4" applyFill="1" applyAlignment="1">
      <alignment horizontal="center"/>
    </xf>
    <xf xfId="0" numFmtId="4" applyNumberFormat="1" borderId="3" applyBorder="1" fontId="2" applyFont="1" fillId="4" applyFill="1" applyAlignment="1">
      <alignment horizontal="center"/>
    </xf>
    <xf xfId="0" numFmtId="4" applyNumberFormat="1" borderId="2" applyBorder="1" fontId="2" applyFont="1" fillId="4" applyFill="1" applyAlignment="1">
      <alignment horizontal="right"/>
    </xf>
    <xf xfId="0" numFmtId="21" applyNumberFormat="1" borderId="3" applyBorder="1" fontId="2" applyFont="1" fillId="4" applyFill="1" applyAlignment="1">
      <alignment horizontal="left"/>
    </xf>
    <xf xfId="0" numFmtId="0" borderId="3" applyBorder="1" fontId="2" applyFont="1" fillId="4" applyFill="1" applyAlignment="1">
      <alignment horizontal="center"/>
    </xf>
    <xf xfId="0" numFmtId="0" borderId="9" applyBorder="1" fontId="1" applyFont="1" fillId="0" applyAlignment="1">
      <alignment horizontal="left"/>
    </xf>
    <xf xfId="0" numFmtId="0" borderId="2" applyBorder="1" fontId="2" applyFont="1" fillId="6" applyFill="1" applyAlignment="1">
      <alignment horizontal="left"/>
    </xf>
    <xf xfId="0" numFmtId="0" borderId="3" applyBorder="1" fontId="2" applyFont="1" fillId="6" applyFill="1" applyAlignment="1">
      <alignment horizontal="left"/>
    </xf>
    <xf xfId="0" numFmtId="4" applyNumberFormat="1" borderId="3" applyBorder="1" fontId="2" applyFont="1" fillId="6" applyFill="1" applyAlignment="1">
      <alignment horizontal="right"/>
    </xf>
    <xf xfId="0" numFmtId="21" applyNumberFormat="1" borderId="2" applyBorder="1" fontId="2" applyFont="1" fillId="6" applyFill="1" applyAlignment="1">
      <alignment horizontal="left"/>
    </xf>
    <xf xfId="0" numFmtId="165" applyNumberFormat="1" borderId="2" applyBorder="1" fontId="2" applyFont="1" fillId="6" applyFill="1" applyAlignment="1">
      <alignment horizontal="right"/>
    </xf>
    <xf xfId="0" numFmtId="4" applyNumberFormat="1" borderId="2" applyBorder="1" fontId="2" applyFont="1" fillId="6" applyFill="1" applyAlignment="1">
      <alignment horizontal="right"/>
    </xf>
    <xf xfId="0" numFmtId="168" applyNumberFormat="1" borderId="3" applyBorder="1" fontId="2" applyFont="1" fillId="6" applyFill="1" applyAlignment="1">
      <alignment horizontal="center"/>
    </xf>
    <xf xfId="0" numFmtId="4" applyNumberFormat="1" borderId="3" applyBorder="1" fontId="2" applyFont="1" fillId="6" applyFill="1" applyAlignment="1">
      <alignment horizontal="center"/>
    </xf>
    <xf xfId="0" numFmtId="167" applyNumberFormat="1" borderId="1" applyBorder="1" fontId="1" applyFont="1" fillId="0" applyAlignment="1">
      <alignment horizontal="right"/>
    </xf>
    <xf xfId="0" numFmtId="165" applyNumberFormat="1" borderId="2" applyBorder="1" fontId="2" applyFont="1" fillId="0" applyAlignment="1">
      <alignment horizontal="right"/>
    </xf>
    <xf xfId="0" numFmtId="0" borderId="1" applyBorder="1" fontId="2" applyFont="1" fillId="0" applyAlignment="1">
      <alignment horizontal="center"/>
    </xf>
    <xf xfId="0" numFmtId="4" applyNumberFormat="1" borderId="3" applyBorder="1" fontId="1" applyFont="1" fillId="2" applyFill="1" applyAlignment="1">
      <alignment horizontal="right"/>
    </xf>
    <xf xfId="0" numFmtId="167" applyNumberFormat="1" borderId="3" applyBorder="1" fontId="1" applyFont="1" fillId="2" applyFill="1" applyAlignment="1">
      <alignment horizontal="right"/>
    </xf>
    <xf xfId="0" numFmtId="0" borderId="10" applyBorder="1" fontId="2" applyFont="1" fillId="0" applyAlignment="1">
      <alignment horizontal="left"/>
    </xf>
    <xf xfId="0" numFmtId="0" borderId="2" applyBorder="1" fontId="2" applyFont="1" fillId="7" applyFill="1" applyAlignment="1">
      <alignment horizontal="left"/>
    </xf>
    <xf xfId="0" numFmtId="0" borderId="3" applyBorder="1" fontId="2" applyFont="1" fillId="7" applyFill="1" applyAlignment="1">
      <alignment horizontal="left"/>
    </xf>
    <xf xfId="0" numFmtId="4" applyNumberFormat="1" borderId="3" applyBorder="1" fontId="2" applyFont="1" fillId="7" applyFill="1" applyAlignment="1">
      <alignment horizontal="right"/>
    </xf>
    <xf xfId="0" numFmtId="21" applyNumberFormat="1" borderId="2" applyBorder="1" fontId="2" applyFont="1" fillId="7" applyFill="1" applyAlignment="1">
      <alignment horizontal="left"/>
    </xf>
    <xf xfId="0" numFmtId="165" applyNumberFormat="1" borderId="2" applyBorder="1" fontId="2" applyFont="1" fillId="7" applyFill="1" applyAlignment="1">
      <alignment horizontal="right"/>
    </xf>
    <xf xfId="0" numFmtId="4" applyNumberFormat="1" borderId="2" applyBorder="1" fontId="2" applyFont="1" fillId="7" applyFill="1" applyAlignment="1">
      <alignment horizontal="right"/>
    </xf>
    <xf xfId="0" numFmtId="168" applyNumberFormat="1" borderId="3" applyBorder="1" fontId="2" applyFont="1" fillId="7" applyFill="1" applyAlignment="1">
      <alignment horizontal="center"/>
    </xf>
    <xf xfId="0" numFmtId="4" applyNumberFormat="1" borderId="3" applyBorder="1" fontId="2" applyFont="1" fillId="7" applyFill="1" applyAlignment="1">
      <alignment horizontal="center"/>
    </xf>
    <xf xfId="0" numFmtId="164" applyNumberFormat="1" borderId="3" applyBorder="1" fontId="2" applyFont="1" fillId="7" applyFill="1" applyAlignment="1">
      <alignment horizontal="center"/>
    </xf>
    <xf xfId="0" numFmtId="166" applyNumberFormat="1" borderId="3" applyBorder="1" fontId="2" applyFont="1" fillId="7" applyFill="1" applyAlignment="1">
      <alignment horizontal="right"/>
    </xf>
    <xf xfId="0" numFmtId="21" applyNumberFormat="1" borderId="3" applyBorder="1" fontId="2" applyFont="1" fillId="7" applyFill="1" applyAlignment="1">
      <alignment horizontal="left"/>
    </xf>
    <xf xfId="0" numFmtId="165" applyNumberFormat="1" borderId="3" applyBorder="1" fontId="2" applyFont="1" fillId="7" applyFill="1" applyAlignment="1">
      <alignment horizontal="right"/>
    </xf>
    <xf xfId="0" numFmtId="0" borderId="0" fontId="0" fillId="0" applyAlignment="1">
      <alignment horizontal="general"/>
    </xf>
    <xf xfId="0" numFmtId="4" applyNumberFormat="1" borderId="0" fontId="0" fillId="0" applyAlignment="1">
      <alignment horizontal="general"/>
    </xf>
    <xf xfId="0" numFmtId="21" applyNumberFormat="1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165" applyNumberFormat="1" borderId="0" fontId="0" fillId="0" applyAlignment="1">
      <alignment horizontal="general"/>
    </xf>
    <xf xfId="0" numFmtId="164" applyNumberFormat="1" borderId="0" fontId="0" fillId="0" applyAlignment="1">
      <alignment horizontal="general"/>
    </xf>
    <xf xfId="0" numFmtId="166" applyNumberFormat="1" borderId="0" fontId="0" fillId="0" applyAlignment="1">
      <alignment horizontal="general"/>
    </xf>
    <xf xfId="0" numFmtId="167" applyNumberFormat="1" borderId="0" fontId="0" fillId="0" applyAlignment="1">
      <alignment horizontal="general"/>
    </xf>
    <xf xfId="0" numFmtId="14" applyNumberFormat="1" borderId="1" applyBorder="1" fontId="2" applyFont="1" fillId="0" applyAlignment="1">
      <alignment horizontal="left"/>
    </xf>
    <xf xfId="0" numFmtId="14" applyNumberFormat="1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sharedStrings.xml" Type="http://schemas.openxmlformats.org/officeDocument/2006/relationships/sharedStrings" Id="rId4"/><Relationship Target="styles.xml" Type="http://schemas.openxmlformats.org/officeDocument/2006/relationships/styles" Id="rId5"/><Relationship Target="theme/theme1.xml" Type="http://schemas.openxmlformats.org/officeDocument/2006/relationships/theme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1"/>
  <sheetViews>
    <sheetView workbookViewId="0"/>
  </sheetViews>
  <sheetFormatPr defaultRowHeight="15" x14ac:dyDescent="0.25"/>
  <cols>
    <col min="1" max="1" style="116" width="12.43357142857143" customWidth="1" bestFit="1"/>
    <col min="2" max="2" style="107" width="12.43357142857143" customWidth="1" bestFit="1"/>
  </cols>
  <sheetData>
    <row x14ac:dyDescent="0.25" r="1" customHeight="1" ht="17.25">
      <c r="A1" s="115">
        <v>44568</v>
      </c>
      <c r="B1" s="16" t="s">
        <v>125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C135"/>
  <sheetViews>
    <sheetView workbookViewId="0">
      <pane state="frozen" activePane="bottomLeft" topLeftCell="A8" ySplit="7" xSplit="0"/>
    </sheetView>
  </sheetViews>
  <sheetFormatPr defaultRowHeight="15" x14ac:dyDescent="0.25"/>
  <cols>
    <col min="1" max="1" style="107" width="10.862142857142858" customWidth="1" bestFit="1"/>
    <col min="2" max="2" style="107" width="17.005" customWidth="1" bestFit="1"/>
    <col min="3" max="3" style="108" width="17.14785714285714" customWidth="1" bestFit="1"/>
    <col min="4" max="4" style="109" width="15.576428571428572" customWidth="1" bestFit="1"/>
    <col min="5" max="5" style="109" width="22.14785714285714" customWidth="1" bestFit="1"/>
    <col min="6" max="6" style="110" width="16.719285714285714" customWidth="1" bestFit="1"/>
    <col min="7" max="7" style="111" width="10.862142857142858" customWidth="1" bestFit="1"/>
    <col min="8" max="8" style="111" width="10.862142857142858" customWidth="1" bestFit="1"/>
    <col min="9" max="9" style="108" width="10.862142857142858" customWidth="1" bestFit="1"/>
    <col min="10" max="10" style="107" width="10.862142857142858" customWidth="1" bestFit="1"/>
    <col min="11" max="11" style="108" width="10.862142857142858" customWidth="1" bestFit="1"/>
    <col min="12" max="12" style="107" width="10.862142857142858" customWidth="1" bestFit="1"/>
    <col min="13" max="13" style="112" width="10.862142857142858" customWidth="1" bestFit="1"/>
    <col min="14" max="14" style="108" width="10.862142857142858" customWidth="1" bestFit="1"/>
    <col min="15" max="15" style="112" width="10.862142857142858" customWidth="1" bestFit="1"/>
    <col min="16" max="16" style="113" width="9.719285714285713" customWidth="1" bestFit="1"/>
    <col min="17" max="17" style="107" width="12.147857142857141" customWidth="1" bestFit="1"/>
    <col min="18" max="18" style="111" width="10.862142857142858" customWidth="1" bestFit="1"/>
    <col min="19" max="19" style="111" width="10.862142857142858" customWidth="1" bestFit="1"/>
    <col min="20" max="20" style="114" width="12.147857142857141" customWidth="1" bestFit="1"/>
    <col min="21" max="21" style="112" width="10.862142857142858" customWidth="1" bestFit="1"/>
    <col min="22" max="22" style="112" width="11.147857142857141" customWidth="1" bestFit="1"/>
    <col min="23" max="23" style="108" width="10.862142857142858" customWidth="1" bestFit="1"/>
    <col min="24" max="24" style="114" width="10.862142857142858" customWidth="1" bestFit="1"/>
    <col min="25" max="25" style="108" width="10.862142857142858" customWidth="1" bestFit="1"/>
    <col min="26" max="26" style="108" width="10.862142857142858" customWidth="1" bestFit="1"/>
    <col min="27" max="27" style="114" width="10.862142857142858" customWidth="1" bestFit="1"/>
    <col min="28" max="28" style="108" width="10.862142857142858" customWidth="1" bestFit="1"/>
    <col min="29" max="29" style="114" width="10.862142857142858" customWidth="1" bestFit="1"/>
  </cols>
  <sheetData>
    <row x14ac:dyDescent="0.25" r="1" customHeight="1" ht="17.25">
      <c r="A1" s="16"/>
      <c r="B1" s="16"/>
      <c r="C1" s="17"/>
      <c r="D1" s="18"/>
      <c r="E1" s="18"/>
      <c r="F1" s="19"/>
      <c r="G1" s="20"/>
      <c r="H1" s="20"/>
      <c r="I1" s="17"/>
      <c r="J1" s="16"/>
      <c r="K1" s="17"/>
      <c r="L1" s="16"/>
      <c r="M1" s="21"/>
      <c r="N1" s="17"/>
      <c r="O1" s="22"/>
      <c r="P1" s="23"/>
      <c r="Q1" s="16"/>
      <c r="R1" s="20"/>
      <c r="S1" s="20"/>
      <c r="T1" s="24"/>
      <c r="U1" s="21"/>
      <c r="V1" s="21"/>
      <c r="W1" s="17"/>
      <c r="X1" s="24"/>
      <c r="Y1" s="17"/>
      <c r="Z1" s="17"/>
      <c r="AA1" s="24"/>
      <c r="AB1" s="17"/>
      <c r="AC1" s="24"/>
    </row>
    <row x14ac:dyDescent="0.25" r="2" customHeight="1" ht="17.25">
      <c r="A2" s="16"/>
      <c r="B2" s="16"/>
      <c r="C2" s="7" t="s">
        <v>16</v>
      </c>
      <c r="D2" s="2"/>
      <c r="E2" s="25"/>
      <c r="F2" s="19"/>
      <c r="G2" s="20"/>
      <c r="H2" s="20"/>
      <c r="I2" s="17"/>
      <c r="J2" s="16"/>
      <c r="K2" s="17"/>
      <c r="L2" s="16"/>
      <c r="M2" s="21"/>
      <c r="N2" s="17"/>
      <c r="O2" s="21"/>
      <c r="P2" s="23"/>
      <c r="Q2" s="16"/>
      <c r="R2" s="20"/>
      <c r="S2" s="20"/>
      <c r="T2" s="24"/>
      <c r="U2" s="21"/>
      <c r="V2" s="21"/>
      <c r="W2" s="17"/>
      <c r="X2" s="24"/>
      <c r="Y2" s="17"/>
      <c r="Z2" s="17"/>
      <c r="AA2" s="24"/>
      <c r="AB2" s="17"/>
      <c r="AC2" s="24"/>
    </row>
    <row x14ac:dyDescent="0.25" r="3" customHeight="1" ht="17.25">
      <c r="A3" s="16"/>
      <c r="B3" s="16"/>
      <c r="C3" s="7" t="s">
        <v>17</v>
      </c>
      <c r="D3" s="2">
        <f>AVERAGE(K21:K27)</f>
      </c>
      <c r="E3" s="25">
        <f>STDEV(K20:K26)</f>
      </c>
      <c r="F3" s="2">
        <f>E3/D3*100</f>
      </c>
      <c r="G3" s="20"/>
      <c r="H3" s="20"/>
      <c r="I3" s="17"/>
      <c r="J3" s="16"/>
      <c r="K3" s="17"/>
      <c r="L3" s="16"/>
      <c r="M3" s="21"/>
      <c r="N3" s="17"/>
      <c r="O3" s="21"/>
      <c r="P3" s="23"/>
      <c r="Q3" s="16"/>
      <c r="R3" s="20"/>
      <c r="S3" s="20"/>
      <c r="T3" s="24"/>
      <c r="U3" s="21"/>
      <c r="V3" s="21"/>
      <c r="W3" s="17"/>
      <c r="X3" s="24"/>
      <c r="Y3" s="17"/>
      <c r="Z3" s="17"/>
      <c r="AA3" s="24"/>
      <c r="AB3" s="17"/>
      <c r="AC3" s="24"/>
    </row>
    <row x14ac:dyDescent="0.25" r="4" customHeight="1" ht="17.25">
      <c r="A4" s="16"/>
      <c r="B4" s="16"/>
      <c r="C4" s="7" t="s">
        <v>18</v>
      </c>
      <c r="D4" s="2">
        <f>AVERAGE(K31:K35)</f>
      </c>
      <c r="E4" s="25">
        <f>STDEV(K31:K35)</f>
      </c>
      <c r="F4" s="2">
        <f>E4/D4*100</f>
      </c>
      <c r="G4" s="20"/>
      <c r="H4" s="20"/>
      <c r="I4" s="17"/>
      <c r="J4" s="16"/>
      <c r="K4" s="17"/>
      <c r="L4" s="16"/>
      <c r="M4" s="21"/>
      <c r="N4" s="17"/>
      <c r="O4" s="21"/>
      <c r="P4" s="23"/>
      <c r="Q4" s="16"/>
      <c r="R4" s="20"/>
      <c r="S4" s="20"/>
      <c r="T4" s="24"/>
      <c r="U4" s="21"/>
      <c r="V4" s="21"/>
      <c r="W4" s="17"/>
      <c r="X4" s="24"/>
      <c r="Y4" s="17"/>
      <c r="Z4" s="17"/>
      <c r="AA4" s="24"/>
      <c r="AB4" s="17"/>
      <c r="AC4" s="24"/>
    </row>
    <row x14ac:dyDescent="0.25" r="5" customHeight="1" ht="17.25">
      <c r="A5" s="16"/>
      <c r="B5" s="16"/>
      <c r="C5" s="7" t="s">
        <v>19</v>
      </c>
      <c r="D5" s="26">
        <f>AVERAGE(P54:P56)</f>
      </c>
      <c r="E5" s="26">
        <f>STDEV(P11:P12,P53:P55)</f>
      </c>
      <c r="F5" s="2">
        <f>E5/D5*100</f>
      </c>
      <c r="G5" s="20"/>
      <c r="H5" s="20"/>
      <c r="I5" s="17"/>
      <c r="J5" s="16"/>
      <c r="K5" s="17"/>
      <c r="L5" s="16"/>
      <c r="M5" s="21"/>
      <c r="N5" s="17"/>
      <c r="O5" s="21"/>
      <c r="P5" s="23"/>
      <c r="Q5" s="16"/>
      <c r="R5" s="20"/>
      <c r="S5" s="20"/>
      <c r="T5" s="24"/>
      <c r="U5" s="21"/>
      <c r="V5" s="21"/>
      <c r="W5" s="17"/>
      <c r="X5" s="24"/>
      <c r="Y5" s="17"/>
      <c r="Z5" s="17"/>
      <c r="AA5" s="24"/>
      <c r="AB5" s="17"/>
      <c r="AC5" s="24"/>
    </row>
    <row x14ac:dyDescent="0.25" r="6" customHeight="1" ht="17.25">
      <c r="A6" s="16"/>
      <c r="B6" s="16"/>
      <c r="C6" s="7" t="s">
        <v>20</v>
      </c>
      <c r="D6" s="27" t="s">
        <v>21</v>
      </c>
      <c r="E6" s="18"/>
      <c r="F6" s="19"/>
      <c r="G6" s="22"/>
      <c r="H6" s="22"/>
      <c r="I6" s="2"/>
      <c r="J6" s="16"/>
      <c r="K6" s="2"/>
      <c r="L6" s="2"/>
      <c r="M6" s="28"/>
      <c r="N6" s="17"/>
      <c r="O6" s="21"/>
      <c r="P6" s="26"/>
      <c r="Q6" s="16"/>
      <c r="R6" s="22"/>
      <c r="S6" s="22"/>
      <c r="T6" s="2"/>
      <c r="U6" s="5"/>
      <c r="V6" s="5"/>
      <c r="W6" s="29"/>
      <c r="X6" s="29"/>
      <c r="Y6" s="17"/>
      <c r="Z6" s="17"/>
      <c r="AA6" s="24"/>
      <c r="AB6" s="17"/>
      <c r="AC6" s="24"/>
    </row>
    <row x14ac:dyDescent="0.25" r="7" customHeight="1" ht="17.25" customFormat="1" s="30">
      <c r="A7" s="31" t="s">
        <v>22</v>
      </c>
      <c r="B7" s="31" t="s">
        <v>23</v>
      </c>
      <c r="C7" s="32" t="s">
        <v>24</v>
      </c>
      <c r="D7" s="33" t="s">
        <v>25</v>
      </c>
      <c r="E7" s="33" t="s">
        <v>26</v>
      </c>
      <c r="F7" s="34" t="s">
        <v>27</v>
      </c>
      <c r="G7" s="35" t="s">
        <v>28</v>
      </c>
      <c r="H7" s="35" t="s">
        <v>29</v>
      </c>
      <c r="I7" s="32" t="s">
        <v>30</v>
      </c>
      <c r="J7" s="31" t="s">
        <v>31</v>
      </c>
      <c r="K7" s="32" t="s">
        <v>32</v>
      </c>
      <c r="L7" s="31" t="s">
        <v>33</v>
      </c>
      <c r="M7" s="36" t="s">
        <v>34</v>
      </c>
      <c r="N7" s="32" t="s">
        <v>35</v>
      </c>
      <c r="O7" s="37" t="s">
        <v>36</v>
      </c>
      <c r="P7" s="38" t="s">
        <v>37</v>
      </c>
      <c r="Q7" s="31" t="s">
        <v>38</v>
      </c>
      <c r="R7" s="35" t="s">
        <v>39</v>
      </c>
      <c r="S7" s="35" t="s">
        <v>40</v>
      </c>
      <c r="T7" s="39" t="s">
        <v>41</v>
      </c>
      <c r="U7" s="36" t="s">
        <v>42</v>
      </c>
      <c r="V7" s="36" t="s">
        <v>43</v>
      </c>
      <c r="W7" s="40" t="s">
        <v>44</v>
      </c>
      <c r="X7" s="41" t="s">
        <v>45</v>
      </c>
      <c r="Y7" s="42"/>
      <c r="Z7" s="42"/>
      <c r="AA7" s="43"/>
      <c r="AB7" s="42"/>
      <c r="AC7" s="43"/>
    </row>
    <row x14ac:dyDescent="0.25" r="8" customHeight="1" ht="17.25">
      <c r="A8" s="16"/>
      <c r="B8" s="16"/>
      <c r="C8" s="7" t="s">
        <v>46</v>
      </c>
      <c r="D8" s="44" t="s">
        <v>47</v>
      </c>
      <c r="E8" s="18"/>
      <c r="F8" s="19"/>
      <c r="G8" s="22"/>
      <c r="H8" s="22"/>
      <c r="I8" s="2"/>
      <c r="J8" s="16"/>
      <c r="K8" s="2"/>
      <c r="L8" s="2"/>
      <c r="M8" s="21"/>
      <c r="N8" s="17"/>
      <c r="O8" s="21"/>
      <c r="P8" s="26"/>
      <c r="Q8" s="16"/>
      <c r="R8" s="22"/>
      <c r="S8" s="22"/>
      <c r="T8" s="2"/>
      <c r="U8" s="5"/>
      <c r="V8" s="5"/>
      <c r="W8" s="29"/>
      <c r="X8" s="29"/>
      <c r="Y8" s="17"/>
      <c r="Z8" s="17"/>
      <c r="AA8" s="24"/>
      <c r="AB8" s="17"/>
      <c r="AC8" s="24"/>
    </row>
    <row x14ac:dyDescent="0.25" r="9" customHeight="1" ht="17.25">
      <c r="A9" s="45" t="s">
        <v>48</v>
      </c>
      <c r="B9" s="46" t="s">
        <v>49</v>
      </c>
      <c r="C9" s="5">
        <f>LOOKUP(B9,'[1]working standards'!$A:$B)</f>
      </c>
      <c r="D9" s="47">
        <v>10.00325909737206</v>
      </c>
      <c r="E9" s="18"/>
      <c r="F9" s="19"/>
      <c r="G9" s="22"/>
      <c r="H9" s="22"/>
      <c r="I9" s="2"/>
      <c r="J9" s="16"/>
      <c r="K9" s="2"/>
      <c r="L9" s="2"/>
      <c r="M9" s="21"/>
      <c r="N9" s="17"/>
      <c r="O9" s="21"/>
      <c r="P9" s="26"/>
      <c r="Q9" s="16"/>
      <c r="R9" s="22"/>
      <c r="S9" s="22"/>
      <c r="T9" s="2"/>
      <c r="U9" s="5"/>
      <c r="V9" s="5"/>
      <c r="W9" s="29"/>
      <c r="X9" s="29"/>
      <c r="Y9" s="17"/>
      <c r="Z9" s="17"/>
      <c r="AA9" s="24"/>
      <c r="AB9" s="17"/>
      <c r="AC9" s="24"/>
    </row>
    <row x14ac:dyDescent="0.25" r="10" customHeight="1" ht="17.25">
      <c r="A10" s="48" t="s">
        <v>50</v>
      </c>
      <c r="B10" s="49"/>
      <c r="C10" s="50">
        <f>LOOKUP(A10,[2]Sheet1!$A$2:$B$69)</f>
      </c>
      <c r="D10" s="51">
        <v>1.662071759259259</v>
      </c>
      <c r="E10" s="51">
        <v>1.6691087962962963</v>
      </c>
      <c r="F10" s="51">
        <f>E10-D10</f>
        <v>25568.791666666668</v>
      </c>
      <c r="G10" s="52">
        <v>20.1</v>
      </c>
      <c r="H10" s="52">
        <v>19.9</v>
      </c>
      <c r="I10" s="53">
        <v>485.913272420693</v>
      </c>
      <c r="J10" s="54" t="s">
        <v>51</v>
      </c>
      <c r="K10" s="55"/>
      <c r="L10" s="55"/>
      <c r="M10" s="56">
        <f>$C$9*(O10/((999.84847+(6.337563*10^-2*20)-(8.523829*10^-3*20^2)+(6.943248*10^-5*20^3)-(3.821216*10^-7*20^4))/1000))</f>
      </c>
      <c r="N10" s="55">
        <f>$D$9*(1+([3]Sheet1!$C$5*(G10-20)))</f>
      </c>
      <c r="O10" s="56">
        <f>(999.84847+(6.337563*10^-2*G10)-(8.523829*10^-3*G10^2)+(6.943248*10^-5*G10^3)-(3.821216*10^-7*G10^4))/1000</f>
      </c>
      <c r="P10" s="57">
        <f>(6000*N10*M10)/(I10-$D$3)</f>
      </c>
      <c r="Q10" s="58"/>
      <c r="R10" s="22"/>
      <c r="S10" s="22"/>
      <c r="T10" s="2"/>
      <c r="U10" s="5"/>
      <c r="V10" s="5"/>
      <c r="W10" s="29"/>
      <c r="X10" s="29"/>
      <c r="Y10" s="28"/>
      <c r="Z10" s="17"/>
      <c r="AA10" s="24"/>
      <c r="AB10" s="17"/>
      <c r="AC10" s="24"/>
    </row>
    <row x14ac:dyDescent="0.25" r="11" customHeight="1" ht="17.25">
      <c r="A11" s="48" t="s">
        <v>50</v>
      </c>
      <c r="B11" s="59"/>
      <c r="C11" s="50">
        <f>LOOKUP(A11,[2]Sheet1!$A$2:$B$69)</f>
      </c>
      <c r="D11" s="51">
        <v>1.6706018518518517</v>
      </c>
      <c r="E11" s="51">
        <v>1.6758217592592592</v>
      </c>
      <c r="F11" s="51">
        <f>E11-D11</f>
        <v>25568.791666666668</v>
      </c>
      <c r="G11" s="52">
        <v>20.1</v>
      </c>
      <c r="H11" s="52">
        <v>19.9</v>
      </c>
      <c r="I11" s="53">
        <v>485.363620523375</v>
      </c>
      <c r="J11" s="60"/>
      <c r="K11" s="55"/>
      <c r="L11" s="55"/>
      <c r="M11" s="56">
        <f>$C$9*(O11/((999.84847+(6.337563*10^-2*20)-(8.523829*10^-3*20^2)+(6.943248*10^-5*20^3)-(3.821216*10^-7*20^4))/1000))</f>
      </c>
      <c r="N11" s="55">
        <f>$D$9*(1+([3]Sheet1!$C$5*(G11-20)))</f>
      </c>
      <c r="O11" s="56">
        <f>(999.84847+(6.337563*10^-2*G11)-(8.523829*10^-3*G11^2)+(6.943248*10^-5*G11^3)-(3.821216*10^-7*G11^4))/1000</f>
      </c>
      <c r="P11" s="57">
        <f>(6000*N11*M11)/(I11-$D$3)</f>
      </c>
      <c r="Q11" s="58"/>
      <c r="R11" s="22"/>
      <c r="S11" s="22"/>
      <c r="T11" s="2"/>
      <c r="U11" s="5"/>
      <c r="V11" s="5"/>
      <c r="W11" s="29"/>
      <c r="X11" s="29"/>
      <c r="Y11" s="17"/>
      <c r="Z11" s="17"/>
      <c r="AA11" s="24"/>
      <c r="AB11" s="17"/>
      <c r="AC11" s="24"/>
    </row>
    <row x14ac:dyDescent="0.25" r="12" customHeight="1" ht="17.25">
      <c r="A12" s="48" t="s">
        <v>50</v>
      </c>
      <c r="B12" s="59"/>
      <c r="C12" s="50">
        <f>LOOKUP(A12,[2]Sheet1!$A$2:$B$69)</f>
      </c>
      <c r="D12" s="51">
        <v>1.6770486111111111</v>
      </c>
      <c r="E12" s="51">
        <v>1.680925925925926</v>
      </c>
      <c r="F12" s="51">
        <f>E12-D12</f>
        <v>25568.791666666668</v>
      </c>
      <c r="G12" s="52">
        <v>20.1</v>
      </c>
      <c r="H12" s="52">
        <v>19.9</v>
      </c>
      <c r="I12" s="53">
        <v>485.617267315824</v>
      </c>
      <c r="J12" s="60"/>
      <c r="K12" s="55"/>
      <c r="L12" s="55"/>
      <c r="M12" s="56">
        <f>$C$9*(O12/((999.84847+(6.337563*10^-2*20)-(8.523829*10^-3*20^2)+(6.943248*10^-5*20^3)-(3.821216*10^-7*20^4))/1000))</f>
      </c>
      <c r="N12" s="55">
        <f>$D$9*(1+([3]Sheet1!$C$5*(G12-20)))</f>
      </c>
      <c r="O12" s="56">
        <f>(999.84847+(6.337563*10^-2*G12)-(8.523829*10^-3*G12^2)+(6.943248*10^-5*G12^3)-(3.821216*10^-7*G12^4))/1000</f>
      </c>
      <c r="P12" s="57">
        <f>(6000*N12*M12)/(I12-$D$3)</f>
      </c>
      <c r="Q12" s="58"/>
      <c r="R12" s="22"/>
      <c r="S12" s="22"/>
      <c r="T12" s="2"/>
      <c r="U12" s="5"/>
      <c r="V12" s="5"/>
      <c r="W12" s="29"/>
      <c r="X12" s="29"/>
      <c r="Y12" s="17"/>
      <c r="Z12" s="17"/>
      <c r="AA12" s="24"/>
      <c r="AB12" s="17"/>
      <c r="AC12" s="24"/>
    </row>
    <row x14ac:dyDescent="0.25" r="13" customHeight="1" ht="17.25">
      <c r="A13" s="58" t="s">
        <v>50</v>
      </c>
      <c r="B13" s="58"/>
      <c r="C13" s="50">
        <f>LOOKUP(A13,[2]Sheet1!$A$2:$B$69)</f>
      </c>
      <c r="D13" s="61">
        <v>1.7665509259259258</v>
      </c>
      <c r="E13" s="61">
        <v>1.7716666666666665</v>
      </c>
      <c r="F13" s="51">
        <f>E13-D13</f>
        <v>25568.791666666668</v>
      </c>
      <c r="G13" s="52">
        <v>20.1</v>
      </c>
      <c r="H13" s="52">
        <v>20.1</v>
      </c>
      <c r="I13" s="50">
        <v>485.598403227799</v>
      </c>
      <c r="J13" s="60"/>
      <c r="K13" s="55"/>
      <c r="L13" s="55"/>
      <c r="M13" s="56">
        <f>$C$9*(O13/((999.84847+(6.337563*10^-2*20)-(8.523829*10^-3*20^2)+(6.943248*10^-5*20^3)-(3.821216*10^-7*20^4))/1000))</f>
      </c>
      <c r="N13" s="55">
        <f>$D$9*(1+([3]Sheet1!$C$5*(G13-20)))</f>
      </c>
      <c r="O13" s="56">
        <f>(999.84847+(6.337563*10^-2*G13)-(8.523829*10^-3*G13^2)+(6.943248*10^-5*G13^3)-(3.821216*10^-7*G13^4))/1000</f>
      </c>
      <c r="P13" s="57">
        <f>(6000*N13*M13)/(I13-$D$3)</f>
      </c>
      <c r="Q13" s="58"/>
      <c r="R13" s="22"/>
      <c r="S13" s="22"/>
      <c r="T13" s="2"/>
      <c r="U13" s="5"/>
      <c r="V13" s="5"/>
      <c r="W13" s="29"/>
      <c r="X13" s="29"/>
      <c r="Y13" s="17"/>
      <c r="Z13" s="17"/>
      <c r="AA13" s="24"/>
      <c r="AB13" s="17"/>
      <c r="AC13" s="24"/>
    </row>
    <row x14ac:dyDescent="0.25" r="14" customHeight="1" ht="17.25">
      <c r="A14" s="58" t="s">
        <v>50</v>
      </c>
      <c r="B14" s="58"/>
      <c r="C14" s="50">
        <f>LOOKUP(A14,[2]Sheet1!$A$2:$B$69)</f>
      </c>
      <c r="D14" s="61">
        <v>1.7734375</v>
      </c>
      <c r="E14" s="61">
        <v>1.7774421296296297</v>
      </c>
      <c r="F14" s="51">
        <f>E14-D14</f>
        <v>25568.791666666668</v>
      </c>
      <c r="G14" s="52">
        <v>20.1</v>
      </c>
      <c r="H14" s="52">
        <v>20.1</v>
      </c>
      <c r="I14" s="50">
        <v>486.045057998035</v>
      </c>
      <c r="J14" s="60"/>
      <c r="K14" s="55"/>
      <c r="L14" s="55"/>
      <c r="M14" s="56">
        <f>$C$9*(O14/((999.84847+(6.337563*10^-2*20)-(8.523829*10^-3*20^2)+(6.943248*10^-5*20^3)-(3.821216*10^-7*20^4))/1000))</f>
      </c>
      <c r="N14" s="55">
        <f>$D$9*(1+([3]Sheet1!$C$5*(G14-20)))</f>
      </c>
      <c r="O14" s="56">
        <f>(999.84847+(6.337563*10^-2*G14)-(8.523829*10^-3*G14^2)+(6.943248*10^-5*G14^3)-(3.821216*10^-7*G14^4))/1000</f>
      </c>
      <c r="P14" s="57">
        <f>(6000*N14*M14)/(I14-$D$3)</f>
      </c>
      <c r="Q14" s="58"/>
      <c r="R14" s="22"/>
      <c r="S14" s="22"/>
      <c r="T14" s="2"/>
      <c r="U14" s="5"/>
      <c r="V14" s="5"/>
      <c r="W14" s="29"/>
      <c r="X14" s="29"/>
      <c r="Y14" s="17"/>
      <c r="Z14" s="17"/>
      <c r="AA14" s="24"/>
      <c r="AB14" s="17"/>
      <c r="AC14" s="24"/>
    </row>
    <row x14ac:dyDescent="0.25" r="15" customHeight="1" ht="17.25">
      <c r="A15" s="58"/>
      <c r="B15" s="58"/>
      <c r="C15" s="50"/>
      <c r="D15" s="61"/>
      <c r="E15" s="61"/>
      <c r="F15" s="61"/>
      <c r="G15" s="62"/>
      <c r="H15" s="62"/>
      <c r="I15" s="50"/>
      <c r="J15" s="60"/>
      <c r="K15" s="55"/>
      <c r="L15" s="55"/>
      <c r="M15" s="56"/>
      <c r="N15" s="55"/>
      <c r="O15" s="56"/>
      <c r="P15" s="57"/>
      <c r="Q15" s="58"/>
      <c r="R15" s="22"/>
      <c r="S15" s="22"/>
      <c r="T15" s="2"/>
      <c r="U15" s="5"/>
      <c r="V15" s="5"/>
      <c r="W15" s="29"/>
      <c r="X15" s="29"/>
      <c r="Y15" s="17"/>
      <c r="Z15" s="17"/>
      <c r="AA15" s="24"/>
      <c r="AB15" s="17"/>
      <c r="AC15" s="24"/>
    </row>
    <row x14ac:dyDescent="0.25" r="16" customHeight="1" ht="17.25">
      <c r="A16" s="58"/>
      <c r="B16" s="58"/>
      <c r="C16" s="50"/>
      <c r="D16" s="61"/>
      <c r="E16" s="61"/>
      <c r="F16" s="61"/>
      <c r="G16" s="62">
        <f>AVERAGE(G10:G12)</f>
      </c>
      <c r="H16" s="62">
        <f>AVERAGE(H10:H12)</f>
      </c>
      <c r="I16" s="50">
        <f>AVERAGE(I10:I14)</f>
      </c>
      <c r="J16" s="60"/>
      <c r="K16" s="55"/>
      <c r="L16" s="55"/>
      <c r="M16" s="56">
        <f>$C$9*(O16/((999.84847+(6.337563*10^-2*20)-(8.523829*10^-3*20^2)+(6.943248*10^-5*20^3)-(3.821216*10^-7*20^4))/1000))</f>
      </c>
      <c r="N16" s="55">
        <f>$D$9*(1+([3]Sheet1!$C$5*(G16-20)))</f>
      </c>
      <c r="O16" s="56">
        <f>(999.84847+(6.337563*10^-2*G16)-(8.523829*10^-3*G16^2)+(6.943248*10^-5*G16^3)-(3.821216*10^-7*G16^4))/1000</f>
      </c>
      <c r="P16" s="57">
        <f>(6000*N16*M16)/(I16-$D$3)</f>
      </c>
      <c r="Q16" s="58"/>
      <c r="R16" s="22"/>
      <c r="S16" s="22"/>
      <c r="T16" s="2"/>
      <c r="U16" s="5"/>
      <c r="V16" s="5"/>
      <c r="W16" s="29"/>
      <c r="X16" s="29"/>
      <c r="Y16" s="17"/>
      <c r="Z16" s="17"/>
      <c r="AA16" s="24"/>
      <c r="AB16" s="17"/>
      <c r="AC16" s="24"/>
    </row>
    <row x14ac:dyDescent="0.25" r="17" customHeight="1" ht="17.25">
      <c r="A17" s="16"/>
      <c r="B17" s="16"/>
      <c r="C17" s="7" t="s">
        <v>46</v>
      </c>
      <c r="D17" s="44" t="s">
        <v>47</v>
      </c>
      <c r="E17" s="63"/>
      <c r="F17" s="63"/>
      <c r="G17" s="22"/>
      <c r="H17" s="22"/>
      <c r="I17" s="2"/>
      <c r="J17" s="64"/>
      <c r="K17" s="65"/>
      <c r="L17" s="65"/>
      <c r="M17" s="66"/>
      <c r="N17" s="65"/>
      <c r="O17" s="66"/>
      <c r="P17" s="26"/>
      <c r="Q17" s="16"/>
      <c r="R17" s="22"/>
      <c r="S17" s="22"/>
      <c r="T17" s="2"/>
      <c r="U17" s="5"/>
      <c r="V17" s="5"/>
      <c r="W17" s="29"/>
      <c r="X17" s="29"/>
      <c r="Y17" s="17"/>
      <c r="Z17" s="17"/>
      <c r="AA17" s="24"/>
      <c r="AB17" s="17"/>
      <c r="AC17" s="24"/>
    </row>
    <row x14ac:dyDescent="0.25" r="18" customHeight="1" ht="17.25">
      <c r="A18" s="67" t="s">
        <v>52</v>
      </c>
      <c r="B18" s="68" t="s">
        <v>49</v>
      </c>
      <c r="C18" s="5">
        <f>LOOKUP(B18,'[1]working standards'!$A:$B)</f>
      </c>
      <c r="D18" s="47">
        <v>1</v>
      </c>
      <c r="E18" s="63" t="s">
        <v>53</v>
      </c>
      <c r="F18" s="63"/>
      <c r="G18" s="22"/>
      <c r="H18" s="22"/>
      <c r="I18" s="2"/>
      <c r="J18" s="64"/>
      <c r="K18" s="65"/>
      <c r="L18" s="65"/>
      <c r="M18" s="66"/>
      <c r="N18" s="65"/>
      <c r="O18" s="66"/>
      <c r="P18" s="26"/>
      <c r="Q18" s="16"/>
      <c r="R18" s="22"/>
      <c r="S18" s="22"/>
      <c r="T18" s="2"/>
      <c r="U18" s="5"/>
      <c r="V18" s="5"/>
      <c r="W18" s="29"/>
      <c r="X18" s="29"/>
      <c r="Y18" s="17"/>
      <c r="Z18" s="17"/>
      <c r="AA18" s="24"/>
      <c r="AB18" s="17"/>
      <c r="AC18" s="24"/>
    </row>
    <row x14ac:dyDescent="0.25" r="19" customHeight="1" ht="17.25">
      <c r="A19" s="69" t="s">
        <v>50</v>
      </c>
      <c r="B19" s="70"/>
      <c r="C19" s="71">
        <f>LOOKUP(A19,[2]Sheet1!$A$2:$B$69)</f>
      </c>
      <c r="D19" s="72">
        <v>1.69375</v>
      </c>
      <c r="E19" s="72">
        <v>1.6961342592592592</v>
      </c>
      <c r="F19" s="72">
        <f>E19-D19</f>
        <v>25568.791666666668</v>
      </c>
      <c r="G19" s="73">
        <v>20.1</v>
      </c>
      <c r="H19" s="73">
        <v>20</v>
      </c>
      <c r="I19" s="74">
        <v>48.59331558107474</v>
      </c>
      <c r="J19" s="75"/>
      <c r="K19" s="76">
        <f>I19-I20</f>
      </c>
      <c r="L19" s="76"/>
      <c r="M19" s="66"/>
      <c r="N19" s="65"/>
      <c r="O19" s="66"/>
      <c r="P19" s="26"/>
      <c r="Q19" s="16"/>
      <c r="R19" s="22"/>
      <c r="S19" s="22"/>
      <c r="T19" s="2"/>
      <c r="U19" s="5"/>
      <c r="V19" s="5"/>
      <c r="W19" s="29"/>
      <c r="X19" s="29"/>
      <c r="Y19" s="17"/>
      <c r="Z19" s="17"/>
      <c r="AA19" s="24"/>
      <c r="AB19" s="17"/>
      <c r="AC19" s="24"/>
    </row>
    <row x14ac:dyDescent="0.25" r="20" customHeight="1" ht="17.25">
      <c r="A20" s="69" t="s">
        <v>50</v>
      </c>
      <c r="B20" s="70"/>
      <c r="C20" s="71">
        <f>LOOKUP(A20,[2]Sheet1!$A$2:$B$69)</f>
      </c>
      <c r="D20" s="72">
        <v>1.6970486111111112</v>
      </c>
      <c r="E20" s="72">
        <v>1.7008449074074075</v>
      </c>
      <c r="F20" s="72">
        <f>E20-D20</f>
        <v>25568.791666666668</v>
      </c>
      <c r="G20" s="73">
        <v>20.1</v>
      </c>
      <c r="H20" s="73">
        <v>20</v>
      </c>
      <c r="I20" s="74">
        <v>47.956852490044106</v>
      </c>
      <c r="J20" s="75"/>
      <c r="K20" s="76"/>
      <c r="L20" s="76"/>
      <c r="M20" s="66"/>
      <c r="N20" s="65"/>
      <c r="O20" s="66"/>
      <c r="P20" s="26"/>
      <c r="Q20" s="16"/>
      <c r="R20" s="22"/>
      <c r="S20" s="22"/>
      <c r="T20" s="2"/>
      <c r="U20" s="5"/>
      <c r="V20" s="5"/>
      <c r="W20" s="29"/>
      <c r="X20" s="29"/>
      <c r="Y20" s="17"/>
      <c r="Z20" s="17"/>
      <c r="AA20" s="24"/>
      <c r="AB20" s="17"/>
      <c r="AC20" s="24"/>
    </row>
    <row x14ac:dyDescent="0.25" r="21" customHeight="1" ht="17.25">
      <c r="A21" s="69" t="s">
        <v>50</v>
      </c>
      <c r="B21" s="70"/>
      <c r="C21" s="71">
        <f>LOOKUP(A21,[2]Sheet1!$A$2:$B$69)</f>
      </c>
      <c r="D21" s="72">
        <v>1.6952546296296296</v>
      </c>
      <c r="E21" s="72">
        <v>1.7044328703703704</v>
      </c>
      <c r="F21" s="72">
        <f>E21-D21</f>
        <v>25568.791666666668</v>
      </c>
      <c r="G21" s="73">
        <v>20.1</v>
      </c>
      <c r="H21" s="73">
        <v>20</v>
      </c>
      <c r="I21" s="77">
        <v>49.4544607918009</v>
      </c>
      <c r="J21" s="75"/>
      <c r="K21" s="76">
        <f>I21-I22</f>
      </c>
      <c r="L21" s="76"/>
      <c r="M21" s="66"/>
      <c r="N21" s="65"/>
      <c r="O21" s="66"/>
      <c r="P21" s="26"/>
      <c r="Q21" s="16"/>
      <c r="R21" s="22"/>
      <c r="S21" s="22"/>
      <c r="T21" s="2"/>
      <c r="U21" s="5"/>
      <c r="V21" s="5"/>
      <c r="W21" s="29"/>
      <c r="X21" s="29"/>
      <c r="Y21" s="17"/>
      <c r="Z21" s="17"/>
      <c r="AA21" s="24"/>
      <c r="AB21" s="17"/>
      <c r="AC21" s="24"/>
    </row>
    <row x14ac:dyDescent="0.25" r="22" customHeight="1" ht="17.25">
      <c r="A22" s="69" t="s">
        <v>50</v>
      </c>
      <c r="B22" s="70"/>
      <c r="C22" s="71">
        <f>LOOKUP(A22,[2]Sheet1!$A$2:$B$69)</f>
      </c>
      <c r="D22" s="72">
        <v>1.7052314814814815</v>
      </c>
      <c r="E22" s="72">
        <v>1.707337962962963</v>
      </c>
      <c r="F22" s="72">
        <f>E22-D22</f>
        <v>25568.791666666668</v>
      </c>
      <c r="G22" s="73">
        <v>20.1</v>
      </c>
      <c r="H22" s="73">
        <v>20</v>
      </c>
      <c r="I22" s="77">
        <v>48.1615348173425</v>
      </c>
      <c r="J22" s="75"/>
      <c r="K22" s="76"/>
      <c r="L22" s="76"/>
      <c r="M22" s="66"/>
      <c r="N22" s="65"/>
      <c r="O22" s="66"/>
      <c r="P22" s="26"/>
      <c r="Q22" s="16"/>
      <c r="R22" s="22"/>
      <c r="S22" s="22"/>
      <c r="T22" s="2"/>
      <c r="U22" s="5"/>
      <c r="V22" s="5"/>
      <c r="W22" s="29"/>
      <c r="X22" s="29"/>
      <c r="Y22" s="17"/>
      <c r="Z22" s="17"/>
      <c r="AA22" s="24"/>
      <c r="AB22" s="17"/>
      <c r="AC22" s="24"/>
    </row>
    <row x14ac:dyDescent="0.25" r="23" customHeight="1" ht="17.25">
      <c r="A23" s="69" t="s">
        <v>50</v>
      </c>
      <c r="B23" s="70"/>
      <c r="C23" s="71">
        <f>LOOKUP(A23,[2]Sheet1!$A$2:$B$69)</f>
      </c>
      <c r="D23" s="72">
        <v>1.7083796296296296</v>
      </c>
      <c r="E23" s="72">
        <v>1.7105555555555556</v>
      </c>
      <c r="F23" s="72">
        <f>E23-D23</f>
        <v>25568.791666666668</v>
      </c>
      <c r="G23" s="73">
        <v>20.1</v>
      </c>
      <c r="H23" s="73">
        <v>20</v>
      </c>
      <c r="I23" s="77">
        <v>49.8560568105456</v>
      </c>
      <c r="J23" s="75"/>
      <c r="K23" s="76">
        <f>I23-I24</f>
      </c>
      <c r="L23" s="76"/>
      <c r="M23" s="66"/>
      <c r="N23" s="65"/>
      <c r="O23" s="66"/>
      <c r="P23" s="26"/>
      <c r="Q23" s="16"/>
      <c r="R23" s="22"/>
      <c r="S23" s="22"/>
      <c r="T23" s="2"/>
      <c r="U23" s="5"/>
      <c r="V23" s="5"/>
      <c r="W23" s="29"/>
      <c r="X23" s="29"/>
      <c r="Y23" s="17"/>
      <c r="Z23" s="17"/>
      <c r="AA23" s="24"/>
      <c r="AB23" s="17"/>
      <c r="AC23" s="24"/>
    </row>
    <row x14ac:dyDescent="0.25" r="24" customHeight="1" ht="17.25">
      <c r="A24" s="69" t="s">
        <v>50</v>
      </c>
      <c r="B24" s="70"/>
      <c r="C24" s="71">
        <f>LOOKUP(A24,[2]Sheet1!$A$2:$B$69)</f>
      </c>
      <c r="D24" s="72">
        <v>1.7114467592592593</v>
      </c>
      <c r="E24" s="72">
        <v>1.7135763888888889</v>
      </c>
      <c r="F24" s="72">
        <f>E24-D24</f>
        <v>25568.791666666668</v>
      </c>
      <c r="G24" s="73">
        <v>20.1</v>
      </c>
      <c r="H24" s="73">
        <v>20</v>
      </c>
      <c r="I24" s="77">
        <v>48.0474030010511</v>
      </c>
      <c r="J24" s="75"/>
      <c r="K24" s="76"/>
      <c r="L24" s="76"/>
      <c r="M24" s="66"/>
      <c r="N24" s="65"/>
      <c r="O24" s="66"/>
      <c r="P24" s="26"/>
      <c r="Q24" s="16"/>
      <c r="R24" s="22"/>
      <c r="S24" s="22"/>
      <c r="T24" s="2"/>
      <c r="U24" s="5"/>
      <c r="V24" s="5"/>
      <c r="W24" s="29"/>
      <c r="X24" s="29"/>
      <c r="Y24" s="17"/>
      <c r="Z24" s="17"/>
      <c r="AA24" s="24"/>
      <c r="AB24" s="17"/>
      <c r="AC24" s="24"/>
    </row>
    <row x14ac:dyDescent="0.25" r="25" customHeight="1" ht="17.25">
      <c r="A25" s="69" t="s">
        <v>50</v>
      </c>
      <c r="B25" s="70"/>
      <c r="C25" s="71">
        <f>LOOKUP(A25,[2]Sheet1!$A$2:$B$69)</f>
      </c>
      <c r="D25" s="72">
        <v>1.7149999999999999</v>
      </c>
      <c r="E25" s="72">
        <v>1.7170949074074073</v>
      </c>
      <c r="F25" s="72">
        <f>E25-D25</f>
        <v>25568.791666666668</v>
      </c>
      <c r="G25" s="73">
        <v>20.1</v>
      </c>
      <c r="H25" s="73">
        <v>20</v>
      </c>
      <c r="I25" s="77">
        <v>49.0524458174276</v>
      </c>
      <c r="J25" s="75"/>
      <c r="K25" s="76">
        <f>I25-I26</f>
      </c>
      <c r="L25" s="76"/>
      <c r="M25" s="66"/>
      <c r="N25" s="65"/>
      <c r="O25" s="66"/>
      <c r="P25" s="26"/>
      <c r="Q25" s="16"/>
      <c r="R25" s="22"/>
      <c r="S25" s="22"/>
      <c r="T25" s="2"/>
      <c r="U25" s="5"/>
      <c r="V25" s="5"/>
      <c r="W25" s="29"/>
      <c r="X25" s="29"/>
      <c r="Y25" s="17"/>
      <c r="Z25" s="17"/>
      <c r="AA25" s="24"/>
      <c r="AB25" s="17"/>
      <c r="AC25" s="24"/>
    </row>
    <row x14ac:dyDescent="0.25" r="26" customHeight="1" ht="17.25">
      <c r="A26" s="69" t="s">
        <v>50</v>
      </c>
      <c r="B26" s="70"/>
      <c r="C26" s="71">
        <f>LOOKUP(A26,[2]Sheet1!$A$2:$B$69)</f>
      </c>
      <c r="D26" s="72">
        <v>1.7179398148148148</v>
      </c>
      <c r="E26" s="72">
        <v>1.7199652777777779</v>
      </c>
      <c r="F26" s="72">
        <f>E26-D26</f>
        <v>25568.791666666668</v>
      </c>
      <c r="G26" s="73">
        <v>20.1</v>
      </c>
      <c r="H26" s="73">
        <v>20</v>
      </c>
      <c r="I26" s="77">
        <v>47.5498591792342</v>
      </c>
      <c r="J26" s="75"/>
      <c r="K26" s="76"/>
      <c r="L26" s="76"/>
      <c r="M26" s="66"/>
      <c r="N26" s="65"/>
      <c r="O26" s="66"/>
      <c r="P26" s="26"/>
      <c r="Q26" s="16"/>
      <c r="R26" s="22"/>
      <c r="S26" s="22"/>
      <c r="T26" s="2"/>
      <c r="U26" s="5"/>
      <c r="V26" s="5"/>
      <c r="W26" s="29"/>
      <c r="X26" s="29"/>
      <c r="Y26" s="17"/>
      <c r="Z26" s="17"/>
      <c r="AA26" s="24"/>
      <c r="AB26" s="17"/>
      <c r="AC26" s="24"/>
    </row>
    <row x14ac:dyDescent="0.25" r="27" customHeight="1" ht="17.25">
      <c r="A27" s="69" t="s">
        <v>50</v>
      </c>
      <c r="B27" s="70"/>
      <c r="C27" s="71">
        <f>LOOKUP(A27,[2]Sheet1!$A$2:$B$69)</f>
      </c>
      <c r="D27" s="78">
        <v>1.733252314814815</v>
      </c>
      <c r="E27" s="78">
        <v>1.7353703703703705</v>
      </c>
      <c r="F27" s="72">
        <f>E27-D27</f>
        <v>25568.791666666668</v>
      </c>
      <c r="G27" s="73">
        <v>20.1</v>
      </c>
      <c r="H27" s="73">
        <v>20</v>
      </c>
      <c r="I27" s="71">
        <v>50.3191419910195</v>
      </c>
      <c r="J27" s="79" t="s">
        <v>54</v>
      </c>
      <c r="K27" s="76">
        <f>I27-I28</f>
      </c>
      <c r="L27" s="76"/>
      <c r="M27" s="66"/>
      <c r="N27" s="65"/>
      <c r="O27" s="66"/>
      <c r="P27" s="26"/>
      <c r="Q27" s="16"/>
      <c r="R27" s="22"/>
      <c r="S27" s="22"/>
      <c r="T27" s="2"/>
      <c r="U27" s="5"/>
      <c r="V27" s="5"/>
      <c r="W27" s="29"/>
      <c r="X27" s="29"/>
      <c r="Y27" s="17"/>
      <c r="Z27" s="17"/>
      <c r="AA27" s="24"/>
      <c r="AB27" s="17"/>
      <c r="AC27" s="24"/>
    </row>
    <row x14ac:dyDescent="0.25" r="28" customHeight="1" ht="17.25">
      <c r="A28" s="69" t="s">
        <v>50</v>
      </c>
      <c r="B28" s="70"/>
      <c r="C28" s="71">
        <f>LOOKUP(A28,[2]Sheet1!$A$2:$B$69)</f>
      </c>
      <c r="D28" s="78">
        <v>1.7362152777777777</v>
      </c>
      <c r="E28" s="78">
        <v>1.7384027777777777</v>
      </c>
      <c r="F28" s="72">
        <f>E28-D28</f>
        <v>25568.791666666668</v>
      </c>
      <c r="G28" s="73">
        <v>20.1</v>
      </c>
      <c r="H28" s="73">
        <v>20</v>
      </c>
      <c r="I28" s="71">
        <v>48.830226751804</v>
      </c>
      <c r="J28" s="79" t="s">
        <v>54</v>
      </c>
      <c r="K28" s="76"/>
      <c r="L28" s="76"/>
      <c r="M28" s="66"/>
      <c r="N28" s="65"/>
      <c r="O28" s="66"/>
      <c r="P28" s="26"/>
      <c r="Q28" s="16"/>
      <c r="R28" s="22"/>
      <c r="S28" s="22"/>
      <c r="T28" s="2"/>
      <c r="U28" s="5"/>
      <c r="V28" s="5"/>
      <c r="W28" s="29"/>
      <c r="X28" s="29"/>
      <c r="Y28" s="17"/>
      <c r="Z28" s="17"/>
      <c r="AA28" s="24"/>
      <c r="AB28" s="17"/>
      <c r="AC28" s="24"/>
    </row>
    <row x14ac:dyDescent="0.25" r="29" customHeight="1" ht="17.25">
      <c r="A29" s="16"/>
      <c r="B29" s="16"/>
      <c r="C29" s="7" t="s">
        <v>46</v>
      </c>
      <c r="D29" s="44" t="s">
        <v>47</v>
      </c>
      <c r="E29" s="63"/>
      <c r="F29" s="63"/>
      <c r="G29" s="22"/>
      <c r="H29" s="22"/>
      <c r="I29" s="2"/>
      <c r="J29" s="64"/>
      <c r="K29" s="65"/>
      <c r="L29" s="65"/>
      <c r="M29" s="66"/>
      <c r="N29" s="65"/>
      <c r="O29" s="66"/>
      <c r="P29" s="26"/>
      <c r="Q29" s="16"/>
      <c r="R29" s="22"/>
      <c r="S29" s="22"/>
      <c r="T29" s="2"/>
      <c r="U29" s="5"/>
      <c r="V29" s="5"/>
      <c r="W29" s="29"/>
      <c r="X29" s="29"/>
      <c r="Y29" s="17"/>
      <c r="Z29" s="17"/>
      <c r="AA29" s="24"/>
      <c r="AB29" s="17"/>
      <c r="AC29" s="24"/>
    </row>
    <row x14ac:dyDescent="0.25" r="30" customHeight="1" ht="17.25">
      <c r="A30" s="80" t="s">
        <v>55</v>
      </c>
      <c r="B30" s="46" t="s">
        <v>49</v>
      </c>
      <c r="C30" s="5">
        <f>LOOKUP(B30,'[1]working standards'!$A:$B)</f>
      </c>
      <c r="D30" s="47">
        <v>1</v>
      </c>
      <c r="E30" s="63" t="s">
        <v>56</v>
      </c>
      <c r="F30" s="63"/>
      <c r="G30" s="22"/>
      <c r="H30" s="22"/>
      <c r="I30" s="2"/>
      <c r="J30" s="64"/>
      <c r="K30" s="65"/>
      <c r="L30" s="65"/>
      <c r="M30" s="66"/>
      <c r="N30" s="65"/>
      <c r="O30" s="66"/>
      <c r="P30" s="26"/>
      <c r="Q30" s="16"/>
      <c r="R30" s="22"/>
      <c r="S30" s="22"/>
      <c r="T30" s="2"/>
      <c r="U30" s="5"/>
      <c r="V30" s="5"/>
      <c r="W30" s="29"/>
      <c r="X30" s="29"/>
      <c r="Y30" s="17"/>
      <c r="Z30" s="17"/>
      <c r="AA30" s="24"/>
      <c r="AB30" s="17"/>
      <c r="AC30" s="24"/>
    </row>
    <row x14ac:dyDescent="0.25" r="31" customHeight="1" ht="17.25">
      <c r="A31" s="81" t="s">
        <v>50</v>
      </c>
      <c r="B31" s="82"/>
      <c r="C31" s="83">
        <f>LOOKUP(A31,[2]Sheet1!$A$2:$B$69)</f>
      </c>
      <c r="D31" s="84">
        <v>1.7421527777777777</v>
      </c>
      <c r="E31" s="84">
        <v>1.744363425925926</v>
      </c>
      <c r="F31" s="84">
        <f>E31-D31</f>
        <v>25568.791666666668</v>
      </c>
      <c r="G31" s="85"/>
      <c r="H31" s="85"/>
      <c r="I31" s="86">
        <v>49.9486921934633</v>
      </c>
      <c r="J31" s="87"/>
      <c r="K31" s="88">
        <f>I31-I32</f>
      </c>
      <c r="L31" s="88"/>
      <c r="M31" s="66"/>
      <c r="N31" s="65"/>
      <c r="O31" s="66"/>
      <c r="P31" s="26"/>
      <c r="Q31" s="16"/>
      <c r="R31" s="22"/>
      <c r="S31" s="22"/>
      <c r="T31" s="2"/>
      <c r="U31" s="5"/>
      <c r="V31" s="5"/>
      <c r="W31" s="29"/>
      <c r="X31" s="29"/>
      <c r="Y31" s="17"/>
      <c r="Z31" s="17"/>
      <c r="AA31" s="24"/>
      <c r="AB31" s="17"/>
      <c r="AC31" s="24"/>
    </row>
    <row x14ac:dyDescent="0.25" r="32" customHeight="1" ht="17.25">
      <c r="A32" s="81" t="s">
        <v>50</v>
      </c>
      <c r="B32" s="82"/>
      <c r="C32" s="83">
        <f>LOOKUP(A32,[2]Sheet1!$A$2:$B$69)</f>
      </c>
      <c r="D32" s="84">
        <v>1.7454282407407407</v>
      </c>
      <c r="E32" s="84">
        <v>1.7477777777777779</v>
      </c>
      <c r="F32" s="84">
        <f>E32-D32</f>
        <v>25568.791666666668</v>
      </c>
      <c r="G32" s="85"/>
      <c r="H32" s="85"/>
      <c r="I32" s="86">
        <v>49.3546742986013</v>
      </c>
      <c r="J32" s="87"/>
      <c r="K32" s="88"/>
      <c r="L32" s="88"/>
      <c r="M32" s="66"/>
      <c r="N32" s="65"/>
      <c r="O32" s="66"/>
      <c r="P32" s="26"/>
      <c r="Q32" s="16"/>
      <c r="R32" s="22"/>
      <c r="S32" s="22"/>
      <c r="T32" s="2"/>
      <c r="U32" s="5"/>
      <c r="V32" s="5"/>
      <c r="W32" s="29"/>
      <c r="X32" s="29"/>
      <c r="Y32" s="17"/>
      <c r="Z32" s="17"/>
      <c r="AA32" s="24"/>
      <c r="AB32" s="17"/>
      <c r="AC32" s="24"/>
    </row>
    <row x14ac:dyDescent="0.25" r="33" customHeight="1" ht="17.25">
      <c r="A33" s="81" t="s">
        <v>50</v>
      </c>
      <c r="B33" s="82"/>
      <c r="C33" s="83">
        <f>LOOKUP(A33,[2]Sheet1!$A$2:$B$69)</f>
      </c>
      <c r="D33" s="84">
        <v>1.7506712962962963</v>
      </c>
      <c r="E33" s="84">
        <v>1.7528356481481482</v>
      </c>
      <c r="F33" s="84">
        <f>E33-D33</f>
        <v>25568.791666666668</v>
      </c>
      <c r="G33" s="85"/>
      <c r="H33" s="85"/>
      <c r="I33" s="86">
        <v>49.7588021996015</v>
      </c>
      <c r="J33" s="87"/>
      <c r="K33" s="88">
        <f>I33-I34</f>
      </c>
      <c r="L33" s="88"/>
      <c r="M33" s="66"/>
      <c r="N33" s="65"/>
      <c r="O33" s="66"/>
      <c r="P33" s="26"/>
      <c r="Q33" s="16"/>
      <c r="R33" s="22"/>
      <c r="S33" s="22"/>
      <c r="T33" s="2"/>
      <c r="U33" s="5"/>
      <c r="V33" s="5"/>
      <c r="W33" s="29"/>
      <c r="X33" s="29"/>
      <c r="Y33" s="17"/>
      <c r="Z33" s="17"/>
      <c r="AA33" s="24"/>
      <c r="AB33" s="17"/>
      <c r="AC33" s="24"/>
    </row>
    <row x14ac:dyDescent="0.25" r="34" customHeight="1" ht="17.25">
      <c r="A34" s="81" t="s">
        <v>50</v>
      </c>
      <c r="B34" s="82"/>
      <c r="C34" s="83">
        <f>LOOKUP(A34,[2]Sheet1!$A$2:$B$69)</f>
      </c>
      <c r="D34" s="84">
        <v>1.7537847222222223</v>
      </c>
      <c r="E34" s="84">
        <v>1.7561805555555554</v>
      </c>
      <c r="F34" s="84">
        <f>E34-D34</f>
        <v>25568.791666666668</v>
      </c>
      <c r="G34" s="85"/>
      <c r="H34" s="85"/>
      <c r="I34" s="86">
        <v>49.2965305017493</v>
      </c>
      <c r="J34" s="87"/>
      <c r="K34" s="88"/>
      <c r="L34" s="88"/>
      <c r="M34" s="66"/>
      <c r="N34" s="65"/>
      <c r="O34" s="66"/>
      <c r="P34" s="26"/>
      <c r="Q34" s="16"/>
      <c r="R34" s="22"/>
      <c r="S34" s="22"/>
      <c r="T34" s="2"/>
      <c r="U34" s="5"/>
      <c r="V34" s="5"/>
      <c r="W34" s="29"/>
      <c r="X34" s="29"/>
      <c r="Y34" s="17"/>
      <c r="Z34" s="17"/>
      <c r="AA34" s="24"/>
      <c r="AB34" s="17"/>
      <c r="AC34" s="24"/>
    </row>
    <row x14ac:dyDescent="0.25" r="35" customHeight="1" ht="17.25">
      <c r="A35" s="81" t="s">
        <v>50</v>
      </c>
      <c r="B35" s="82"/>
      <c r="C35" s="83">
        <f>LOOKUP(A35,[2]Sheet1!$A$2:$B$69)</f>
      </c>
      <c r="D35" s="84">
        <v>1.7591666666666668</v>
      </c>
      <c r="E35" s="84">
        <v>1.761388888888889</v>
      </c>
      <c r="F35" s="84">
        <f>E35-D35</f>
        <v>25568.791666666668</v>
      </c>
      <c r="G35" s="85"/>
      <c r="H35" s="85"/>
      <c r="I35" s="86">
        <v>49.7823700799046</v>
      </c>
      <c r="J35" s="87"/>
      <c r="K35" s="88">
        <f>I35-I36</f>
      </c>
      <c r="L35" s="88"/>
      <c r="M35" s="66"/>
      <c r="N35" s="65"/>
      <c r="O35" s="66"/>
      <c r="P35" s="26"/>
      <c r="Q35" s="16"/>
      <c r="R35" s="22"/>
      <c r="S35" s="22"/>
      <c r="T35" s="2"/>
      <c r="U35" s="5"/>
      <c r="V35" s="5"/>
      <c r="W35" s="29"/>
      <c r="X35" s="29"/>
      <c r="Y35" s="28"/>
      <c r="Z35" s="17"/>
      <c r="AA35" s="24"/>
      <c r="AB35" s="17"/>
      <c r="AC35" s="24"/>
    </row>
    <row x14ac:dyDescent="0.25" r="36" customHeight="1" ht="17.25">
      <c r="A36" s="81" t="s">
        <v>50</v>
      </c>
      <c r="B36" s="82"/>
      <c r="C36" s="83">
        <f>LOOKUP(A36,[2]Sheet1!$A$2:$B$69)</f>
      </c>
      <c r="D36" s="84">
        <v>1.7619675925925926</v>
      </c>
      <c r="E36" s="84">
        <v>1.764525462962963</v>
      </c>
      <c r="F36" s="84">
        <f>E36-D36</f>
        <v>25568.791666666668</v>
      </c>
      <c r="G36" s="85"/>
      <c r="H36" s="85"/>
      <c r="I36" s="86">
        <v>49.1975868758057</v>
      </c>
      <c r="J36" s="87"/>
      <c r="K36" s="88"/>
      <c r="L36" s="88"/>
      <c r="M36" s="66"/>
      <c r="N36" s="65"/>
      <c r="O36" s="66"/>
      <c r="P36" s="26"/>
      <c r="Q36" s="16"/>
      <c r="R36" s="22"/>
      <c r="S36" s="22"/>
      <c r="T36" s="2"/>
      <c r="U36" s="5"/>
      <c r="V36" s="5"/>
      <c r="W36" s="29"/>
      <c r="X36" s="29"/>
      <c r="Y36" s="17"/>
      <c r="Z36" s="17"/>
      <c r="AA36" s="24"/>
      <c r="AB36" s="17"/>
      <c r="AC36" s="24"/>
    </row>
    <row x14ac:dyDescent="0.25" r="37" customHeight="1" ht="17.25">
      <c r="A37" s="16"/>
      <c r="B37" s="16"/>
      <c r="C37" s="17"/>
      <c r="D37" s="63"/>
      <c r="E37" s="63"/>
      <c r="F37" s="63"/>
      <c r="G37" s="22"/>
      <c r="H37" s="22"/>
      <c r="I37" s="2"/>
      <c r="J37" s="64"/>
      <c r="K37" s="65"/>
      <c r="L37" s="65"/>
      <c r="M37" s="66"/>
      <c r="N37" s="65"/>
      <c r="O37" s="66"/>
      <c r="P37" s="26"/>
      <c r="Q37" s="16"/>
      <c r="R37" s="22"/>
      <c r="S37" s="22"/>
      <c r="T37" s="2"/>
      <c r="U37" s="5"/>
      <c r="V37" s="5"/>
      <c r="W37" s="29"/>
      <c r="X37" s="89"/>
      <c r="Y37" s="17"/>
      <c r="Z37" s="17"/>
      <c r="AA37" s="24"/>
      <c r="AB37" s="17"/>
      <c r="AC37" s="24"/>
    </row>
    <row x14ac:dyDescent="0.25" r="38" customHeight="1" ht="17.25">
      <c r="A38" s="45" t="s">
        <v>57</v>
      </c>
      <c r="B38" s="45"/>
      <c r="C38" s="17"/>
      <c r="D38" s="63"/>
      <c r="E38" s="63"/>
      <c r="F38" s="63"/>
      <c r="G38" s="22"/>
      <c r="H38" s="22"/>
      <c r="I38" s="2"/>
      <c r="J38" s="64"/>
      <c r="K38" s="65"/>
      <c r="L38" s="65"/>
      <c r="M38" s="66"/>
      <c r="N38" s="65"/>
      <c r="O38" s="66"/>
      <c r="P38" s="26"/>
      <c r="Q38" s="16"/>
      <c r="R38" s="22"/>
      <c r="S38" s="22"/>
      <c r="T38" s="2"/>
      <c r="U38" s="5"/>
      <c r="V38" s="5"/>
      <c r="W38" s="29"/>
      <c r="X38" s="89"/>
      <c r="Y38" s="17"/>
      <c r="Z38" s="17"/>
      <c r="AA38" s="24"/>
      <c r="AB38" s="17"/>
      <c r="AC38" s="24"/>
    </row>
    <row x14ac:dyDescent="0.25" r="39" customHeight="1" ht="17.25">
      <c r="A39" s="46" t="s">
        <v>58</v>
      </c>
      <c r="B39" s="46" t="s">
        <v>59</v>
      </c>
      <c r="C39" s="2">
        <f>LOOKUP(A39,[2]Sheet1!$A$2:$B$69)</f>
      </c>
      <c r="D39" s="27">
        <v>1.7798842592592594</v>
      </c>
      <c r="E39" s="27">
        <v>1.7847222222222223</v>
      </c>
      <c r="F39" s="63">
        <f>E39-D39</f>
        <v>25568.791666666668</v>
      </c>
      <c r="G39" s="22"/>
      <c r="H39" s="90">
        <v>20.1</v>
      </c>
      <c r="I39" s="9">
        <v>683.329308897505</v>
      </c>
      <c r="J39" s="91" t="s">
        <v>60</v>
      </c>
      <c r="K39" s="65"/>
      <c r="L39" s="65"/>
      <c r="M39" s="66"/>
      <c r="N39" s="65"/>
      <c r="O39" s="66"/>
      <c r="P39" s="26"/>
      <c r="Q39" s="16"/>
      <c r="R39" s="22">
        <f>LOOKUP(B39,[4]Data!$A:$A,[4]Data!$J:$J)</f>
      </c>
      <c r="S39" s="22">
        <f>LOOKUP(B39,[4]Data!$A:$A,[4]Data!$I:$I)</f>
      </c>
      <c r="T39" s="25">
        <f>(([5]Sheet1!$B$1+S39*([5]Sheet1!$B$2+S39*([5]Sheet1!$B$3+S39*([5]Sheet1!$B$4+S39*([5]Sheet1!$B$5+S39*[5]Sheet1!$B$6)))))+R39*(([5]Sheet1!$B$7+S39*([5]Sheet1!$B$8+S39*([5]Sheet1!$B$9+S39*([5]Sheet1!$B$10+S39*[5]Sheet1!$B$11))))+([5]Sheet1!$B$13+S39*[5]Sheet1!$B$14+S39*[5]Sheet1!$B$15)*(SQRT(R39))+([5]Sheet1!$B$17)*(R39)))/1000</f>
      </c>
      <c r="U39" s="5">
        <f>(I39-$D$4)*$D$5*(1/(10^6))*(1/4)</f>
      </c>
      <c r="V39" s="5">
        <f>((C39*(1+([3]Sheet1!$C$4*(S39-20))))-2)*(1/10^6)*T39</f>
      </c>
      <c r="W39" s="92">
        <f>(U39-(7.6*10^-8))*1000/V39</f>
      </c>
      <c r="X39" s="93">
        <f>(W39*T39)/44.66</f>
      </c>
      <c r="Y39" s="2">
        <f>AVERAGE(W39:W41)</f>
      </c>
      <c r="Z39" s="2">
        <f>AVERAGE(X39:X41)</f>
      </c>
      <c r="AA39" s="25">
        <f>STDEV(X39:X41)</f>
      </c>
      <c r="AB39" s="2">
        <f>AA39/Z39*100</f>
      </c>
      <c r="AC39" s="24"/>
    </row>
    <row x14ac:dyDescent="0.25" r="40" customHeight="1" ht="17.25">
      <c r="A40" s="46" t="s">
        <v>61</v>
      </c>
      <c r="B40" s="46" t="s">
        <v>62</v>
      </c>
      <c r="C40" s="2">
        <f>LOOKUP(A40,[2]Sheet1!$A$2:$B$69)</f>
      </c>
      <c r="D40" s="27">
        <v>1.785949074074074</v>
      </c>
      <c r="E40" s="27">
        <v>1.790324074074074</v>
      </c>
      <c r="F40" s="63">
        <f>E40-D40</f>
        <v>25568.791666666668</v>
      </c>
      <c r="G40" s="22"/>
      <c r="H40" s="90">
        <v>20.1</v>
      </c>
      <c r="I40" s="9">
        <v>666.313119164815</v>
      </c>
      <c r="J40" s="64"/>
      <c r="K40" s="65"/>
      <c r="L40" s="65"/>
      <c r="M40" s="66"/>
      <c r="N40" s="65"/>
      <c r="O40" s="66"/>
      <c r="P40" s="26"/>
      <c r="Q40" s="16"/>
      <c r="R40" s="22">
        <f>LOOKUP(B40,[4]Data!$A:$A,[4]Data!$J:$J)</f>
      </c>
      <c r="S40" s="22">
        <f>LOOKUP(B40,[4]Data!$A:$A,[4]Data!$I:$I)</f>
      </c>
      <c r="T40" s="25">
        <f>(([5]Sheet1!$B$1+S40*([5]Sheet1!$B$2+S40*([5]Sheet1!$B$3+S40*([5]Sheet1!$B$4+S40*([5]Sheet1!$B$5+S40*[5]Sheet1!$B$6)))))+R40*(([5]Sheet1!$B$7+S40*([5]Sheet1!$B$8+S40*([5]Sheet1!$B$9+S40*([5]Sheet1!$B$10+S40*[5]Sheet1!$B$11))))+([5]Sheet1!$B$13+S40*[5]Sheet1!$B$14+S40*[5]Sheet1!$B$15)*(SQRT(R40))+([5]Sheet1!$B$17)*(R40)))/1000</f>
      </c>
      <c r="U40" s="5">
        <f>(I40-$D$4)*$D$5*(1/(10^6))*(1/4)</f>
      </c>
      <c r="V40" s="5">
        <f>((C40*(1+([3]Sheet1!$C$4*(S40-20))))-2)*(1/10^6)*T40</f>
      </c>
      <c r="W40" s="92">
        <f>(U40-(7.6*10^-8))*1000/V40</f>
      </c>
      <c r="X40" s="93">
        <f>(W40*T40)/44.66</f>
      </c>
      <c r="Y40" s="17"/>
      <c r="Z40" s="17"/>
      <c r="AA40" s="24"/>
      <c r="AB40" s="17"/>
      <c r="AC40" s="24"/>
    </row>
    <row x14ac:dyDescent="0.25" r="41" customHeight="1" ht="17.25">
      <c r="A41" s="46" t="s">
        <v>63</v>
      </c>
      <c r="B41" s="46" t="s">
        <v>64</v>
      </c>
      <c r="C41" s="2">
        <f>LOOKUP(A41,[2]Sheet1!$A$2:$B$69)</f>
      </c>
      <c r="D41" s="27">
        <v>1.7921875</v>
      </c>
      <c r="E41" s="27">
        <v>1.7965856481481481</v>
      </c>
      <c r="F41" s="63">
        <f>E41-D41</f>
        <v>25568.791666666668</v>
      </c>
      <c r="G41" s="22"/>
      <c r="H41" s="90">
        <v>20.2</v>
      </c>
      <c r="I41" s="9">
        <v>657.534387931541</v>
      </c>
      <c r="J41" s="64"/>
      <c r="K41" s="65"/>
      <c r="L41" s="65"/>
      <c r="M41" s="66"/>
      <c r="N41" s="65"/>
      <c r="O41" s="66"/>
      <c r="P41" s="26"/>
      <c r="Q41" s="16"/>
      <c r="R41" s="22">
        <f>LOOKUP(B41,[4]Data!$A:$A,[4]Data!$J:$J)</f>
      </c>
      <c r="S41" s="22">
        <f>LOOKUP(B41,[4]Data!$A:$A,[4]Data!$I:$I)</f>
      </c>
      <c r="T41" s="25">
        <f>(([5]Sheet1!$B$1+S41*([5]Sheet1!$B$2+S41*([5]Sheet1!$B$3+S41*([5]Sheet1!$B$4+S41*([5]Sheet1!$B$5+S41*[5]Sheet1!$B$6)))))+R41*(([5]Sheet1!$B$7+S41*([5]Sheet1!$B$8+S41*([5]Sheet1!$B$9+S41*([5]Sheet1!$B$10+S41*[5]Sheet1!$B$11))))+([5]Sheet1!$B$13+S41*[5]Sheet1!$B$14+S41*[5]Sheet1!$B$15)*(SQRT(R41))+([5]Sheet1!$B$17)*(R41)))/1000</f>
      </c>
      <c r="U41" s="5">
        <f>(I41-$D$4)*$D$5*(1/(10^6))*(1/4)</f>
      </c>
      <c r="V41" s="5">
        <f>((C41*(1+([3]Sheet1!$C$4*(S41-20))))-2)*(1/10^6)*T41</f>
      </c>
      <c r="W41" s="92">
        <f>(U41-(7.6*10^-8))*1000/V41</f>
      </c>
      <c r="X41" s="93">
        <f>(W41*T41)/44.66</f>
      </c>
      <c r="Y41" s="17"/>
      <c r="Z41" s="17"/>
      <c r="AA41" s="24"/>
      <c r="AB41" s="17"/>
      <c r="AC41" s="24"/>
    </row>
    <row x14ac:dyDescent="0.25" r="42" customHeight="1" ht="17.25">
      <c r="A42" s="46" t="s">
        <v>65</v>
      </c>
      <c r="B42" s="46" t="s">
        <v>66</v>
      </c>
      <c r="C42" s="2">
        <f>LOOKUP(A42,[2]Sheet1!$A$2:$B$69)</f>
      </c>
      <c r="D42" s="27">
        <v>1.7974305555555556</v>
      </c>
      <c r="E42" s="27">
        <v>1.802962962962963</v>
      </c>
      <c r="F42" s="63">
        <f>E42-D42</f>
        <v>25568.791666666668</v>
      </c>
      <c r="G42" s="22"/>
      <c r="H42" s="90">
        <v>20.2</v>
      </c>
      <c r="I42" s="9">
        <v>894.996742015195</v>
      </c>
      <c r="J42" s="64"/>
      <c r="K42" s="65"/>
      <c r="L42" s="65"/>
      <c r="M42" s="66"/>
      <c r="N42" s="65"/>
      <c r="O42" s="66"/>
      <c r="P42" s="26"/>
      <c r="Q42" s="16"/>
      <c r="R42" s="22">
        <f>LOOKUP(B42,[4]Data!$A:$A,[4]Data!$J:$J)</f>
      </c>
      <c r="S42" s="22">
        <f>LOOKUP(B42,[4]Data!$A:$A,[4]Data!$I:$I)</f>
      </c>
      <c r="T42" s="25">
        <f>(([5]Sheet1!$B$1+S42*([5]Sheet1!$B$2+S42*([5]Sheet1!$B$3+S42*([5]Sheet1!$B$4+S42*([5]Sheet1!$B$5+S42*[5]Sheet1!$B$6)))))+R42*(([5]Sheet1!$B$7+S42*([5]Sheet1!$B$8+S42*([5]Sheet1!$B$9+S42*([5]Sheet1!$B$10+S42*[5]Sheet1!$B$11))))+([5]Sheet1!$B$13+S42*[5]Sheet1!$B$14+S42*[5]Sheet1!$B$15)*(SQRT(R42))+([5]Sheet1!$B$17)*(R42)))/1000</f>
      </c>
      <c r="U42" s="5">
        <f>(I42-$D$4)*$D$5*(1/(10^6))*(1/4)</f>
      </c>
      <c r="V42" s="5">
        <f>((C42*(1+([3]Sheet1!$C$4*(S42-20))))-2)*(1/10^6)*T42</f>
      </c>
      <c r="W42" s="92">
        <f>(U42-(7.6*10^-8))*1000/V42</f>
      </c>
      <c r="X42" s="93">
        <f>(W42*T42)/44.66</f>
      </c>
      <c r="Y42" s="2">
        <f>AVERAGE(W42:W44)</f>
      </c>
      <c r="Z42" s="2">
        <f>AVERAGE(X42:X44)</f>
      </c>
      <c r="AA42" s="2">
        <f>STDEV(X42:X44)</f>
      </c>
      <c r="AB42" s="2">
        <f>AA42/Z42*100</f>
      </c>
      <c r="AC42" s="24"/>
    </row>
    <row x14ac:dyDescent="0.25" r="43" customHeight="1" ht="17.25">
      <c r="A43" s="46" t="s">
        <v>12</v>
      </c>
      <c r="B43" s="46" t="s">
        <v>67</v>
      </c>
      <c r="C43" s="2">
        <f>LOOKUP(A43,[2]Sheet1!$A$2:$B$69)</f>
      </c>
      <c r="D43" s="27">
        <v>1.8042708333333333</v>
      </c>
      <c r="E43" s="27">
        <v>1.8097569444444446</v>
      </c>
      <c r="F43" s="63">
        <f>E43-D43</f>
        <v>25568.791666666668</v>
      </c>
      <c r="G43" s="22"/>
      <c r="H43" s="90">
        <v>20.2</v>
      </c>
      <c r="I43" s="74">
        <v>915.1205268994995</v>
      </c>
      <c r="J43" s="64"/>
      <c r="K43" s="65"/>
      <c r="L43" s="65"/>
      <c r="M43" s="66"/>
      <c r="N43" s="65"/>
      <c r="O43" s="66"/>
      <c r="P43" s="26"/>
      <c r="Q43" s="16"/>
      <c r="R43" s="22">
        <f>LOOKUP(B43,[4]Data!$A:$A,[4]Data!$J:$J)</f>
      </c>
      <c r="S43" s="22">
        <f>LOOKUP(B43,[4]Data!$A:$A,[4]Data!$I:$I)</f>
      </c>
      <c r="T43" s="25">
        <f>(([5]Sheet1!$B$1+S43*([5]Sheet1!$B$2+S43*([5]Sheet1!$B$3+S43*([5]Sheet1!$B$4+S43*([5]Sheet1!$B$5+S43*[5]Sheet1!$B$6)))))+R43*(([5]Sheet1!$B$7+S43*([5]Sheet1!$B$8+S43*([5]Sheet1!$B$9+S43*([5]Sheet1!$B$10+S43*[5]Sheet1!$B$11))))+([5]Sheet1!$B$13+S43*[5]Sheet1!$B$14+S43*[5]Sheet1!$B$15)*(SQRT(R43))+([5]Sheet1!$B$17)*(R43)))/1000</f>
      </c>
      <c r="U43" s="5">
        <f>(I43-$D$4)*$D$5*(1/(10^6))*(1/4)</f>
      </c>
      <c r="V43" s="5">
        <f>((C43*(1+([3]Sheet1!$C$4*(S43-20))))-2)*(1/10^6)*T43</f>
      </c>
      <c r="W43" s="92">
        <f>(U43-(7.6*10^-8))*1000/V43</f>
      </c>
      <c r="X43" s="93">
        <f>(W43*T43)/44.66</f>
      </c>
      <c r="Y43" s="17"/>
      <c r="Z43" s="17"/>
      <c r="AA43" s="24"/>
      <c r="AB43" s="17"/>
      <c r="AC43" s="24"/>
    </row>
    <row x14ac:dyDescent="0.25" r="44" customHeight="1" ht="17.25">
      <c r="A44" s="46" t="s">
        <v>68</v>
      </c>
      <c r="B44" s="46" t="s">
        <v>69</v>
      </c>
      <c r="C44" s="2">
        <f>LOOKUP(A44,[2]Sheet1!$A$2:$B$69)</f>
      </c>
      <c r="D44" s="27">
        <v>1.8109490740740741</v>
      </c>
      <c r="E44" s="27">
        <v>1.814699074074074</v>
      </c>
      <c r="F44" s="63">
        <f>E44-D44</f>
        <v>25568.791666666668</v>
      </c>
      <c r="G44" s="22"/>
      <c r="H44" s="90">
        <v>20.2</v>
      </c>
      <c r="I44" s="9">
        <v>892.367606867976</v>
      </c>
      <c r="J44" s="64"/>
      <c r="K44" s="65"/>
      <c r="L44" s="65"/>
      <c r="M44" s="66"/>
      <c r="N44" s="65"/>
      <c r="O44" s="66"/>
      <c r="P44" s="26"/>
      <c r="Q44" s="16"/>
      <c r="R44" s="22">
        <f>LOOKUP(B44,[4]Data!$A:$A,[4]Data!$J:$J)</f>
      </c>
      <c r="S44" s="22">
        <f>LOOKUP(B44,[4]Data!$A:$A,[4]Data!$I:$I)</f>
      </c>
      <c r="T44" s="25">
        <f>(([5]Sheet1!$B$1+S44*([5]Sheet1!$B$2+S44*([5]Sheet1!$B$3+S44*([5]Sheet1!$B$4+S44*([5]Sheet1!$B$5+S44*[5]Sheet1!$B$6)))))+R44*(([5]Sheet1!$B$7+S44*([5]Sheet1!$B$8+S44*([5]Sheet1!$B$9+S44*([5]Sheet1!$B$10+S44*[5]Sheet1!$B$11))))+([5]Sheet1!$B$13+S44*[5]Sheet1!$B$14+S44*[5]Sheet1!$B$15)*(SQRT(R44))+([5]Sheet1!$B$17)*(R44)))/1000</f>
      </c>
      <c r="U44" s="5">
        <f>(I44-$D$4)*$D$5*(1/(10^6))*(1/4)</f>
      </c>
      <c r="V44" s="5">
        <f>((C44*(1+([3]Sheet1!$C$4*(S44-20))))-2)*(1/10^6)*T44</f>
      </c>
      <c r="W44" s="92">
        <f>(U44-(7.6*10^-8))*1000/V44</f>
      </c>
      <c r="X44" s="93">
        <f>(W44*T44)/44.66</f>
      </c>
      <c r="Y44" s="17"/>
      <c r="Z44" s="17"/>
      <c r="AA44" s="24"/>
      <c r="AB44" s="17"/>
      <c r="AC44" s="24"/>
    </row>
    <row x14ac:dyDescent="0.25" r="45" customHeight="1" ht="17.25">
      <c r="A45" s="46" t="s">
        <v>13</v>
      </c>
      <c r="B45" s="46" t="s">
        <v>70</v>
      </c>
      <c r="C45" s="2">
        <f>LOOKUP(A45,[2]Sheet1!$A$2:$B$69)</f>
      </c>
      <c r="D45" s="27">
        <v>1.8162847222222223</v>
      </c>
      <c r="E45" s="27">
        <v>1.8205324074074074</v>
      </c>
      <c r="F45" s="63">
        <f>E45-D45</f>
        <v>25568.791666666668</v>
      </c>
      <c r="G45" s="22"/>
      <c r="H45" s="90">
        <v>20.2</v>
      </c>
      <c r="I45" s="74">
        <v>891.0004618914959</v>
      </c>
      <c r="J45" s="64"/>
      <c r="K45" s="65"/>
      <c r="L45" s="65"/>
      <c r="M45" s="66"/>
      <c r="N45" s="65"/>
      <c r="O45" s="66"/>
      <c r="P45" s="26"/>
      <c r="Q45" s="16"/>
      <c r="R45" s="22">
        <f>LOOKUP(B45,[4]Data!$A:$A,[4]Data!$J:$J)</f>
      </c>
      <c r="S45" s="22">
        <f>LOOKUP(B45,[4]Data!$A:$A,[4]Data!$I:$I)</f>
      </c>
      <c r="T45" s="25">
        <f>(([5]Sheet1!$B$1+S45*([5]Sheet1!$B$2+S45*([5]Sheet1!$B$3+S45*([5]Sheet1!$B$4+S45*([5]Sheet1!$B$5+S45*[5]Sheet1!$B$6)))))+R45*(([5]Sheet1!$B$7+S45*([5]Sheet1!$B$8+S45*([5]Sheet1!$B$9+S45*([5]Sheet1!$B$10+S45*[5]Sheet1!$B$11))))+([5]Sheet1!$B$13+S45*[5]Sheet1!$B$14+S45*[5]Sheet1!$B$15)*(SQRT(R45))+([5]Sheet1!$B$17)*(R45)))/1000</f>
      </c>
      <c r="U45" s="5">
        <f>(I45-$D$4)*$D$5*(1/(10^6))*(1/4)</f>
      </c>
      <c r="V45" s="5">
        <f>((C45*(1+([3]Sheet1!$C$4*(S45-20))))-2)*(1/10^6)*T45</f>
      </c>
      <c r="W45" s="92">
        <f>(U45-(7.6*10^-8))*1000/V45</f>
      </c>
      <c r="X45" s="93">
        <f>(W45*T45)/44.66</f>
      </c>
      <c r="Y45" s="17"/>
      <c r="Z45" s="17"/>
      <c r="AA45" s="24"/>
      <c r="AB45" s="17"/>
      <c r="AC45" s="24"/>
    </row>
    <row x14ac:dyDescent="0.25" r="46" customHeight="1" ht="17.25">
      <c r="A46" s="46" t="s">
        <v>71</v>
      </c>
      <c r="B46" s="46" t="s">
        <v>72</v>
      </c>
      <c r="C46" s="2">
        <f>LOOKUP(A46,[2]Sheet1!$A$2:$B$69)</f>
      </c>
      <c r="D46" s="27">
        <v>1.8218634259259259</v>
      </c>
      <c r="E46" s="27">
        <v>1.826400462962963</v>
      </c>
      <c r="F46" s="63">
        <f>E46-D46</f>
        <v>25568.791666666668</v>
      </c>
      <c r="G46" s="22"/>
      <c r="H46" s="90">
        <v>20.2</v>
      </c>
      <c r="I46" s="9">
        <v>918.627791746208</v>
      </c>
      <c r="J46" s="91" t="s">
        <v>73</v>
      </c>
      <c r="K46" s="65"/>
      <c r="L46" s="65"/>
      <c r="M46" s="66"/>
      <c r="N46" s="65"/>
      <c r="O46" s="66"/>
      <c r="P46" s="26"/>
      <c r="Q46" s="16"/>
      <c r="R46" s="22">
        <f>LOOKUP(B46,[4]Data!$A:$A,[4]Data!$J:$J)</f>
      </c>
      <c r="S46" s="22">
        <f>LOOKUP(B46,[4]Data!$A:$A,[4]Data!$I:$I)</f>
      </c>
      <c r="T46" s="25">
        <f>(([5]Sheet1!$B$1+S46*([5]Sheet1!$B$2+S46*([5]Sheet1!$B$3+S46*([5]Sheet1!$B$4+S46*([5]Sheet1!$B$5+S46*[5]Sheet1!$B$6)))))+R46*(([5]Sheet1!$B$7+S46*([5]Sheet1!$B$8+S46*([5]Sheet1!$B$9+S46*([5]Sheet1!$B$10+S46*[5]Sheet1!$B$11))))+([5]Sheet1!$B$13+S46*[5]Sheet1!$B$14+S46*[5]Sheet1!$B$15)*(SQRT(R46))+([5]Sheet1!$B$17)*(R46)))/1000</f>
      </c>
      <c r="U46" s="5">
        <f>(I46-$D$4)*$D$5*(1/(10^6))*(1/4)</f>
      </c>
      <c r="V46" s="5">
        <f>((C46*(1+([3]Sheet1!$C$4*(S46-20))))-2)*(1/10^6)*T46</f>
      </c>
      <c r="W46" s="92">
        <f>(U46-(7.6*10^-8))*1000/V46</f>
      </c>
      <c r="X46" s="93">
        <f>(W46*T46)/44.66</f>
      </c>
      <c r="Y46" s="17"/>
      <c r="Z46" s="17"/>
      <c r="AA46" s="24"/>
      <c r="AB46" s="17"/>
      <c r="AC46" s="24"/>
    </row>
    <row x14ac:dyDescent="0.25" r="47" customHeight="1" ht="17.25">
      <c r="A47" s="46" t="s">
        <v>74</v>
      </c>
      <c r="B47" s="46" t="s">
        <v>75</v>
      </c>
      <c r="C47" s="2">
        <f>LOOKUP(A47,[2]Sheet1!$A$2:$B$69)</f>
      </c>
      <c r="D47" s="27">
        <v>1.8288310185185184</v>
      </c>
      <c r="E47" s="27">
        <v>1.8335069444444443</v>
      </c>
      <c r="F47" s="63">
        <f>E47-D47</f>
        <v>25568.791666666668</v>
      </c>
      <c r="G47" s="22"/>
      <c r="H47" s="90">
        <v>20.3</v>
      </c>
      <c r="I47" s="9">
        <v>917.759654199753</v>
      </c>
      <c r="J47" s="64"/>
      <c r="K47" s="65"/>
      <c r="L47" s="65"/>
      <c r="M47" s="66"/>
      <c r="N47" s="65"/>
      <c r="O47" s="66"/>
      <c r="P47" s="26"/>
      <c r="Q47" s="16"/>
      <c r="R47" s="22">
        <f>LOOKUP(B47,[4]Data!$A:$A,[4]Data!$J:$J)</f>
      </c>
      <c r="S47" s="22">
        <f>LOOKUP(B47,[4]Data!$A:$A,[4]Data!$I:$I)</f>
      </c>
      <c r="T47" s="25">
        <f>(([5]Sheet1!$B$1+S47*([5]Sheet1!$B$2+S47*([5]Sheet1!$B$3+S47*([5]Sheet1!$B$4+S47*([5]Sheet1!$B$5+S47*[5]Sheet1!$B$6)))))+R47*(([5]Sheet1!$B$7+S47*([5]Sheet1!$B$8+S47*([5]Sheet1!$B$9+S47*([5]Sheet1!$B$10+S47*[5]Sheet1!$B$11))))+([5]Sheet1!$B$13+S47*[5]Sheet1!$B$14+S47*[5]Sheet1!$B$15)*(SQRT(R47))+([5]Sheet1!$B$17)*(R47)))/1000</f>
      </c>
      <c r="U47" s="5">
        <f>(I47-$D$4)*$D$5*(1/(10^6))*(1/4)</f>
      </c>
      <c r="V47" s="5">
        <f>((C47*(1+([3]Sheet1!$C$4*(S47-20))))-2)*(1/10^6)*T47</f>
      </c>
      <c r="W47" s="92">
        <f>(U47-(7.6*10^-8))*1000/V47</f>
      </c>
      <c r="X47" s="93">
        <f>(W47*T47)/44.66</f>
      </c>
      <c r="Y47" s="17"/>
      <c r="Z47" s="17"/>
      <c r="AA47" s="24"/>
      <c r="AB47" s="17"/>
      <c r="AC47" s="24"/>
    </row>
    <row x14ac:dyDescent="0.25" r="48" customHeight="1" ht="17.25">
      <c r="A48" s="46" t="s">
        <v>76</v>
      </c>
      <c r="B48" s="46" t="s">
        <v>77</v>
      </c>
      <c r="C48" s="2">
        <f>LOOKUP(A48,[2]Sheet1!$A$2:$B$69)</f>
      </c>
      <c r="D48" s="27">
        <v>1.8359027777777777</v>
      </c>
      <c r="E48" s="27">
        <v>1.8407291666666667</v>
      </c>
      <c r="F48" s="63">
        <f>E48-D48</f>
        <v>25568.791666666668</v>
      </c>
      <c r="G48" s="22"/>
      <c r="H48" s="90">
        <v>20.3</v>
      </c>
      <c r="I48" s="9">
        <v>684.880498037797</v>
      </c>
      <c r="J48" s="64"/>
      <c r="K48" s="65"/>
      <c r="L48" s="65"/>
      <c r="M48" s="66"/>
      <c r="N48" s="65"/>
      <c r="O48" s="66"/>
      <c r="P48" s="26"/>
      <c r="Q48" s="16"/>
      <c r="R48" s="22">
        <f>LOOKUP(B48,[4]Data!$A:$A,[4]Data!$J:$J)</f>
      </c>
      <c r="S48" s="22">
        <f>LOOKUP(B48,[4]Data!$A:$A,[4]Data!$I:$I)</f>
      </c>
      <c r="T48" s="25">
        <f>(([5]Sheet1!$B$1+S48*([5]Sheet1!$B$2+S48*([5]Sheet1!$B$3+S48*([5]Sheet1!$B$4+S48*([5]Sheet1!$B$5+S48*[5]Sheet1!$B$6)))))+R48*(([5]Sheet1!$B$7+S48*([5]Sheet1!$B$8+S48*([5]Sheet1!$B$9+S48*([5]Sheet1!$B$10+S48*[5]Sheet1!$B$11))))+([5]Sheet1!$B$13+S48*[5]Sheet1!$B$14+S48*[5]Sheet1!$B$15)*(SQRT(R48))+([5]Sheet1!$B$17)*(R48)))/1000</f>
      </c>
      <c r="U48" s="5">
        <f>(I48-$D$4)*$D$5*(1/(10^6))*(1/4)</f>
      </c>
      <c r="V48" s="5">
        <f>((C48*(1+([3]Sheet1!$C$4*(S48-20))))-2)*(1/10^6)*T48</f>
      </c>
      <c r="W48" s="92">
        <f>(U48-(7.6*10^-8))*1000/V48</f>
      </c>
      <c r="X48" s="93">
        <f>(W48*T48)/44.66</f>
      </c>
      <c r="Y48" s="17"/>
      <c r="Z48" s="17"/>
      <c r="AA48" s="24"/>
      <c r="AB48" s="17"/>
      <c r="AC48" s="24"/>
    </row>
    <row x14ac:dyDescent="0.25" r="49" customHeight="1" ht="17.25">
      <c r="A49" s="46" t="s">
        <v>78</v>
      </c>
      <c r="B49" s="46" t="s">
        <v>79</v>
      </c>
      <c r="C49" s="2">
        <f>LOOKUP(A49,[2]Sheet1!$A$2:$B$69)</f>
      </c>
      <c r="D49" s="27">
        <v>1.841875</v>
      </c>
      <c r="E49" s="27">
        <v>1.8465509259259258</v>
      </c>
      <c r="F49" s="63">
        <f>E49-D49</f>
        <v>25568.791666666668</v>
      </c>
      <c r="G49" s="22"/>
      <c r="H49" s="90">
        <v>20.3</v>
      </c>
      <c r="I49" s="9">
        <v>665.495714967518</v>
      </c>
      <c r="J49" s="64"/>
      <c r="K49" s="65"/>
      <c r="L49" s="65"/>
      <c r="M49" s="66"/>
      <c r="N49" s="65"/>
      <c r="O49" s="66"/>
      <c r="P49" s="26"/>
      <c r="Q49" s="16"/>
      <c r="R49" s="22">
        <f>LOOKUP(B49,[4]Data!$A:$A,[4]Data!$J:$J)</f>
      </c>
      <c r="S49" s="22">
        <f>LOOKUP(B49,[4]Data!$A:$A,[4]Data!$I:$I)</f>
      </c>
      <c r="T49" s="25">
        <f>(([5]Sheet1!$B$1+S49*([5]Sheet1!$B$2+S49*([5]Sheet1!$B$3+S49*([5]Sheet1!$B$4+S49*([5]Sheet1!$B$5+S49*[5]Sheet1!$B$6)))))+R49*(([5]Sheet1!$B$7+S49*([5]Sheet1!$B$8+S49*([5]Sheet1!$B$9+S49*([5]Sheet1!$B$10+S49*[5]Sheet1!$B$11))))+([5]Sheet1!$B$13+S49*[5]Sheet1!$B$14+S49*[5]Sheet1!$B$15)*(SQRT(R49))+([5]Sheet1!$B$17)*(R49)))/1000</f>
      </c>
      <c r="U49" s="5">
        <f>(I49-$D$4)*$D$5*(1/(10^6))*(1/4)</f>
      </c>
      <c r="V49" s="5">
        <f>((C49*(1+([3]Sheet1!$C$4*(S49-20))))-2)*(1/10^6)*T49</f>
      </c>
      <c r="W49" s="92">
        <f>(U49-(7.6*10^-8))*1000/V49</f>
      </c>
      <c r="X49" s="93">
        <f>(W49*T49)/44.66</f>
      </c>
      <c r="Y49" s="17"/>
      <c r="Z49" s="17"/>
      <c r="AA49" s="24"/>
      <c r="AB49" s="17"/>
      <c r="AC49" s="24"/>
    </row>
    <row x14ac:dyDescent="0.25" r="50" customHeight="1" ht="17.25">
      <c r="A50" s="46" t="s">
        <v>80</v>
      </c>
      <c r="B50" s="46" t="s">
        <v>81</v>
      </c>
      <c r="C50" s="2">
        <f>LOOKUP(A50,[2]Sheet1!$A$2:$B$69)</f>
      </c>
      <c r="D50" s="27">
        <v>1.8477430555555556</v>
      </c>
      <c r="E50" s="27">
        <v>1.8525</v>
      </c>
      <c r="F50" s="63">
        <f>E50-D50</f>
        <v>25568.791666666668</v>
      </c>
      <c r="G50" s="22"/>
      <c r="H50" s="90">
        <v>20.3</v>
      </c>
      <c r="I50" s="9">
        <v>692.308587940024</v>
      </c>
      <c r="J50" s="64"/>
      <c r="K50" s="65"/>
      <c r="L50" s="65"/>
      <c r="M50" s="66"/>
      <c r="N50" s="65"/>
      <c r="O50" s="66"/>
      <c r="P50" s="26"/>
      <c r="Q50" s="16"/>
      <c r="R50" s="22">
        <f>LOOKUP(B50,[4]Data!$A:$A,[4]Data!$J:$J)</f>
      </c>
      <c r="S50" s="22">
        <f>LOOKUP(B50,[4]Data!$A:$A,[4]Data!$I:$I)</f>
      </c>
      <c r="T50" s="25">
        <f>(([5]Sheet1!$B$1+S50*([5]Sheet1!$B$2+S50*([5]Sheet1!$B$3+S50*([5]Sheet1!$B$4+S50*([5]Sheet1!$B$5+S50*[5]Sheet1!$B$6)))))+R50*(([5]Sheet1!$B$7+S50*([5]Sheet1!$B$8+S50*([5]Sheet1!$B$9+S50*([5]Sheet1!$B$10+S50*[5]Sheet1!$B$11))))+([5]Sheet1!$B$13+S50*[5]Sheet1!$B$14+S50*[5]Sheet1!$B$15)*(SQRT(R50))+([5]Sheet1!$B$17)*(R50)))/1000</f>
      </c>
      <c r="U50" s="5">
        <f>(I50-$D$4)*$D$5*(1/(10^6))*(1/4)</f>
      </c>
      <c r="V50" s="5">
        <f>((C50*(1+([3]Sheet1!$C$4*(S50-20))))-2)*(1/10^6)*T50</f>
      </c>
      <c r="W50" s="92">
        <f>(U50-(7.6*10^-8))*1000/V50</f>
      </c>
      <c r="X50" s="93">
        <f>(W50*T50)/44.66</f>
      </c>
      <c r="Y50" s="17"/>
      <c r="Z50" s="17"/>
      <c r="AA50" s="24"/>
      <c r="AB50" s="17"/>
      <c r="AC50" s="24"/>
    </row>
    <row x14ac:dyDescent="0.25" r="51" customHeight="1" ht="17.25">
      <c r="A51" s="94"/>
      <c r="B51" s="16"/>
      <c r="C51" s="7" t="s">
        <v>46</v>
      </c>
      <c r="D51" s="44" t="s">
        <v>47</v>
      </c>
      <c r="E51" s="63"/>
      <c r="F51" s="63"/>
      <c r="G51" s="22"/>
      <c r="H51" s="22"/>
      <c r="I51" s="2"/>
      <c r="J51" s="64"/>
      <c r="K51" s="65"/>
      <c r="L51" s="65"/>
      <c r="M51" s="66"/>
      <c r="N51" s="65"/>
      <c r="O51" s="66"/>
      <c r="P51" s="26"/>
      <c r="Q51" s="16"/>
      <c r="R51" s="22"/>
      <c r="S51" s="22"/>
      <c r="T51" s="2"/>
      <c r="U51" s="5"/>
      <c r="V51" s="5"/>
      <c r="W51" s="29"/>
      <c r="X51" s="29"/>
      <c r="Y51" s="17"/>
      <c r="Z51" s="17"/>
      <c r="AA51" s="24"/>
      <c r="AB51" s="17"/>
      <c r="AC51" s="24"/>
    </row>
    <row x14ac:dyDescent="0.25" r="52" customHeight="1" ht="17.25">
      <c r="A52" s="80" t="s">
        <v>82</v>
      </c>
      <c r="B52" s="46" t="s">
        <v>49</v>
      </c>
      <c r="C52" s="5">
        <f>LOOKUP(B52,'[1]working standards'!$A:$B)</f>
      </c>
      <c r="D52" s="47">
        <v>10.00325909737206</v>
      </c>
      <c r="E52" s="63"/>
      <c r="F52" s="63"/>
      <c r="G52" s="22"/>
      <c r="H52" s="22"/>
      <c r="I52" s="2"/>
      <c r="J52" s="64"/>
      <c r="K52" s="65"/>
      <c r="L52" s="65"/>
      <c r="M52" s="66"/>
      <c r="N52" s="65"/>
      <c r="O52" s="66"/>
      <c r="P52" s="26"/>
      <c r="Q52" s="16"/>
      <c r="R52" s="22"/>
      <c r="S52" s="22"/>
      <c r="T52" s="2"/>
      <c r="U52" s="5"/>
      <c r="V52" s="5"/>
      <c r="W52" s="29"/>
      <c r="X52" s="29"/>
      <c r="Y52" s="17"/>
      <c r="Z52" s="17"/>
      <c r="AA52" s="24"/>
      <c r="AB52" s="17"/>
      <c r="AC52" s="24"/>
    </row>
    <row x14ac:dyDescent="0.25" r="53" customHeight="1" ht="17.25">
      <c r="A53" s="95" t="s">
        <v>50</v>
      </c>
      <c r="B53" s="96"/>
      <c r="C53" s="97">
        <f>LOOKUP(A53,[2]Sheet1!$A$2:$B$69)</f>
      </c>
      <c r="D53" s="98">
        <v>1.8545717592592592</v>
      </c>
      <c r="E53" s="98">
        <v>1.857789351851852</v>
      </c>
      <c r="F53" s="98">
        <f>E53-D53</f>
        <v>25568.791666666668</v>
      </c>
      <c r="G53" s="99">
        <v>20.1</v>
      </c>
      <c r="H53" s="99">
        <v>20.3</v>
      </c>
      <c r="I53" s="100">
        <v>485.798692173676</v>
      </c>
      <c r="J53" s="101"/>
      <c r="K53" s="102"/>
      <c r="L53" s="102"/>
      <c r="M53" s="103">
        <f>$C$52*(O53/((999.84847+(6.337563*10^-2*20)-(8.523829*10^-3*20^2)+(6.943248*10^-5*20^3)-(3.821216*10^-7*20^4))/1000))</f>
      </c>
      <c r="N53" s="102">
        <f>$D$52*(1+([3]Sheet1!$C$5*(G53-20)))</f>
      </c>
      <c r="O53" s="103">
        <f>(999.84847+(6.337563*10^-2*G53)-(8.523829*10^-3*G53^2)+(6.943248*10^-5*G53^3)-(3.821216*10^-7*G53^4))/1000</f>
      </c>
      <c r="P53" s="104">
        <f>(6000*N53*M53)/(I53-$D$2)</f>
      </c>
      <c r="Q53" s="96"/>
      <c r="R53" s="22"/>
      <c r="S53" s="22"/>
      <c r="T53" s="2"/>
      <c r="U53" s="5"/>
      <c r="V53" s="5"/>
      <c r="W53" s="29"/>
      <c r="X53" s="29"/>
      <c r="Y53" s="17"/>
      <c r="Z53" s="17"/>
      <c r="AA53" s="24"/>
      <c r="AB53" s="17"/>
      <c r="AC53" s="24"/>
    </row>
    <row x14ac:dyDescent="0.25" r="54" customHeight="1" ht="17.25">
      <c r="A54" s="95" t="s">
        <v>50</v>
      </c>
      <c r="B54" s="96"/>
      <c r="C54" s="97">
        <f>LOOKUP(A54,[2]Sheet1!$A$2:$B$69)</f>
      </c>
      <c r="D54" s="98">
        <v>1.859537037037037</v>
      </c>
      <c r="E54" s="98">
        <v>1.8630092592592593</v>
      </c>
      <c r="F54" s="98">
        <f>E54-D54</f>
        <v>25568.791666666668</v>
      </c>
      <c r="G54" s="99">
        <v>20.1</v>
      </c>
      <c r="H54" s="99">
        <v>20.3</v>
      </c>
      <c r="I54" s="100">
        <v>486.280306787807</v>
      </c>
      <c r="J54" s="101"/>
      <c r="K54" s="102"/>
      <c r="L54" s="102"/>
      <c r="M54" s="103">
        <f>$C$52*(O54/((999.84847+(6.337563*10^-2*20)-(8.523829*10^-3*20^2)+(6.943248*10^-5*20^3)-(3.821216*10^-7*20^4))/1000))</f>
      </c>
      <c r="N54" s="102">
        <f>$D$52*(1+([3]Sheet1!$C$5*(G54-20)))</f>
      </c>
      <c r="O54" s="103">
        <f>(999.84847+(6.337563*10^-2*G54)-(8.523829*10^-3*G54^2)+(6.943248*10^-5*G54^3)-(3.821216*10^-7*G54^4))/1000</f>
      </c>
      <c r="P54" s="104">
        <f>(6000*N54*M54)/(I54-$D$2)</f>
      </c>
      <c r="Q54" s="96" t="s">
        <v>83</v>
      </c>
      <c r="R54" s="22"/>
      <c r="S54" s="22"/>
      <c r="T54" s="2"/>
      <c r="U54" s="5"/>
      <c r="V54" s="5"/>
      <c r="W54" s="29"/>
      <c r="X54" s="29"/>
      <c r="Y54" s="17"/>
      <c r="Z54" s="17"/>
      <c r="AA54" s="24"/>
      <c r="AB54" s="17"/>
      <c r="AC54" s="24"/>
    </row>
    <row x14ac:dyDescent="0.25" r="55" customHeight="1" ht="17.25">
      <c r="A55" s="95" t="s">
        <v>50</v>
      </c>
      <c r="B55" s="96"/>
      <c r="C55" s="97">
        <f>LOOKUP(A55,[2]Sheet1!$A$2:$B$69)</f>
      </c>
      <c r="D55" s="98">
        <v>1.8649074074074075</v>
      </c>
      <c r="E55" s="98">
        <v>1.868298611111111</v>
      </c>
      <c r="F55" s="98">
        <f>E55-D55</f>
        <v>25568.791666666668</v>
      </c>
      <c r="G55" s="99">
        <v>20.1</v>
      </c>
      <c r="H55" s="99">
        <v>20.3</v>
      </c>
      <c r="I55" s="100">
        <v>486.535634419347</v>
      </c>
      <c r="J55" s="101"/>
      <c r="K55" s="102"/>
      <c r="L55" s="102"/>
      <c r="M55" s="103">
        <f>$C$52*(O55/((999.84847+(6.337563*10^-2*20)-(8.523829*10^-3*20^2)+(6.943248*10^-5*20^3)-(3.821216*10^-7*20^4))/1000))</f>
      </c>
      <c r="N55" s="102">
        <f>$D$52*(1+([3]Sheet1!$C$5*(G55-20)))</f>
      </c>
      <c r="O55" s="103">
        <f>(999.84847+(6.337563*10^-2*G55)-(8.523829*10^-3*G55^2)+(6.943248*10^-5*G55^3)-(3.821216*10^-7*G55^4))/1000</f>
      </c>
      <c r="P55" s="104">
        <f>(6000*N55*M55)/(I55-$D$2)</f>
      </c>
      <c r="Q55" s="96" t="s">
        <v>83</v>
      </c>
      <c r="R55" s="22"/>
      <c r="S55" s="22"/>
      <c r="T55" s="2"/>
      <c r="U55" s="5"/>
      <c r="V55" s="5"/>
      <c r="W55" s="29"/>
      <c r="X55" s="29"/>
      <c r="Y55" s="17"/>
      <c r="Z55" s="17"/>
      <c r="AA55" s="24"/>
      <c r="AB55" s="17"/>
      <c r="AC55" s="24"/>
    </row>
    <row x14ac:dyDescent="0.25" r="56" customHeight="1" ht="17.25">
      <c r="A56" s="95" t="s">
        <v>50</v>
      </c>
      <c r="B56" s="96"/>
      <c r="C56" s="97">
        <f>LOOKUP(A56,[2]Sheet1!$A$2:$B$69)</f>
      </c>
      <c r="D56" s="98">
        <v>1.8701504629629628</v>
      </c>
      <c r="E56" s="98">
        <v>1.8735879629629628</v>
      </c>
      <c r="F56" s="98">
        <f>E56-D56</f>
        <v>25568.791666666668</v>
      </c>
      <c r="G56" s="99">
        <v>20.1</v>
      </c>
      <c r="H56" s="99">
        <v>20.3</v>
      </c>
      <c r="I56" s="100">
        <v>486.242032211966</v>
      </c>
      <c r="J56" s="101"/>
      <c r="K56" s="102"/>
      <c r="L56" s="102"/>
      <c r="M56" s="103">
        <f>$C$52*(O56/((999.84847+(6.337563*10^-2*20)-(8.523829*10^-3*20^2)+(6.943248*10^-5*20^3)-(3.821216*10^-7*20^4))/1000))</f>
      </c>
      <c r="N56" s="102">
        <f>$D$52*(1+([3]Sheet1!$C$5*(G56-20)))</f>
      </c>
      <c r="O56" s="103">
        <f>(999.84847+(6.337563*10^-2*G56)-(8.523829*10^-3*G56^2)+(6.943248*10^-5*G56^3)-(3.821216*10^-7*G56^4))/1000</f>
      </c>
      <c r="P56" s="104">
        <f>(6000*N56*M56)/(I56-$D$2)</f>
      </c>
      <c r="Q56" s="96" t="s">
        <v>83</v>
      </c>
      <c r="R56" s="22"/>
      <c r="S56" s="22"/>
      <c r="T56" s="2"/>
      <c r="U56" s="5"/>
      <c r="V56" s="5"/>
      <c r="W56" s="29"/>
      <c r="X56" s="29"/>
      <c r="Y56" s="17"/>
      <c r="Z56" s="17"/>
      <c r="AA56" s="24"/>
      <c r="AB56" s="17"/>
      <c r="AC56" s="24"/>
    </row>
    <row x14ac:dyDescent="0.25" r="57" customHeight="1" ht="17.25">
      <c r="A57" s="96"/>
      <c r="B57" s="96"/>
      <c r="C57" s="97"/>
      <c r="D57" s="105"/>
      <c r="E57" s="105"/>
      <c r="F57" s="105"/>
      <c r="G57" s="106"/>
      <c r="H57" s="106"/>
      <c r="I57" s="97"/>
      <c r="J57" s="101"/>
      <c r="K57" s="102"/>
      <c r="L57" s="102"/>
      <c r="M57" s="103"/>
      <c r="N57" s="102"/>
      <c r="O57" s="103"/>
      <c r="P57" s="104"/>
      <c r="Q57" s="96"/>
      <c r="R57" s="22"/>
      <c r="S57" s="22"/>
      <c r="T57" s="2"/>
      <c r="U57" s="5"/>
      <c r="V57" s="5"/>
      <c r="W57" s="29"/>
      <c r="X57" s="89"/>
      <c r="Y57" s="17"/>
      <c r="Z57" s="17"/>
      <c r="AA57" s="24"/>
      <c r="AB57" s="17"/>
      <c r="AC57" s="24"/>
    </row>
    <row x14ac:dyDescent="0.25" r="58" customHeight="1" ht="17.25">
      <c r="A58" s="96"/>
      <c r="B58" s="96"/>
      <c r="C58" s="97"/>
      <c r="D58" s="105"/>
      <c r="E58" s="105"/>
      <c r="F58" s="105"/>
      <c r="G58" s="106">
        <f>AVERAGE(G53:G56)</f>
      </c>
      <c r="H58" s="106">
        <f>AVERAGE(H53:H56)</f>
      </c>
      <c r="I58" s="97">
        <f>AVERAGE(I55,I56,I54)</f>
      </c>
      <c r="J58" s="101"/>
      <c r="K58" s="102"/>
      <c r="L58" s="102"/>
      <c r="M58" s="103">
        <f>$C$52*(O58/((999.84847+(6.337563*10^-2*20)-(8.523829*10^-3*20^2)+(6.943248*10^-5*20^3)-(3.821216*10^-7*20^4))/1000))</f>
      </c>
      <c r="N58" s="102">
        <f>$D$52*(1+([3]Sheet1!$C$5*(G58-20)))</f>
      </c>
      <c r="O58" s="103">
        <f>(999.84847+(6.337563*10^-2*G58)-(8.523829*10^-3*G58^2)+(6.943248*10^-5*G58^3)-(3.821216*10^-7*G58^4))/1000</f>
      </c>
      <c r="P58" s="104">
        <f>(6000*N58*M58)/(I58-$D$2)</f>
      </c>
      <c r="Q58" s="96"/>
      <c r="R58" s="22"/>
      <c r="S58" s="22"/>
      <c r="T58" s="2"/>
      <c r="U58" s="5"/>
      <c r="V58" s="5"/>
      <c r="W58" s="29"/>
      <c r="X58" s="89"/>
      <c r="Y58" s="17"/>
      <c r="Z58" s="17" t="s">
        <v>84</v>
      </c>
      <c r="AA58" s="24"/>
      <c r="AB58" s="17" t="s">
        <v>85</v>
      </c>
      <c r="AC58" s="24"/>
    </row>
    <row x14ac:dyDescent="0.25" r="59" customHeight="1" ht="17.25">
      <c r="A59" s="46" t="s">
        <v>14</v>
      </c>
      <c r="B59" s="46" t="s">
        <v>86</v>
      </c>
      <c r="C59" s="2">
        <f>LOOKUP(A59,[2]Sheet1!$A$2:$B$69)</f>
      </c>
      <c r="D59" s="27">
        <v>1.8753587962962963</v>
      </c>
      <c r="E59" s="27">
        <v>1.880763888888889</v>
      </c>
      <c r="F59" s="63">
        <f>E59-D59</f>
        <v>25568.791666666668</v>
      </c>
      <c r="G59" s="22"/>
      <c r="H59" s="90">
        <v>20.3</v>
      </c>
      <c r="I59" s="74">
        <v>989.476548105226</v>
      </c>
      <c r="J59" s="91" t="s">
        <v>87</v>
      </c>
      <c r="K59" s="65"/>
      <c r="L59" s="65"/>
      <c r="M59" s="66"/>
      <c r="N59" s="65"/>
      <c r="O59" s="66"/>
      <c r="P59" s="26"/>
      <c r="Q59" s="16"/>
      <c r="R59" s="22">
        <f>LOOKUP(B59,[4]Data!$A:$A,[4]Data!$J:$J)</f>
      </c>
      <c r="S59" s="22">
        <f>LOOKUP(B59,[4]Data!$A:$A,[4]Data!$I:$I)</f>
      </c>
      <c r="T59" s="25">
        <f>(([5]Sheet1!$B$1+S59*([5]Sheet1!$B$2+S59*([5]Sheet1!$B$3+S59*([5]Sheet1!$B$4+S59*([5]Sheet1!$B$5+S59*[5]Sheet1!$B$6)))))+R59*(([5]Sheet1!$B$7+S59*([5]Sheet1!$B$8+S59*([5]Sheet1!$B$9+S59*([5]Sheet1!$B$10+S59*[5]Sheet1!$B$11))))+([5]Sheet1!$B$13+S59*[5]Sheet1!$B$14+S59*[5]Sheet1!$B$15)*(SQRT(R59))+([5]Sheet1!$B$17)*(R59)))/1000</f>
      </c>
      <c r="U59" s="5">
        <f>(I59-$D$3)*$D$5*(1/(10^6))*(1/4)</f>
      </c>
      <c r="V59" s="5">
        <f>((C59*(1+([3]Sheet1!$C$4*(S59-20))))-2)*(1/10^6)*T59</f>
      </c>
      <c r="W59" s="92">
        <f>(U59-(7.6*10^-8))*1000/V59</f>
      </c>
      <c r="X59" s="93">
        <f>(W59*T59)/44.66</f>
      </c>
      <c r="Y59" s="17"/>
      <c r="Z59" s="2">
        <v>346.1527201635465</v>
      </c>
      <c r="AA59" s="25">
        <v>7.929853909372246</v>
      </c>
      <c r="AB59" s="2">
        <v>346.11061546782906</v>
      </c>
      <c r="AC59" s="25">
        <v>7.929916655647236</v>
      </c>
    </row>
    <row x14ac:dyDescent="0.25" r="60" customHeight="1" ht="17.25">
      <c r="A60" s="46" t="s">
        <v>15</v>
      </c>
      <c r="B60" s="46" t="s">
        <v>88</v>
      </c>
      <c r="C60" s="2">
        <f>LOOKUP(A60,[2]Sheet1!$A$2:$B$69)</f>
      </c>
      <c r="D60" s="27">
        <v>1.8826041666666666</v>
      </c>
      <c r="E60" s="27">
        <v>1.8861574074074074</v>
      </c>
      <c r="F60" s="63">
        <f>E60-D60</f>
        <v>25568.791666666668</v>
      </c>
      <c r="G60" s="22"/>
      <c r="H60" s="90">
        <v>20.2</v>
      </c>
      <c r="I60" s="74">
        <v>988.2866056715094</v>
      </c>
      <c r="J60" s="64"/>
      <c r="K60" s="65"/>
      <c r="L60" s="65"/>
      <c r="M60" s="66"/>
      <c r="N60" s="65"/>
      <c r="O60" s="66"/>
      <c r="P60" s="26"/>
      <c r="Q60" s="16"/>
      <c r="R60" s="22">
        <f>LOOKUP(B60,[4]Data!$A:$A,[4]Data!$J:$J)</f>
      </c>
      <c r="S60" s="22">
        <f>LOOKUP(B60,[4]Data!$A:$A,[4]Data!$I:$I)</f>
      </c>
      <c r="T60" s="25">
        <f>(([5]Sheet1!$B$1+S60*([5]Sheet1!$B$2+S60*([5]Sheet1!$B$3+S60*([5]Sheet1!$B$4+S60*([5]Sheet1!$B$5+S60*[5]Sheet1!$B$6)))))+R60*(([5]Sheet1!$B$7+S60*([5]Sheet1!$B$8+S60*([5]Sheet1!$B$9+S60*([5]Sheet1!$B$10+S60*[5]Sheet1!$B$11))))+([5]Sheet1!$B$13+S60*[5]Sheet1!$B$14+S60*[5]Sheet1!$B$15)*(SQRT(R60))+([5]Sheet1!$B$17)*(R60)))/1000</f>
      </c>
      <c r="U60" s="5">
        <f>(I60-$D$3)*$D$5*(1/(10^6))*(1/4)</f>
      </c>
      <c r="V60" s="5">
        <f>((C60*(1+([3]Sheet1!$C$4*(S60-20))))-2)*(1/10^6)*T60</f>
      </c>
      <c r="W60" s="92">
        <f>(U60-(7.6*10^-8))*1000/V60</f>
      </c>
      <c r="X60" s="93">
        <f>(W60*T60)/44.66</f>
      </c>
      <c r="Y60" s="17"/>
      <c r="Z60" s="2">
        <v>350.31958605128204</v>
      </c>
      <c r="AA60" s="25">
        <v>8.025310728934658</v>
      </c>
      <c r="AB60" s="2">
        <v>350.27697503374804</v>
      </c>
      <c r="AC60" s="25">
        <v>8.025374242437916</v>
      </c>
    </row>
    <row x14ac:dyDescent="0.25" r="61" customHeight="1" ht="17.25">
      <c r="A61" s="46" t="s">
        <v>89</v>
      </c>
      <c r="B61" s="46" t="s">
        <v>90</v>
      </c>
      <c r="C61" s="2">
        <f>LOOKUP(A61,[2]Sheet1!$A$2:$B$69)</f>
      </c>
      <c r="D61" s="27">
        <v>1.8909837962962963</v>
      </c>
      <c r="E61" s="27">
        <v>1.8953935185185187</v>
      </c>
      <c r="F61" s="63">
        <f>E61-D61</f>
        <v>25568.791666666668</v>
      </c>
      <c r="G61" s="22"/>
      <c r="H61" s="90">
        <v>20.3</v>
      </c>
      <c r="I61" s="9">
        <v>645.721740737423</v>
      </c>
      <c r="J61" s="16"/>
      <c r="K61" s="2"/>
      <c r="L61" s="2"/>
      <c r="M61" s="66"/>
      <c r="N61" s="65"/>
      <c r="O61" s="66"/>
      <c r="P61" s="26"/>
      <c r="Q61" s="16"/>
      <c r="R61" s="22">
        <f>LOOKUP(B61,[4]Data!$A:$A,[4]Data!$J:$J)</f>
      </c>
      <c r="S61" s="22">
        <f>LOOKUP(B61,[4]Data!$A:$A,[4]Data!$I:$I)</f>
      </c>
      <c r="T61" s="25">
        <f>(([5]Sheet1!$B$1+S61*([5]Sheet1!$B$2+S61*([5]Sheet1!$B$3+S61*([5]Sheet1!$B$4+S61*([5]Sheet1!$B$5+S61*[5]Sheet1!$B$6)))))+R61*(([5]Sheet1!$B$7+S61*([5]Sheet1!$B$8+S61*([5]Sheet1!$B$9+S61*([5]Sheet1!$B$10+S61*[5]Sheet1!$B$11))))+([5]Sheet1!$B$13+S61*[5]Sheet1!$B$14+S61*[5]Sheet1!$B$15)*(SQRT(R61))+([5]Sheet1!$B$17)*(R61)))/1000</f>
      </c>
      <c r="U61" s="5">
        <f>(I61-$D$3)*$D$5*(1/(10^6))*(1/4)</f>
      </c>
      <c r="V61" s="5">
        <f>((C61*(1+([3]Sheet1!$C$4*(S61-20))))-2)*(1/10^6)*T61</f>
      </c>
      <c r="W61" s="92">
        <f>(U61-(7.6*10^-8))*1000/V61</f>
      </c>
      <c r="X61" s="93">
        <f>(W61*T61)/44.66</f>
      </c>
      <c r="Y61" s="17"/>
      <c r="Z61" s="2">
        <v>224.04503492782595</v>
      </c>
      <c r="AA61" s="25">
        <v>5.139530933108619</v>
      </c>
      <c r="AB61" s="2">
        <v>224.02178089634333</v>
      </c>
      <c r="AC61" s="25">
        <v>5.13957159848855</v>
      </c>
    </row>
    <row x14ac:dyDescent="0.25" r="62" customHeight="1" ht="17.25">
      <c r="A62" s="46" t="s">
        <v>91</v>
      </c>
      <c r="B62" s="46" t="s">
        <v>92</v>
      </c>
      <c r="C62" s="2">
        <f>LOOKUP(A62,[2]Sheet1!$A$2:$B$69)</f>
      </c>
      <c r="D62" s="27">
        <v>1.8974537037037038</v>
      </c>
      <c r="E62" s="27">
        <v>1.9023958333333333</v>
      </c>
      <c r="F62" s="63">
        <f>E62-D62</f>
        <v>25568.791666666668</v>
      </c>
      <c r="G62" s="22"/>
      <c r="H62" s="90">
        <v>20.3</v>
      </c>
      <c r="I62" s="9">
        <v>657.355785607235</v>
      </c>
      <c r="J62" s="16"/>
      <c r="K62" s="2"/>
      <c r="L62" s="2"/>
      <c r="M62" s="21"/>
      <c r="N62" s="17"/>
      <c r="O62" s="21"/>
      <c r="P62" s="26"/>
      <c r="Q62" s="16"/>
      <c r="R62" s="22">
        <f>LOOKUP(B62,[4]Data!$A:$A,[4]Data!$J:$J)</f>
      </c>
      <c r="S62" s="22">
        <f>LOOKUP(B62,[4]Data!$A:$A,[4]Data!$I:$I)</f>
      </c>
      <c r="T62" s="25">
        <f>(([5]Sheet1!$B$1+S62*([5]Sheet1!$B$2+S62*([5]Sheet1!$B$3+S62*([5]Sheet1!$B$4+S62*([5]Sheet1!$B$5+S62*[5]Sheet1!$B$6)))))+R62*(([5]Sheet1!$B$7+S62*([5]Sheet1!$B$8+S62*([5]Sheet1!$B$9+S62*([5]Sheet1!$B$10+S62*[5]Sheet1!$B$11))))+([5]Sheet1!$B$13+S62*[5]Sheet1!$B$14+S62*[5]Sheet1!$B$15)*(SQRT(R62))+([5]Sheet1!$B$17)*(R62)))/1000</f>
      </c>
      <c r="U62" s="5">
        <f>(I62-$D$3)*$D$5*(1/(10^6))*(1/4)</f>
      </c>
      <c r="V62" s="5">
        <f>((C62*(1+([3]Sheet1!$C$4*(S62-20))))-2)*(1/10^6)*T62</f>
      </c>
      <c r="W62" s="92">
        <f>(U62-(7.6*10^-8))*1000/V62</f>
      </c>
      <c r="X62" s="93">
        <f>(W62*T62)/44.66</f>
      </c>
      <c r="Y62" s="17"/>
      <c r="Z62" s="2">
        <v>224.26448475776573</v>
      </c>
      <c r="AA62" s="25">
        <v>5.144565051314381</v>
      </c>
      <c r="AB62" s="2">
        <v>224.2412075292772</v>
      </c>
      <c r="AC62" s="25">
        <v>5.144605746891739</v>
      </c>
    </row>
    <row x14ac:dyDescent="0.25" r="63" customHeight="1" ht="17.25">
      <c r="A63" s="46" t="s">
        <v>93</v>
      </c>
      <c r="B63" s="46" t="s">
        <v>94</v>
      </c>
      <c r="C63" s="2">
        <f>LOOKUP(A63,[2]Sheet1!$A$2:$B$69)</f>
      </c>
      <c r="D63" s="27">
        <v>1.9031712962962963</v>
      </c>
      <c r="E63" s="27">
        <v>1.9064699074074074</v>
      </c>
      <c r="F63" s="63">
        <f>E63-D63</f>
        <v>25568.791666666668</v>
      </c>
      <c r="G63" s="22"/>
      <c r="H63" s="90">
        <v>20.3</v>
      </c>
      <c r="I63" s="9">
        <v>507.902389814318</v>
      </c>
      <c r="J63" s="16"/>
      <c r="K63" s="2"/>
      <c r="L63" s="2"/>
      <c r="M63" s="21"/>
      <c r="N63" s="17"/>
      <c r="O63" s="21"/>
      <c r="P63" s="26"/>
      <c r="Q63" s="16"/>
      <c r="R63" s="22">
        <f>LOOKUP(B63,[4]Data!$A:$A,[4]Data!$J:$J)</f>
      </c>
      <c r="S63" s="22">
        <f>LOOKUP(B63,[4]Data!$A:$A,[4]Data!$I:$I)</f>
      </c>
      <c r="T63" s="25">
        <f>(([5]Sheet1!$B$1+S63*([5]Sheet1!$B$2+S63*([5]Sheet1!$B$3+S63*([5]Sheet1!$B$4+S63*([5]Sheet1!$B$5+S63*[5]Sheet1!$B$6)))))+R63*(([5]Sheet1!$B$7+S63*([5]Sheet1!$B$8+S63*([5]Sheet1!$B$9+S63*([5]Sheet1!$B$10+S63*[5]Sheet1!$B$11))))+([5]Sheet1!$B$13+S63*[5]Sheet1!$B$14+S63*[5]Sheet1!$B$15)*(SQRT(R63))+([5]Sheet1!$B$17)*(R63)))/1000</f>
      </c>
      <c r="U63" s="5">
        <f>(I63-$D$3)*$D$5*(1/(10^6))*(1/4)</f>
      </c>
      <c r="V63" s="5">
        <f>((C63*(1+([3]Sheet1!$C$4*(S63-20))))-2)*(1/10^6)*T63</f>
      </c>
      <c r="W63" s="92">
        <f>(U63-(7.6*10^-8))*1000/V63</f>
      </c>
      <c r="X63" s="93">
        <f>(W63*T63)/44.66</f>
      </c>
      <c r="Y63" s="17"/>
      <c r="Z63" s="2">
        <v>177.08147024445626</v>
      </c>
      <c r="AA63" s="25">
        <v>4.065654512135369</v>
      </c>
      <c r="AB63" s="2">
        <v>177.06367042082925</v>
      </c>
      <c r="AC63" s="25">
        <v>4.0656866840680825</v>
      </c>
    </row>
    <row x14ac:dyDescent="0.25" r="64" customHeight="1" ht="17.25">
      <c r="A64" s="46" t="s">
        <v>95</v>
      </c>
      <c r="B64" s="46" t="s">
        <v>96</v>
      </c>
      <c r="C64" s="2">
        <f>LOOKUP(A64,[2]Sheet1!$A$2:$B$69)</f>
      </c>
      <c r="D64" s="27">
        <v>1.907650462962963</v>
      </c>
      <c r="E64" s="27">
        <v>1.9112847222222222</v>
      </c>
      <c r="F64" s="63">
        <f>E64-D64</f>
        <v>25568.791666666668</v>
      </c>
      <c r="G64" s="22"/>
      <c r="H64" s="90">
        <v>20.3</v>
      </c>
      <c r="I64" s="9">
        <v>510.047933243305</v>
      </c>
      <c r="J64" s="16"/>
      <c r="K64" s="2"/>
      <c r="L64" s="2"/>
      <c r="M64" s="21"/>
      <c r="N64" s="17"/>
      <c r="O64" s="21"/>
      <c r="P64" s="26"/>
      <c r="Q64" s="16"/>
      <c r="R64" s="22">
        <f>LOOKUP(B64,[4]Data!$A:$A,[4]Data!$J:$J)</f>
      </c>
      <c r="S64" s="22">
        <f>LOOKUP(B64,[4]Data!$A:$A,[4]Data!$I:$I)</f>
      </c>
      <c r="T64" s="25">
        <f>(([5]Sheet1!$B$1+S64*([5]Sheet1!$B$2+S64*([5]Sheet1!$B$3+S64*([5]Sheet1!$B$4+S64*([5]Sheet1!$B$5+S64*[5]Sheet1!$B$6)))))+R64*(([5]Sheet1!$B$7+S64*([5]Sheet1!$B$8+S64*([5]Sheet1!$B$9+S64*([5]Sheet1!$B$10+S64*[5]Sheet1!$B$11))))+([5]Sheet1!$B$13+S64*[5]Sheet1!$B$14+S64*[5]Sheet1!$B$15)*(SQRT(R64))+([5]Sheet1!$B$17)*(R64)))/1000</f>
      </c>
      <c r="U64" s="5">
        <f>(I64-$D$3)*$D$5*(1/(10^6))*(1/4)</f>
      </c>
      <c r="V64" s="5">
        <f>((C64*(1+([3]Sheet1!$C$4*(S64-20))))-2)*(1/10^6)*T64</f>
      </c>
      <c r="W64" s="92">
        <f>(U64-(7.6*10^-8))*1000/V64</f>
      </c>
      <c r="X64" s="93">
        <f>(W64*T64)/44.66</f>
      </c>
      <c r="Y64" s="17"/>
      <c r="Z64" s="2">
        <v>177.05795678751173</v>
      </c>
      <c r="AA64" s="25">
        <v>4.065057714829119</v>
      </c>
      <c r="AB64" s="2">
        <v>177.04001584056664</v>
      </c>
      <c r="AC64" s="25">
        <v>4.06508988001251</v>
      </c>
    </row>
    <row x14ac:dyDescent="0.25" r="65" customHeight="1" ht="17.25">
      <c r="A65" s="46" t="s">
        <v>97</v>
      </c>
      <c r="B65" s="46" t="s">
        <v>98</v>
      </c>
      <c r="C65" s="2">
        <f>LOOKUP(A65,[2]Sheet1!$A$2:$B$69)</f>
      </c>
      <c r="D65" s="27">
        <v>1.9126736111111111</v>
      </c>
      <c r="E65" s="27">
        <v>1.9166435185185184</v>
      </c>
      <c r="F65" s="63">
        <f>E65-D65</f>
        <v>25568.791666666668</v>
      </c>
      <c r="G65" s="22"/>
      <c r="H65" s="90">
        <v>20.3</v>
      </c>
      <c r="I65" s="9">
        <v>440.771240190773</v>
      </c>
      <c r="J65" s="16"/>
      <c r="K65" s="2"/>
      <c r="L65" s="2"/>
      <c r="M65" s="21"/>
      <c r="N65" s="17"/>
      <c r="O65" s="21"/>
      <c r="P65" s="26"/>
      <c r="Q65" s="16"/>
      <c r="R65" s="22">
        <f>LOOKUP(B65,[4]Data!$A:$A,[4]Data!$J:$J)</f>
      </c>
      <c r="S65" s="22">
        <f>LOOKUP(B65,[4]Data!$A:$A,[4]Data!$I:$I)</f>
      </c>
      <c r="T65" s="25">
        <f>(([5]Sheet1!$B$1+S65*([5]Sheet1!$B$2+S65*([5]Sheet1!$B$3+S65*([5]Sheet1!$B$4+S65*([5]Sheet1!$B$5+S65*[5]Sheet1!$B$6)))))+R65*(([5]Sheet1!$B$7+S65*([5]Sheet1!$B$8+S65*([5]Sheet1!$B$9+S65*([5]Sheet1!$B$10+S65*[5]Sheet1!$B$11))))+([5]Sheet1!$B$13+S65*[5]Sheet1!$B$14+S65*[5]Sheet1!$B$15)*(SQRT(R65))+([5]Sheet1!$B$17)*(R65)))/1000</f>
      </c>
      <c r="U65" s="5">
        <f>(I65-$D$3)*$D$5*(1/(10^6))*(1/4)</f>
      </c>
      <c r="V65" s="5">
        <f>((C65*(1+([3]Sheet1!$C$4*(S65-20))))-2)*(1/10^6)*T65</f>
      </c>
      <c r="W65" s="92">
        <f>(U65-(7.6*10^-8))*1000/V65</f>
      </c>
      <c r="X65" s="93">
        <f>(W65*T65)/44.66</f>
      </c>
      <c r="Y65" s="17"/>
      <c r="Z65" s="2">
        <v>151.8472449886216</v>
      </c>
      <c r="AA65" s="25">
        <v>3.487356477404538</v>
      </c>
      <c r="AB65" s="2">
        <v>151.83226741575635</v>
      </c>
      <c r="AC65" s="25">
        <v>3.4873840691068123</v>
      </c>
    </row>
    <row x14ac:dyDescent="0.25" r="66" customHeight="1" ht="17.25">
      <c r="A66" s="46" t="s">
        <v>99</v>
      </c>
      <c r="B66" s="46" t="s">
        <v>100</v>
      </c>
      <c r="C66" s="2">
        <f>LOOKUP(A66,[2]Sheet1!$A$2:$B$69)</f>
      </c>
      <c r="D66" s="27">
        <v>1.9182638888888888</v>
      </c>
      <c r="E66" s="27">
        <v>1.9222916666666667</v>
      </c>
      <c r="F66" s="63">
        <f>E66-D66</f>
        <v>25568.791666666668</v>
      </c>
      <c r="G66" s="22"/>
      <c r="H66" s="90">
        <v>20.3</v>
      </c>
      <c r="I66" s="9">
        <v>439.843215429985</v>
      </c>
      <c r="J66" s="16"/>
      <c r="K66" s="2"/>
      <c r="L66" s="2"/>
      <c r="M66" s="21"/>
      <c r="N66" s="17"/>
      <c r="O66" s="21"/>
      <c r="P66" s="26"/>
      <c r="Q66" s="16"/>
      <c r="R66" s="22">
        <f>LOOKUP(B66,[4]Data!$A:$A,[4]Data!$J:$J)</f>
      </c>
      <c r="S66" s="22">
        <f>LOOKUP(B66,[4]Data!$A:$A,[4]Data!$I:$I)</f>
      </c>
      <c r="T66" s="25">
        <f>(([5]Sheet1!$B$1+S66*([5]Sheet1!$B$2+S66*([5]Sheet1!$B$3+S66*([5]Sheet1!$B$4+S66*([5]Sheet1!$B$5+S66*[5]Sheet1!$B$6)))))+R66*(([5]Sheet1!$B$7+S66*([5]Sheet1!$B$8+S66*([5]Sheet1!$B$9+S66*([5]Sheet1!$B$10+S66*[5]Sheet1!$B$11))))+([5]Sheet1!$B$13+S66*[5]Sheet1!$B$14+S66*[5]Sheet1!$B$15)*(SQRT(R66))+([5]Sheet1!$B$17)*(R66)))/1000</f>
      </c>
      <c r="U66" s="5">
        <f>(I66-$D$3)*$D$5*(1/(10^6))*(1/4)</f>
      </c>
      <c r="V66" s="5">
        <f>((C66*(1+([3]Sheet1!$C$4*(S66-20))))-2)*(1/10^6)*T66</f>
      </c>
      <c r="W66" s="92">
        <f>(U66-(7.6*10^-8))*1000/V66</f>
      </c>
      <c r="X66" s="93">
        <f>(W66*T66)/44.66</f>
      </c>
      <c r="Y66" s="17"/>
      <c r="Z66" s="2">
        <v>152.15958559408602</v>
      </c>
      <c r="AA66" s="25">
        <v>3.49448162191646</v>
      </c>
      <c r="AB66" s="2">
        <v>152.14445355619722</v>
      </c>
      <c r="AC66" s="25">
        <v>3.4945092715825945</v>
      </c>
    </row>
    <row x14ac:dyDescent="0.25" r="67" customHeight="1" ht="17.25">
      <c r="A67" s="46" t="s">
        <v>101</v>
      </c>
      <c r="B67" s="46" t="s">
        <v>102</v>
      </c>
      <c r="C67" s="2">
        <f>LOOKUP(A67,[2]Sheet1!$A$2:$B$69)</f>
      </c>
      <c r="D67" s="27">
        <v>1.923460648148148</v>
      </c>
      <c r="E67" s="27">
        <v>1.9267939814814814</v>
      </c>
      <c r="F67" s="63">
        <f>E67-D67</f>
        <v>25568.791666666668</v>
      </c>
      <c r="G67" s="22"/>
      <c r="H67" s="90">
        <v>20.3</v>
      </c>
      <c r="I67" s="9">
        <v>389.835387648186</v>
      </c>
      <c r="J67" s="64"/>
      <c r="K67" s="65"/>
      <c r="L67" s="65"/>
      <c r="M67" s="66"/>
      <c r="N67" s="65"/>
      <c r="O67" s="66"/>
      <c r="P67" s="26"/>
      <c r="Q67" s="16"/>
      <c r="R67" s="22">
        <f>LOOKUP(B67,[4]Data!$A:$A,[4]Data!$J:$J)</f>
      </c>
      <c r="S67" s="22">
        <f>LOOKUP(B67,[4]Data!$A:$A,[4]Data!$I:$I)</f>
      </c>
      <c r="T67" s="25">
        <f>(([5]Sheet1!$B$1+S67*([5]Sheet1!$B$2+S67*([5]Sheet1!$B$3+S67*([5]Sheet1!$B$4+S67*([5]Sheet1!$B$5+S67*[5]Sheet1!$B$6)))))+R67*(([5]Sheet1!$B$7+S67*([5]Sheet1!$B$8+S67*([5]Sheet1!$B$9+S67*([5]Sheet1!$B$10+S67*[5]Sheet1!$B$11))))+([5]Sheet1!$B$13+S67*[5]Sheet1!$B$14+S67*[5]Sheet1!$B$15)*(SQRT(R67))+([5]Sheet1!$B$17)*(R67)))/1000</f>
      </c>
      <c r="U67" s="5">
        <f>(I67-$D$3)*$D$5*(1/(10^6))*(1/4)</f>
      </c>
      <c r="V67" s="5">
        <f>((C67*(1+([3]Sheet1!$C$4*(S67-20))))-2)*(1/10^6)*T67</f>
      </c>
      <c r="W67" s="92">
        <f>(U67-(7.6*10^-8))*1000/V67</f>
      </c>
      <c r="X67" s="93">
        <f>(W67*T67)/44.66</f>
      </c>
      <c r="Y67" s="17"/>
      <c r="Z67" s="2">
        <v>135.97052745080236</v>
      </c>
      <c r="AA67" s="25">
        <v>3.1230367675766733</v>
      </c>
      <c r="AB67" s="2">
        <v>135.9572022055054</v>
      </c>
      <c r="AC67" s="25">
        <v>3.1230614814963054</v>
      </c>
    </row>
    <row x14ac:dyDescent="0.25" r="68" customHeight="1" ht="17.25">
      <c r="A68" s="46" t="s">
        <v>103</v>
      </c>
      <c r="B68" s="46" t="s">
        <v>104</v>
      </c>
      <c r="C68" s="2">
        <f>LOOKUP(A68,[2]Sheet1!$A$2:$B$69)</f>
      </c>
      <c r="D68" s="27">
        <v>1.9280324074074073</v>
      </c>
      <c r="E68" s="27">
        <v>1.9317939814814815</v>
      </c>
      <c r="F68" s="63">
        <f>E68-D68</f>
        <v>25568.791666666668</v>
      </c>
      <c r="G68" s="22"/>
      <c r="H68" s="90">
        <v>20.4</v>
      </c>
      <c r="I68" s="9">
        <v>394.44312742462</v>
      </c>
      <c r="J68" s="64"/>
      <c r="K68" s="65"/>
      <c r="L68" s="65"/>
      <c r="M68" s="66"/>
      <c r="N68" s="65"/>
      <c r="O68" s="66"/>
      <c r="P68" s="26"/>
      <c r="Q68" s="16"/>
      <c r="R68" s="22">
        <f>LOOKUP(B68,[4]Data!$A:$A,[4]Data!$J:$J)</f>
      </c>
      <c r="S68" s="22">
        <f>LOOKUP(B68,[4]Data!$A:$A,[4]Data!$I:$I)</f>
      </c>
      <c r="T68" s="25">
        <f>(([5]Sheet1!$B$1+S68*([5]Sheet1!$B$2+S68*([5]Sheet1!$B$3+S68*([5]Sheet1!$B$4+S68*([5]Sheet1!$B$5+S68*[5]Sheet1!$B$6)))))+R68*(([5]Sheet1!$B$7+S68*([5]Sheet1!$B$8+S68*([5]Sheet1!$B$9+S68*([5]Sheet1!$B$10+S68*[5]Sheet1!$B$11))))+([5]Sheet1!$B$13+S68*[5]Sheet1!$B$14+S68*[5]Sheet1!$B$15)*(SQRT(R68))+([5]Sheet1!$B$17)*(R68)))/1000</f>
      </c>
      <c r="U68" s="5">
        <f>(I68-$D$3)*$D$5*(1/(10^6))*(1/4)</f>
      </c>
      <c r="V68" s="5">
        <f>((C68*(1+([3]Sheet1!$C$4*(S68-20))))-2)*(1/10^6)*T68</f>
      </c>
      <c r="W68" s="92">
        <f>(U68-(7.6*10^-8))*1000/V68</f>
      </c>
      <c r="X68" s="93">
        <f>(W68*T68)/44.66</f>
      </c>
      <c r="Y68" s="17"/>
      <c r="Z68" s="2">
        <v>135.94183347899497</v>
      </c>
      <c r="AA68" s="25">
        <v>3.122334945201931</v>
      </c>
      <c r="AB68" s="2">
        <v>135.92840016960258</v>
      </c>
      <c r="AC68" s="25">
        <v>3.1223596493334584</v>
      </c>
    </row>
    <row x14ac:dyDescent="0.25" r="69" customHeight="1" ht="17.25">
      <c r="A69" s="46" t="s">
        <v>105</v>
      </c>
      <c r="B69" s="46" t="s">
        <v>106</v>
      </c>
      <c r="C69" s="2">
        <f>LOOKUP(A69,[2]Sheet1!$A$2:$B$69)</f>
      </c>
      <c r="D69" s="27">
        <v>1.9338194444444445</v>
      </c>
      <c r="E69" s="27">
        <v>1.937199074074074</v>
      </c>
      <c r="F69" s="63">
        <f>E69-D69</f>
        <v>25568.791666666668</v>
      </c>
      <c r="G69" s="22"/>
      <c r="H69" s="90">
        <v>20.4</v>
      </c>
      <c r="I69" s="9">
        <v>358.751359090045</v>
      </c>
      <c r="J69" s="16"/>
      <c r="K69" s="2"/>
      <c r="L69" s="2"/>
      <c r="M69" s="66"/>
      <c r="N69" s="65"/>
      <c r="O69" s="66"/>
      <c r="P69" s="26"/>
      <c r="Q69" s="16"/>
      <c r="R69" s="22">
        <f>LOOKUP(B69,[4]Data!$A:$A,[4]Data!$J:$J)</f>
      </c>
      <c r="S69" s="22">
        <f>LOOKUP(B69,[4]Data!$A:$A,[4]Data!$I:$I)</f>
      </c>
      <c r="T69" s="25">
        <f>(([5]Sheet1!$B$1+S69*([5]Sheet1!$B$2+S69*([5]Sheet1!$B$3+S69*([5]Sheet1!$B$4+S69*([5]Sheet1!$B$5+S69*[5]Sheet1!$B$6)))))+R69*(([5]Sheet1!$B$7+S69*([5]Sheet1!$B$8+S69*([5]Sheet1!$B$9+S69*([5]Sheet1!$B$10+S69*[5]Sheet1!$B$11))))+([5]Sheet1!$B$13+S69*[5]Sheet1!$B$14+S69*[5]Sheet1!$B$15)*(SQRT(R69))+([5]Sheet1!$B$17)*(R69)))/1000</f>
      </c>
      <c r="U69" s="5">
        <f>(I69-$D$3)*$D$5*(1/(10^6))*(1/4)</f>
      </c>
      <c r="V69" s="5">
        <f>((C69*(1+([3]Sheet1!$C$4*(S69-20))))-2)*(1/10^6)*T69</f>
      </c>
      <c r="W69" s="92">
        <f>(U69-(7.6*10^-8))*1000/V69</f>
      </c>
      <c r="X69" s="93">
        <f>(W69*T69)/44.66</f>
      </c>
      <c r="Y69" s="17"/>
      <c r="Z69" s="2">
        <v>123.11745674830757</v>
      </c>
      <c r="AA69" s="25">
        <v>2.8278986554716257</v>
      </c>
      <c r="AB69" s="2">
        <v>123.10527990135506</v>
      </c>
      <c r="AC69" s="25">
        <v>2.8279210289277588</v>
      </c>
    </row>
    <row x14ac:dyDescent="0.25" r="70" customHeight="1" ht="17.25">
      <c r="A70" s="46" t="s">
        <v>107</v>
      </c>
      <c r="B70" s="46" t="s">
        <v>108</v>
      </c>
      <c r="C70" s="2">
        <f>LOOKUP(A70,[2]Sheet1!$A$2:$B$69)</f>
      </c>
      <c r="D70" s="27">
        <v>1.9380092592592593</v>
      </c>
      <c r="E70" s="27">
        <v>1.9416782407407407</v>
      </c>
      <c r="F70" s="63">
        <f>E70-D70</f>
        <v>25568.791666666668</v>
      </c>
      <c r="G70" s="22"/>
      <c r="H70" s="90">
        <v>20.4</v>
      </c>
      <c r="I70" s="9">
        <v>355.963538467389</v>
      </c>
      <c r="J70" s="16"/>
      <c r="K70" s="2"/>
      <c r="L70" s="2"/>
      <c r="M70" s="21"/>
      <c r="N70" s="17"/>
      <c r="O70" s="21"/>
      <c r="P70" s="26"/>
      <c r="Q70" s="16"/>
      <c r="R70" s="22">
        <f>LOOKUP(B70,[4]Data!$A:$A,[4]Data!$J:$J)</f>
      </c>
      <c r="S70" s="22">
        <f>LOOKUP(B70,[4]Data!$A:$A,[4]Data!$I:$I)</f>
      </c>
      <c r="T70" s="25">
        <f>(([5]Sheet1!$B$1+S70*([5]Sheet1!$B$2+S70*([5]Sheet1!$B$3+S70*([5]Sheet1!$B$4+S70*([5]Sheet1!$B$5+S70*[5]Sheet1!$B$6)))))+R70*(([5]Sheet1!$B$7+S70*([5]Sheet1!$B$8+S70*([5]Sheet1!$B$9+S70*([5]Sheet1!$B$10+S70*[5]Sheet1!$B$11))))+([5]Sheet1!$B$13+S70*[5]Sheet1!$B$14+S70*[5]Sheet1!$B$15)*(SQRT(R70))+([5]Sheet1!$B$17)*(R70)))/1000</f>
      </c>
      <c r="U70" s="5">
        <f>(I70-$D$3)*$D$5*(1/(10^6))*(1/4)</f>
      </c>
      <c r="V70" s="5">
        <f>((C70*(1+([3]Sheet1!$C$4*(S70-20))))-2)*(1/10^6)*T70</f>
      </c>
      <c r="W70" s="92">
        <f>(U70-(7.6*10^-8))*1000/V70</f>
      </c>
      <c r="X70" s="93">
        <f>(W70*T70)/44.66</f>
      </c>
      <c r="Y70" s="17"/>
      <c r="Z70" s="2">
        <v>122.77280092950423</v>
      </c>
      <c r="AA70" s="25">
        <v>2.81998221736174</v>
      </c>
      <c r="AB70" s="2">
        <v>122.76065823949537</v>
      </c>
      <c r="AC70" s="25">
        <v>2.820004529770469</v>
      </c>
    </row>
    <row x14ac:dyDescent="0.25" r="71" customHeight="1" ht="17.25">
      <c r="A71" s="46" t="s">
        <v>109</v>
      </c>
      <c r="B71" s="46" t="s">
        <v>110</v>
      </c>
      <c r="C71" s="2">
        <f>LOOKUP(A71,[2]Sheet1!$A$2:$B$69)</f>
      </c>
      <c r="D71" s="27">
        <v>1.9432060185185185</v>
      </c>
      <c r="E71" s="27">
        <v>1.9475231481481483</v>
      </c>
      <c r="F71" s="63">
        <f>E71-D71</f>
        <v>25568.791666666668</v>
      </c>
      <c r="G71" s="22"/>
      <c r="H71" s="90">
        <v>20.4</v>
      </c>
      <c r="I71" s="9">
        <v>467.706151046994</v>
      </c>
      <c r="J71" s="16"/>
      <c r="K71" s="2"/>
      <c r="L71" s="2"/>
      <c r="M71" s="21"/>
      <c r="N71" s="17"/>
      <c r="O71" s="21"/>
      <c r="P71" s="26"/>
      <c r="Q71" s="16"/>
      <c r="R71" s="22">
        <f>LOOKUP(B71,[4]Data!$A:$A,[4]Data!$J:$J)</f>
      </c>
      <c r="S71" s="22">
        <f>LOOKUP(B71,[4]Data!$A:$A,[4]Data!$I:$I)</f>
      </c>
      <c r="T71" s="25">
        <f>(([5]Sheet1!$B$1+S71*([5]Sheet1!$B$2+S71*([5]Sheet1!$B$3+S71*([5]Sheet1!$B$4+S71*([5]Sheet1!$B$5+S71*[5]Sheet1!$B$6)))))+R71*(([5]Sheet1!$B$7+S71*([5]Sheet1!$B$8+S71*([5]Sheet1!$B$9+S71*([5]Sheet1!$B$10+S71*[5]Sheet1!$B$11))))+([5]Sheet1!$B$13+S71*[5]Sheet1!$B$14+S71*[5]Sheet1!$B$15)*(SQRT(R71))+([5]Sheet1!$B$17)*(R71)))/1000</f>
      </c>
      <c r="U71" s="5">
        <f>(I71-$D$3)*$D$5*(1/(10^6))*(1/4)</f>
      </c>
      <c r="V71" s="5">
        <f>((C71*(1+([3]Sheet1!$C$4*(S71-20))))-2)*(1/10^6)*T71</f>
      </c>
      <c r="W71" s="92">
        <f>(U71-(7.6*10^-8))*1000/V71</f>
      </c>
      <c r="X71" s="93">
        <f>(W71*T71)/44.66</f>
      </c>
      <c r="Y71" s="17"/>
      <c r="Z71" s="2">
        <v>161.57996997849236</v>
      </c>
      <c r="AA71" s="25">
        <v>3.709382428369813</v>
      </c>
      <c r="AB71" s="2">
        <v>161.56349074979238</v>
      </c>
      <c r="AC71" s="25">
        <v>3.7094117774083015</v>
      </c>
    </row>
    <row x14ac:dyDescent="0.25" r="72" customHeight="1" ht="17.25">
      <c r="A72" s="46" t="s">
        <v>111</v>
      </c>
      <c r="B72" s="46" t="s">
        <v>112</v>
      </c>
      <c r="C72" s="2">
        <f>LOOKUP(A72,[2]Sheet1!$A$2:$B$69)</f>
      </c>
      <c r="D72" s="27">
        <v>1.9485185185185185</v>
      </c>
      <c r="E72" s="27">
        <v>1.952511574074074</v>
      </c>
      <c r="F72" s="63">
        <f>E72-D72</f>
        <v>25568.791666666668</v>
      </c>
      <c r="G72" s="22"/>
      <c r="H72" s="90">
        <v>20.4</v>
      </c>
      <c r="I72" s="9">
        <v>467.294415136342</v>
      </c>
      <c r="J72" s="16"/>
      <c r="K72" s="2"/>
      <c r="L72" s="2"/>
      <c r="M72" s="21"/>
      <c r="N72" s="17"/>
      <c r="O72" s="21"/>
      <c r="P72" s="26"/>
      <c r="Q72" s="16"/>
      <c r="R72" s="22">
        <f>LOOKUP(B72,[4]Data!$A:$A,[4]Data!$J:$J)</f>
      </c>
      <c r="S72" s="22">
        <f>LOOKUP(B72,[4]Data!$A:$A,[4]Data!$I:$I)</f>
      </c>
      <c r="T72" s="25">
        <f>(([5]Sheet1!$B$1+S72*([5]Sheet1!$B$2+S72*([5]Sheet1!$B$3+S72*([5]Sheet1!$B$4+S72*([5]Sheet1!$B$5+S72*[5]Sheet1!$B$6)))))+R72*(([5]Sheet1!$B$7+S72*([5]Sheet1!$B$8+S72*([5]Sheet1!$B$9+S72*([5]Sheet1!$B$10+S72*[5]Sheet1!$B$11))))+([5]Sheet1!$B$13+S72*[5]Sheet1!$B$14+S72*[5]Sheet1!$B$15)*(SQRT(R72))+([5]Sheet1!$B$17)*(R72)))/1000</f>
      </c>
      <c r="U72" s="5">
        <f>(I72-$D$3)*$D$5*(1/(10^6))*(1/4)</f>
      </c>
      <c r="V72" s="5">
        <f>((C72*(1+([3]Sheet1!$C$4*(S72-20))))-2)*(1/10^6)*T72</f>
      </c>
      <c r="W72" s="92">
        <f>(U72-(7.6*10^-8))*1000/V72</f>
      </c>
      <c r="X72" s="93">
        <f>(W72*T72)/44.66</f>
      </c>
      <c r="Y72" s="17"/>
      <c r="Z72" s="2">
        <v>161.71624139671</v>
      </c>
      <c r="AA72" s="25">
        <v>3.7124581220364132</v>
      </c>
      <c r="AB72" s="2">
        <v>161.69961788253087</v>
      </c>
      <c r="AC72" s="25">
        <v>3.712487496089882</v>
      </c>
    </row>
    <row x14ac:dyDescent="0.25" r="73" customHeight="1" ht="17.25">
      <c r="A73" s="46" t="s">
        <v>113</v>
      </c>
      <c r="B73" s="46" t="s">
        <v>114</v>
      </c>
      <c r="C73" s="2">
        <f>LOOKUP(A73,[2]Sheet1!$A$2:$B$69)</f>
      </c>
      <c r="D73" s="27">
        <v>1.955648148148148</v>
      </c>
      <c r="E73" s="27">
        <v>1.9593865740740741</v>
      </c>
      <c r="F73" s="63">
        <f>E73-D73</f>
        <v>25568.791666666668</v>
      </c>
      <c r="G73" s="22"/>
      <c r="H73" s="90">
        <v>20.4</v>
      </c>
      <c r="I73" s="9">
        <v>460.307814969677</v>
      </c>
      <c r="J73" s="16"/>
      <c r="K73" s="2"/>
      <c r="L73" s="2"/>
      <c r="M73" s="21"/>
      <c r="N73" s="17"/>
      <c r="O73" s="21"/>
      <c r="P73" s="26"/>
      <c r="Q73" s="16"/>
      <c r="R73" s="22">
        <f>LOOKUP(B73,[4]Data!$A:$A,[4]Data!$J:$J)</f>
      </c>
      <c r="S73" s="22">
        <f>LOOKUP(B73,[4]Data!$A:$A,[4]Data!$I:$I)</f>
      </c>
      <c r="T73" s="25">
        <f>(([5]Sheet1!$B$1+S73*([5]Sheet1!$B$2+S73*([5]Sheet1!$B$3+S73*([5]Sheet1!$B$4+S73*([5]Sheet1!$B$5+S73*[5]Sheet1!$B$6)))))+R73*(([5]Sheet1!$B$7+S73*([5]Sheet1!$B$8+S73*([5]Sheet1!$B$9+S73*([5]Sheet1!$B$10+S73*[5]Sheet1!$B$11))))+([5]Sheet1!$B$13+S73*[5]Sheet1!$B$14+S73*[5]Sheet1!$B$15)*(SQRT(R73))+([5]Sheet1!$B$17)*(R73)))/1000</f>
      </c>
      <c r="U73" s="5">
        <f>(I73-$D$3)*$D$5*(1/(10^6))*(1/4)</f>
      </c>
      <c r="V73" s="5">
        <f>((C73*(1+([3]Sheet1!$C$4*(S73-20))))-2)*(1/10^6)*T73</f>
      </c>
      <c r="W73" s="92">
        <f>(U73-(7.6*10^-8))*1000/V73</f>
      </c>
      <c r="X73" s="93">
        <f>(W73*T73)/44.66</f>
      </c>
      <c r="Y73" s="17"/>
      <c r="Z73" s="2">
        <v>161.84606261854924</v>
      </c>
      <c r="AA73" s="25">
        <v>3.715385284966785</v>
      </c>
      <c r="AB73" s="2">
        <v>161.8292958752607</v>
      </c>
      <c r="AC73" s="25">
        <v>3.715414688803749</v>
      </c>
    </row>
    <row x14ac:dyDescent="0.25" r="74" customHeight="1" ht="17.25">
      <c r="A74" s="46" t="s">
        <v>115</v>
      </c>
      <c r="B74" s="46" t="s">
        <v>116</v>
      </c>
      <c r="C74" s="2">
        <f>LOOKUP(A74,[2]Sheet1!$A$2:$B$69)</f>
      </c>
      <c r="D74" s="27">
        <v>1.9612500000000002</v>
      </c>
      <c r="E74" s="27">
        <v>1.9648148148148148</v>
      </c>
      <c r="F74" s="63">
        <f>E74-D74</f>
        <v>25568.791666666668</v>
      </c>
      <c r="G74" s="22"/>
      <c r="H74" s="90">
        <v>20.4</v>
      </c>
      <c r="I74" s="9">
        <v>325.295014024473</v>
      </c>
      <c r="J74" s="16"/>
      <c r="K74" s="2"/>
      <c r="L74" s="2"/>
      <c r="M74" s="21"/>
      <c r="N74" s="17"/>
      <c r="O74" s="21"/>
      <c r="P74" s="26"/>
      <c r="Q74" s="16"/>
      <c r="R74" s="22">
        <f>LOOKUP(B74,[4]Data!$A:$A,[4]Data!$J:$J)</f>
      </c>
      <c r="S74" s="22">
        <f>LOOKUP(B74,[4]Data!$A:$A,[4]Data!$I:$I)</f>
      </c>
      <c r="T74" s="25">
        <f>(([5]Sheet1!$B$1+S74*([5]Sheet1!$B$2+S74*([5]Sheet1!$B$3+S74*([5]Sheet1!$B$4+S74*([5]Sheet1!$B$5+S74*[5]Sheet1!$B$6)))))+R74*(([5]Sheet1!$B$7+S74*([5]Sheet1!$B$8+S74*([5]Sheet1!$B$9+S74*([5]Sheet1!$B$10+S74*[5]Sheet1!$B$11))))+([5]Sheet1!$B$13+S74*[5]Sheet1!$B$14+S74*[5]Sheet1!$B$15)*(SQRT(R74))+([5]Sheet1!$B$17)*(R74)))/1000</f>
      </c>
      <c r="U74" s="5">
        <f>(I74-$D$3)*$D$5*(1/(10^6))*(1/4)</f>
      </c>
      <c r="V74" s="5">
        <f>((C74*(1+([3]Sheet1!$C$4*(S74-20))))-2)*(1/10^6)*T74</f>
      </c>
      <c r="W74" s="92">
        <f>(U74-(7.6*10^-8))*1000/V74</f>
      </c>
      <c r="X74" s="93">
        <f>(W74*T74)/44.66</f>
      </c>
      <c r="Y74" s="17"/>
      <c r="Z74" s="2">
        <v>113.48107218469963</v>
      </c>
      <c r="AA74" s="25">
        <v>2.606448747387606</v>
      </c>
      <c r="AB74" s="2">
        <v>113.4695732851746</v>
      </c>
      <c r="AC74" s="25">
        <v>2.6064693737550777</v>
      </c>
    </row>
    <row x14ac:dyDescent="0.25" r="75" customHeight="1" ht="17.25">
      <c r="A75" s="46" t="s">
        <v>117</v>
      </c>
      <c r="B75" s="46" t="s">
        <v>118</v>
      </c>
      <c r="C75" s="2">
        <f>LOOKUP(A75,[2]Sheet1!$A$2:$B$69)</f>
      </c>
      <c r="D75" s="27">
        <v>1.9658912037037037</v>
      </c>
      <c r="E75" s="27">
        <v>1.9693865740740741</v>
      </c>
      <c r="F75" s="63">
        <f>E75-D75</f>
        <v>25568.791666666668</v>
      </c>
      <c r="G75" s="22"/>
      <c r="H75" s="90">
        <v>20.4</v>
      </c>
      <c r="I75" s="9">
        <v>324.822275340743</v>
      </c>
      <c r="J75" s="16"/>
      <c r="K75" s="2"/>
      <c r="L75" s="2"/>
      <c r="M75" s="21"/>
      <c r="N75" s="17"/>
      <c r="O75" s="21"/>
      <c r="P75" s="26"/>
      <c r="Q75" s="16"/>
      <c r="R75" s="22">
        <f>LOOKUP(B75,[4]Data!$A:$A,[4]Data!$J:$J)</f>
      </c>
      <c r="S75" s="22">
        <f>LOOKUP(B75,[4]Data!$A:$A,[4]Data!$I:$I)</f>
      </c>
      <c r="T75" s="25">
        <f>(([5]Sheet1!$B$1+S75*([5]Sheet1!$B$2+S75*([5]Sheet1!$B$3+S75*([5]Sheet1!$B$4+S75*([5]Sheet1!$B$5+S75*[5]Sheet1!$B$6)))))+R75*(([5]Sheet1!$B$7+S75*([5]Sheet1!$B$8+S75*([5]Sheet1!$B$9+S75*([5]Sheet1!$B$10+S75*[5]Sheet1!$B$11))))+([5]Sheet1!$B$13+S75*[5]Sheet1!$B$14+S75*[5]Sheet1!$B$15)*(SQRT(R75))+([5]Sheet1!$B$17)*(R75)))/1000</f>
      </c>
      <c r="U75" s="5">
        <f>(I75-$D$3)*$D$5*(1/(10^6))*(1/4)</f>
      </c>
      <c r="V75" s="5">
        <f>((C75*(1+([3]Sheet1!$C$4*(S75-20))))-2)*(1/10^6)*T75</f>
      </c>
      <c r="W75" s="92">
        <f>(U75-(7.6*10^-8))*1000/V75</f>
      </c>
      <c r="X75" s="93">
        <f>(W75*T75)/44.66</f>
      </c>
      <c r="Y75" s="17"/>
      <c r="Z75" s="2">
        <v>113.00610069828346</v>
      </c>
      <c r="AA75" s="25">
        <v>2.5955395374904757</v>
      </c>
      <c r="AB75" s="2">
        <v>112.99464989240079</v>
      </c>
      <c r="AC75" s="25">
        <v>2.595560076731163</v>
      </c>
    </row>
    <row x14ac:dyDescent="0.25" r="76" customHeight="1" ht="17.25">
      <c r="A76" s="46" t="s">
        <v>119</v>
      </c>
      <c r="B76" s="46" t="s">
        <v>120</v>
      </c>
      <c r="C76" s="2">
        <f>LOOKUP(A76,[2]Sheet1!$A$2:$B$69)</f>
      </c>
      <c r="D76" s="27">
        <v>1.970740740740741</v>
      </c>
      <c r="E76" s="27">
        <v>1.9740625</v>
      </c>
      <c r="F76" s="63">
        <f>E76-D76</f>
        <v>25568.791666666668</v>
      </c>
      <c r="G76" s="22"/>
      <c r="H76" s="90">
        <v>20.4</v>
      </c>
      <c r="I76" s="9">
        <v>321.046546761634</v>
      </c>
      <c r="J76" s="16"/>
      <c r="K76" s="2"/>
      <c r="L76" s="2"/>
      <c r="M76" s="21"/>
      <c r="N76" s="17"/>
      <c r="O76" s="21"/>
      <c r="P76" s="26"/>
      <c r="Q76" s="16"/>
      <c r="R76" s="22">
        <f>LOOKUP(B76,[4]Data!$A:$A,[4]Data!$J:$J)</f>
      </c>
      <c r="S76" s="22">
        <f>LOOKUP(B76,[4]Data!$A:$A,[4]Data!$I:$I)</f>
      </c>
      <c r="T76" s="25">
        <f>(([5]Sheet1!$B$1+S76*([5]Sheet1!$B$2+S76*([5]Sheet1!$B$3+S76*([5]Sheet1!$B$4+S76*([5]Sheet1!$B$5+S76*[5]Sheet1!$B$6)))))+R76*(([5]Sheet1!$B$7+S76*([5]Sheet1!$B$8+S76*([5]Sheet1!$B$9+S76*([5]Sheet1!$B$10+S76*[5]Sheet1!$B$11))))+([5]Sheet1!$B$13+S76*[5]Sheet1!$B$14+S76*[5]Sheet1!$B$15)*(SQRT(R76))+([5]Sheet1!$B$17)*(R76)))/1000</f>
      </c>
      <c r="U76" s="5">
        <f>(I76-$D$3)*$D$5*(1/(10^6))*(1/4)</f>
      </c>
      <c r="V76" s="5">
        <f>((C76*(1+([3]Sheet1!$C$4*(S76-20))))-2)*(1/10^6)*T76</f>
      </c>
      <c r="W76" s="92">
        <f>(U76-(7.6*10^-8))*1000/V76</f>
      </c>
      <c r="X76" s="93">
        <f>(W76*T76)/44.66</f>
      </c>
      <c r="Y76" s="17"/>
      <c r="Z76" s="2">
        <v>112.27863924190662</v>
      </c>
      <c r="AA76" s="25">
        <v>2.578794723310477</v>
      </c>
      <c r="AB76" s="2">
        <v>112.26717183603255</v>
      </c>
      <c r="AC76" s="25">
        <v>2.578815131572869</v>
      </c>
    </row>
    <row x14ac:dyDescent="0.25" r="77" customHeight="1" ht="17.25">
      <c r="A77" s="16"/>
      <c r="B77" s="16"/>
      <c r="C77" s="17"/>
      <c r="D77" s="63"/>
      <c r="E77" s="63"/>
      <c r="F77" s="63"/>
      <c r="G77" s="22"/>
      <c r="H77" s="22"/>
      <c r="I77" s="2"/>
      <c r="J77" s="16"/>
      <c r="K77" s="2"/>
      <c r="L77" s="2"/>
      <c r="M77" s="21"/>
      <c r="N77" s="17"/>
      <c r="O77" s="21"/>
      <c r="P77" s="26"/>
      <c r="Q77" s="16"/>
      <c r="R77" s="22"/>
      <c r="S77" s="22"/>
      <c r="T77" s="2"/>
      <c r="U77" s="5"/>
      <c r="V77" s="5"/>
      <c r="W77" s="29"/>
      <c r="X77" s="89"/>
      <c r="Y77" s="17"/>
      <c r="Z77" s="17"/>
      <c r="AA77" s="24"/>
      <c r="AB77" s="17"/>
      <c r="AC77" s="24"/>
    </row>
    <row x14ac:dyDescent="0.25" r="78" customHeight="1" ht="17.25">
      <c r="A78" s="16"/>
      <c r="B78" s="16"/>
      <c r="C78" s="17"/>
      <c r="D78" s="63"/>
      <c r="E78" s="63"/>
      <c r="F78" s="63"/>
      <c r="G78" s="22"/>
      <c r="H78" s="22"/>
      <c r="I78" s="2"/>
      <c r="J78" s="16"/>
      <c r="K78" s="2"/>
      <c r="L78" s="2"/>
      <c r="M78" s="21"/>
      <c r="N78" s="17"/>
      <c r="O78" s="21"/>
      <c r="P78" s="26"/>
      <c r="Q78" s="16"/>
      <c r="R78" s="22"/>
      <c r="S78" s="22"/>
      <c r="T78" s="2"/>
      <c r="U78" s="5"/>
      <c r="V78" s="5"/>
      <c r="W78" s="29"/>
      <c r="X78" s="89"/>
      <c r="Y78" s="17"/>
      <c r="Z78" s="17"/>
      <c r="AA78" s="24"/>
      <c r="AB78" s="17"/>
      <c r="AC78" s="24"/>
    </row>
    <row x14ac:dyDescent="0.25" r="79" customHeight="1" ht="17.25">
      <c r="A79" s="16"/>
      <c r="B79" s="16"/>
      <c r="C79" s="17"/>
      <c r="D79" s="63"/>
      <c r="E79" s="44" t="s">
        <v>121</v>
      </c>
      <c r="F79" s="63">
        <f>AVERAGE(F10:F76)</f>
        <v>25568.791666666668</v>
      </c>
      <c r="G79" s="22"/>
      <c r="H79" s="22"/>
      <c r="I79" s="2"/>
      <c r="J79" s="16"/>
      <c r="K79" s="2"/>
      <c r="L79" s="2"/>
      <c r="M79" s="21"/>
      <c r="N79" s="17"/>
      <c r="O79" s="21"/>
      <c r="P79" s="26"/>
      <c r="Q79" s="16"/>
      <c r="R79" s="22"/>
      <c r="S79" s="22"/>
      <c r="T79" s="2"/>
      <c r="U79" s="5"/>
      <c r="V79" s="5"/>
      <c r="W79" s="29"/>
      <c r="X79" s="89"/>
      <c r="Y79" s="17"/>
      <c r="Z79" s="17"/>
      <c r="AA79" s="24"/>
      <c r="AB79" s="17"/>
      <c r="AC79" s="24"/>
    </row>
    <row x14ac:dyDescent="0.25" r="80" customHeight="1" ht="17.25">
      <c r="A80" s="16"/>
      <c r="B80" s="16"/>
      <c r="C80" s="17"/>
      <c r="D80" s="18"/>
      <c r="E80" s="44" t="s">
        <v>122</v>
      </c>
      <c r="F80" s="63">
        <f>E76-D10</f>
        <v>25568.791666666668</v>
      </c>
      <c r="G80" s="22"/>
      <c r="H80" s="22"/>
      <c r="I80" s="2"/>
      <c r="J80" s="16"/>
      <c r="K80" s="2"/>
      <c r="L80" s="2"/>
      <c r="M80" s="21"/>
      <c r="N80" s="17"/>
      <c r="O80" s="21"/>
      <c r="P80" s="26"/>
      <c r="Q80" s="16"/>
      <c r="R80" s="22"/>
      <c r="S80" s="22"/>
      <c r="T80" s="2"/>
      <c r="U80" s="5"/>
      <c r="V80" s="5"/>
      <c r="W80" s="29"/>
      <c r="X80" s="89"/>
      <c r="Y80" s="17"/>
      <c r="Z80" s="17"/>
      <c r="AA80" s="24"/>
      <c r="AB80" s="17"/>
      <c r="AC80" s="24"/>
    </row>
    <row x14ac:dyDescent="0.25" r="81" customHeight="1" ht="17.25">
      <c r="A81" s="16"/>
      <c r="B81" s="16"/>
      <c r="C81" s="17"/>
      <c r="D81" s="18"/>
      <c r="E81" s="44" t="s">
        <v>123</v>
      </c>
      <c r="F81" s="12">
        <f>COUNT(F10:F76)</f>
      </c>
      <c r="G81" s="22"/>
      <c r="H81" s="22"/>
      <c r="I81" s="2"/>
      <c r="J81" s="16"/>
      <c r="K81" s="2"/>
      <c r="L81" s="2"/>
      <c r="M81" s="21"/>
      <c r="N81" s="17"/>
      <c r="O81" s="21"/>
      <c r="P81" s="26"/>
      <c r="Q81" s="16"/>
      <c r="R81" s="22"/>
      <c r="S81" s="22"/>
      <c r="T81" s="2"/>
      <c r="U81" s="5"/>
      <c r="V81" s="5"/>
      <c r="W81" s="29"/>
      <c r="X81" s="89"/>
      <c r="Y81" s="17"/>
      <c r="Z81" s="17"/>
      <c r="AA81" s="24"/>
      <c r="AB81" s="17"/>
      <c r="AC81" s="24"/>
    </row>
    <row x14ac:dyDescent="0.25" r="82" customHeight="1" ht="17.25">
      <c r="A82" s="16"/>
      <c r="B82" s="16"/>
      <c r="C82" s="17"/>
      <c r="D82" s="18"/>
      <c r="E82" s="44" t="s">
        <v>124</v>
      </c>
      <c r="F82" s="12">
        <f>COUNT(W39:W76)</f>
      </c>
      <c r="G82" s="22"/>
      <c r="H82" s="22"/>
      <c r="I82" s="2"/>
      <c r="J82" s="16"/>
      <c r="K82" s="2"/>
      <c r="L82" s="2"/>
      <c r="M82" s="21"/>
      <c r="N82" s="17"/>
      <c r="O82" s="21"/>
      <c r="P82" s="26"/>
      <c r="Q82" s="16"/>
      <c r="R82" s="22"/>
      <c r="S82" s="22"/>
      <c r="T82" s="2"/>
      <c r="U82" s="5"/>
      <c r="V82" s="5"/>
      <c r="W82" s="29"/>
      <c r="X82" s="89"/>
      <c r="Y82" s="17"/>
      <c r="Z82" s="17"/>
      <c r="AA82" s="24"/>
      <c r="AB82" s="17"/>
      <c r="AC82" s="24"/>
    </row>
    <row x14ac:dyDescent="0.25" r="83" customHeight="1" ht="17.25">
      <c r="A83" s="16"/>
      <c r="B83" s="16"/>
      <c r="C83" s="17"/>
      <c r="D83" s="18"/>
      <c r="E83" s="18"/>
      <c r="F83" s="19"/>
      <c r="G83" s="22"/>
      <c r="H83" s="22"/>
      <c r="I83" s="2"/>
      <c r="J83" s="16"/>
      <c r="K83" s="2"/>
      <c r="L83" s="2"/>
      <c r="M83" s="21"/>
      <c r="N83" s="17"/>
      <c r="O83" s="21"/>
      <c r="P83" s="26"/>
      <c r="Q83" s="16"/>
      <c r="R83" s="22"/>
      <c r="S83" s="22"/>
      <c r="T83" s="2"/>
      <c r="U83" s="5"/>
      <c r="V83" s="5"/>
      <c r="W83" s="29"/>
      <c r="X83" s="89"/>
      <c r="Y83" s="17"/>
      <c r="Z83" s="17"/>
      <c r="AA83" s="24"/>
      <c r="AB83" s="17"/>
      <c r="AC83" s="24"/>
    </row>
    <row x14ac:dyDescent="0.25" r="84" customHeight="1" ht="17.25">
      <c r="A84" s="16"/>
      <c r="B84" s="16"/>
      <c r="C84" s="17"/>
      <c r="D84" s="18"/>
      <c r="E84" s="18"/>
      <c r="F84" s="19"/>
      <c r="G84" s="22"/>
      <c r="H84" s="22"/>
      <c r="I84" s="2"/>
      <c r="J84" s="16"/>
      <c r="K84" s="2"/>
      <c r="L84" s="2"/>
      <c r="M84" s="21"/>
      <c r="N84" s="17"/>
      <c r="O84" s="21"/>
      <c r="P84" s="26"/>
      <c r="Q84" s="16"/>
      <c r="R84" s="22"/>
      <c r="S84" s="22"/>
      <c r="T84" s="2"/>
      <c r="U84" s="5"/>
      <c r="V84" s="5"/>
      <c r="W84" s="29"/>
      <c r="X84" s="89"/>
      <c r="Y84" s="17"/>
      <c r="Z84" s="17"/>
      <c r="AA84" s="24"/>
      <c r="AB84" s="17"/>
      <c r="AC84" s="24"/>
    </row>
    <row x14ac:dyDescent="0.25" r="85" customHeight="1" ht="17.25">
      <c r="A85" s="16"/>
      <c r="B85" s="16"/>
      <c r="C85" s="17"/>
      <c r="D85" s="18"/>
      <c r="E85" s="18"/>
      <c r="F85" s="19"/>
      <c r="G85" s="22"/>
      <c r="H85" s="22"/>
      <c r="I85" s="2"/>
      <c r="J85" s="16"/>
      <c r="K85" s="2"/>
      <c r="L85" s="2"/>
      <c r="M85" s="21"/>
      <c r="N85" s="17"/>
      <c r="O85" s="21"/>
      <c r="P85" s="26"/>
      <c r="Q85" s="16"/>
      <c r="R85" s="22"/>
      <c r="S85" s="22"/>
      <c r="T85" s="2"/>
      <c r="U85" s="5"/>
      <c r="V85" s="5"/>
      <c r="W85" s="29"/>
      <c r="X85" s="89"/>
      <c r="Y85" s="17"/>
      <c r="Z85" s="17"/>
      <c r="AA85" s="24"/>
      <c r="AB85" s="17"/>
      <c r="AC85" s="24"/>
    </row>
    <row x14ac:dyDescent="0.25" r="86" customHeight="1" ht="17.25">
      <c r="A86" s="16"/>
      <c r="B86" s="16"/>
      <c r="C86" s="17"/>
      <c r="D86" s="18"/>
      <c r="E86" s="18"/>
      <c r="F86" s="19"/>
      <c r="G86" s="22"/>
      <c r="H86" s="22"/>
      <c r="I86" s="2"/>
      <c r="J86" s="16"/>
      <c r="K86" s="2"/>
      <c r="L86" s="2"/>
      <c r="M86" s="21"/>
      <c r="N86" s="17"/>
      <c r="O86" s="21"/>
      <c r="P86" s="26"/>
      <c r="Q86" s="16"/>
      <c r="R86" s="22"/>
      <c r="S86" s="22"/>
      <c r="T86" s="2"/>
      <c r="U86" s="5"/>
      <c r="V86" s="5"/>
      <c r="W86" s="29"/>
      <c r="X86" s="89"/>
      <c r="Y86" s="17"/>
      <c r="Z86" s="17"/>
      <c r="AA86" s="24"/>
      <c r="AB86" s="17"/>
      <c r="AC86" s="24"/>
    </row>
    <row x14ac:dyDescent="0.25" r="87" customHeight="1" ht="17.25">
      <c r="A87" s="16"/>
      <c r="B87" s="16"/>
      <c r="C87" s="17"/>
      <c r="D87" s="18"/>
      <c r="E87" s="18"/>
      <c r="F87" s="19"/>
      <c r="G87" s="22"/>
      <c r="H87" s="22"/>
      <c r="I87" s="2"/>
      <c r="J87" s="16"/>
      <c r="K87" s="2"/>
      <c r="L87" s="2"/>
      <c r="M87" s="21"/>
      <c r="N87" s="17"/>
      <c r="O87" s="21"/>
      <c r="P87" s="26"/>
      <c r="Q87" s="16"/>
      <c r="R87" s="22"/>
      <c r="S87" s="22"/>
      <c r="T87" s="2"/>
      <c r="U87" s="5"/>
      <c r="V87" s="5"/>
      <c r="W87" s="29"/>
      <c r="X87" s="89"/>
      <c r="Y87" s="17"/>
      <c r="Z87" s="17"/>
      <c r="AA87" s="24"/>
      <c r="AB87" s="17"/>
      <c r="AC87" s="24"/>
    </row>
    <row x14ac:dyDescent="0.25" r="88" customHeight="1" ht="17.25">
      <c r="A88" s="16"/>
      <c r="B88" s="16"/>
      <c r="C88" s="17"/>
      <c r="D88" s="18"/>
      <c r="E88" s="18"/>
      <c r="F88" s="19"/>
      <c r="G88" s="22"/>
      <c r="H88" s="22"/>
      <c r="I88" s="2"/>
      <c r="J88" s="16"/>
      <c r="K88" s="2"/>
      <c r="L88" s="2"/>
      <c r="M88" s="21"/>
      <c r="N88" s="17"/>
      <c r="O88" s="21"/>
      <c r="P88" s="26"/>
      <c r="Q88" s="16"/>
      <c r="R88" s="22"/>
      <c r="S88" s="22"/>
      <c r="T88" s="2"/>
      <c r="U88" s="5"/>
      <c r="V88" s="5"/>
      <c r="W88" s="29"/>
      <c r="X88" s="89"/>
      <c r="Y88" s="17"/>
      <c r="Z88" s="17"/>
      <c r="AA88" s="24"/>
      <c r="AB88" s="17"/>
      <c r="AC88" s="24"/>
    </row>
    <row x14ac:dyDescent="0.25" r="89" customHeight="1" ht="17.25">
      <c r="A89" s="16"/>
      <c r="B89" s="16"/>
      <c r="C89" s="17"/>
      <c r="D89" s="18"/>
      <c r="E89" s="18"/>
      <c r="F89" s="19"/>
      <c r="G89" s="22"/>
      <c r="H89" s="22"/>
      <c r="I89" s="2"/>
      <c r="J89" s="16"/>
      <c r="K89" s="2"/>
      <c r="L89" s="2"/>
      <c r="M89" s="21"/>
      <c r="N89" s="17"/>
      <c r="O89" s="21"/>
      <c r="P89" s="26"/>
      <c r="Q89" s="16"/>
      <c r="R89" s="22"/>
      <c r="S89" s="22"/>
      <c r="T89" s="2"/>
      <c r="U89" s="5"/>
      <c r="V89" s="5"/>
      <c r="W89" s="29"/>
      <c r="X89" s="89"/>
      <c r="Y89" s="17"/>
      <c r="Z89" s="17"/>
      <c r="AA89" s="24"/>
      <c r="AB89" s="17"/>
      <c r="AC89" s="24"/>
    </row>
    <row x14ac:dyDescent="0.25" r="90" customHeight="1" ht="17.25">
      <c r="A90" s="16"/>
      <c r="B90" s="16"/>
      <c r="C90" s="17"/>
      <c r="D90" s="18"/>
      <c r="E90" s="18"/>
      <c r="F90" s="19"/>
      <c r="G90" s="22"/>
      <c r="H90" s="22"/>
      <c r="I90" s="2"/>
      <c r="J90" s="16"/>
      <c r="K90" s="2"/>
      <c r="L90" s="2"/>
      <c r="M90" s="21"/>
      <c r="N90" s="17"/>
      <c r="O90" s="21"/>
      <c r="P90" s="26"/>
      <c r="Q90" s="16"/>
      <c r="R90" s="22"/>
      <c r="S90" s="22"/>
      <c r="T90" s="2"/>
      <c r="U90" s="5"/>
      <c r="V90" s="5"/>
      <c r="W90" s="29"/>
      <c r="X90" s="89"/>
      <c r="Y90" s="17"/>
      <c r="Z90" s="17"/>
      <c r="AA90" s="24"/>
      <c r="AB90" s="17"/>
      <c r="AC90" s="24"/>
    </row>
    <row x14ac:dyDescent="0.25" r="91" customHeight="1" ht="17.25">
      <c r="A91" s="16"/>
      <c r="B91" s="16"/>
      <c r="C91" s="17"/>
      <c r="D91" s="18"/>
      <c r="E91" s="18"/>
      <c r="F91" s="19"/>
      <c r="G91" s="22"/>
      <c r="H91" s="22"/>
      <c r="I91" s="2"/>
      <c r="J91" s="16"/>
      <c r="K91" s="2"/>
      <c r="L91" s="2"/>
      <c r="M91" s="21"/>
      <c r="N91" s="17"/>
      <c r="O91" s="21"/>
      <c r="P91" s="26"/>
      <c r="Q91" s="16"/>
      <c r="R91" s="22"/>
      <c r="S91" s="22"/>
      <c r="T91" s="2"/>
      <c r="U91" s="5"/>
      <c r="V91" s="5"/>
      <c r="W91" s="29"/>
      <c r="X91" s="89"/>
      <c r="Y91" s="17"/>
      <c r="Z91" s="17"/>
      <c r="AA91" s="24"/>
      <c r="AB91" s="17"/>
      <c r="AC91" s="24"/>
    </row>
    <row x14ac:dyDescent="0.25" r="92" customHeight="1" ht="17.25">
      <c r="A92" s="16"/>
      <c r="B92" s="16"/>
      <c r="C92" s="17"/>
      <c r="D92" s="18"/>
      <c r="E92" s="18"/>
      <c r="F92" s="19"/>
      <c r="G92" s="22"/>
      <c r="H92" s="22"/>
      <c r="I92" s="2"/>
      <c r="J92" s="16"/>
      <c r="K92" s="2"/>
      <c r="L92" s="2"/>
      <c r="M92" s="21"/>
      <c r="N92" s="17"/>
      <c r="O92" s="21"/>
      <c r="P92" s="26"/>
      <c r="Q92" s="16"/>
      <c r="R92" s="22"/>
      <c r="S92" s="22"/>
      <c r="T92" s="2"/>
      <c r="U92" s="5"/>
      <c r="V92" s="5"/>
      <c r="W92" s="29"/>
      <c r="X92" s="89"/>
      <c r="Y92" s="17"/>
      <c r="Z92" s="17"/>
      <c r="AA92" s="24"/>
      <c r="AB92" s="17"/>
      <c r="AC92" s="24"/>
    </row>
    <row x14ac:dyDescent="0.25" r="93" customHeight="1" ht="17.25">
      <c r="A93" s="16"/>
      <c r="B93" s="16"/>
      <c r="C93" s="17"/>
      <c r="D93" s="18"/>
      <c r="E93" s="18"/>
      <c r="F93" s="19"/>
      <c r="G93" s="22"/>
      <c r="H93" s="22"/>
      <c r="I93" s="2"/>
      <c r="J93" s="16"/>
      <c r="K93" s="2"/>
      <c r="L93" s="2"/>
      <c r="M93" s="21"/>
      <c r="N93" s="17"/>
      <c r="O93" s="21"/>
      <c r="P93" s="26"/>
      <c r="Q93" s="16"/>
      <c r="R93" s="22"/>
      <c r="S93" s="22"/>
      <c r="T93" s="2"/>
      <c r="U93" s="5"/>
      <c r="V93" s="5"/>
      <c r="W93" s="29"/>
      <c r="X93" s="89"/>
      <c r="Y93" s="17"/>
      <c r="Z93" s="17"/>
      <c r="AA93" s="24"/>
      <c r="AB93" s="17"/>
      <c r="AC93" s="24"/>
    </row>
    <row x14ac:dyDescent="0.25" r="94" customHeight="1" ht="17.25">
      <c r="A94" s="16"/>
      <c r="B94" s="16"/>
      <c r="C94" s="17"/>
      <c r="D94" s="18"/>
      <c r="E94" s="18"/>
      <c r="F94" s="19"/>
      <c r="G94" s="22"/>
      <c r="H94" s="22"/>
      <c r="I94" s="2"/>
      <c r="J94" s="16"/>
      <c r="K94" s="2"/>
      <c r="L94" s="2"/>
      <c r="M94" s="21"/>
      <c r="N94" s="17"/>
      <c r="O94" s="21"/>
      <c r="P94" s="26"/>
      <c r="Q94" s="16"/>
      <c r="R94" s="22"/>
      <c r="S94" s="22"/>
      <c r="T94" s="2"/>
      <c r="U94" s="5"/>
      <c r="V94" s="5"/>
      <c r="W94" s="29"/>
      <c r="X94" s="89"/>
      <c r="Y94" s="17"/>
      <c r="Z94" s="17"/>
      <c r="AA94" s="24"/>
      <c r="AB94" s="17"/>
      <c r="AC94" s="24"/>
    </row>
    <row x14ac:dyDescent="0.25" r="95" customHeight="1" ht="17.25">
      <c r="A95" s="16"/>
      <c r="B95" s="16"/>
      <c r="C95" s="17"/>
      <c r="D95" s="18"/>
      <c r="E95" s="18"/>
      <c r="F95" s="19"/>
      <c r="G95" s="22"/>
      <c r="H95" s="22"/>
      <c r="I95" s="2"/>
      <c r="J95" s="16"/>
      <c r="K95" s="2"/>
      <c r="L95" s="2"/>
      <c r="M95" s="21"/>
      <c r="N95" s="17"/>
      <c r="O95" s="21"/>
      <c r="P95" s="26"/>
      <c r="Q95" s="16"/>
      <c r="R95" s="22"/>
      <c r="S95" s="22"/>
      <c r="T95" s="2"/>
      <c r="U95" s="5"/>
      <c r="V95" s="5"/>
      <c r="W95" s="29"/>
      <c r="X95" s="89"/>
      <c r="Y95" s="17"/>
      <c r="Z95" s="17"/>
      <c r="AA95" s="24"/>
      <c r="AB95" s="17"/>
      <c r="AC95" s="24"/>
    </row>
    <row x14ac:dyDescent="0.25" r="96" customHeight="1" ht="17.25">
      <c r="A96" s="16"/>
      <c r="B96" s="16"/>
      <c r="C96" s="17"/>
      <c r="D96" s="18"/>
      <c r="E96" s="18"/>
      <c r="F96" s="19"/>
      <c r="G96" s="22"/>
      <c r="H96" s="22"/>
      <c r="I96" s="2"/>
      <c r="J96" s="16"/>
      <c r="K96" s="2"/>
      <c r="L96" s="2"/>
      <c r="M96" s="21"/>
      <c r="N96" s="17"/>
      <c r="O96" s="21"/>
      <c r="P96" s="26"/>
      <c r="Q96" s="16"/>
      <c r="R96" s="22"/>
      <c r="S96" s="22"/>
      <c r="T96" s="2"/>
      <c r="U96" s="5"/>
      <c r="V96" s="5"/>
      <c r="W96" s="29"/>
      <c r="X96" s="89"/>
      <c r="Y96" s="17"/>
      <c r="Z96" s="17"/>
      <c r="AA96" s="24"/>
      <c r="AB96" s="17"/>
      <c r="AC96" s="24"/>
    </row>
    <row x14ac:dyDescent="0.25" r="97" customHeight="1" ht="17.25">
      <c r="A97" s="16"/>
      <c r="B97" s="16"/>
      <c r="C97" s="17"/>
      <c r="D97" s="18"/>
      <c r="E97" s="18"/>
      <c r="F97" s="19"/>
      <c r="G97" s="22"/>
      <c r="H97" s="22"/>
      <c r="I97" s="2"/>
      <c r="J97" s="16"/>
      <c r="K97" s="2"/>
      <c r="L97" s="2"/>
      <c r="M97" s="21"/>
      <c r="N97" s="17"/>
      <c r="O97" s="21"/>
      <c r="P97" s="26"/>
      <c r="Q97" s="16"/>
      <c r="R97" s="22"/>
      <c r="S97" s="22"/>
      <c r="T97" s="2"/>
      <c r="U97" s="5"/>
      <c r="V97" s="5"/>
      <c r="W97" s="29"/>
      <c r="X97" s="89"/>
      <c r="Y97" s="17"/>
      <c r="Z97" s="17"/>
      <c r="AA97" s="24"/>
      <c r="AB97" s="17"/>
      <c r="AC97" s="24"/>
    </row>
    <row x14ac:dyDescent="0.25" r="98" customHeight="1" ht="17.25">
      <c r="A98" s="16"/>
      <c r="B98" s="16"/>
      <c r="C98" s="17"/>
      <c r="D98" s="18"/>
      <c r="E98" s="18"/>
      <c r="F98" s="19"/>
      <c r="G98" s="22"/>
      <c r="H98" s="22"/>
      <c r="I98" s="2"/>
      <c r="J98" s="16"/>
      <c r="K98" s="2"/>
      <c r="L98" s="2"/>
      <c r="M98" s="21"/>
      <c r="N98" s="17"/>
      <c r="O98" s="21"/>
      <c r="P98" s="26"/>
      <c r="Q98" s="16"/>
      <c r="R98" s="22"/>
      <c r="S98" s="22"/>
      <c r="T98" s="2"/>
      <c r="U98" s="5"/>
      <c r="V98" s="5"/>
      <c r="W98" s="29"/>
      <c r="X98" s="89"/>
      <c r="Y98" s="17"/>
      <c r="Z98" s="17"/>
      <c r="AA98" s="24"/>
      <c r="AB98" s="17"/>
      <c r="AC98" s="24"/>
    </row>
    <row x14ac:dyDescent="0.25" r="99" customHeight="1" ht="17.25">
      <c r="A99" s="16"/>
      <c r="B99" s="16"/>
      <c r="C99" s="17"/>
      <c r="D99" s="18"/>
      <c r="E99" s="18"/>
      <c r="F99" s="19"/>
      <c r="G99" s="22"/>
      <c r="H99" s="22"/>
      <c r="I99" s="2"/>
      <c r="J99" s="16"/>
      <c r="K99" s="2"/>
      <c r="L99" s="2"/>
      <c r="M99" s="21"/>
      <c r="N99" s="17"/>
      <c r="O99" s="21"/>
      <c r="P99" s="26"/>
      <c r="Q99" s="16"/>
      <c r="R99" s="22"/>
      <c r="S99" s="22"/>
      <c r="T99" s="2"/>
      <c r="U99" s="5"/>
      <c r="V99" s="5"/>
      <c r="W99" s="29"/>
      <c r="X99" s="89"/>
      <c r="Y99" s="17"/>
      <c r="Z99" s="17"/>
      <c r="AA99" s="24"/>
      <c r="AB99" s="17"/>
      <c r="AC99" s="24"/>
    </row>
    <row x14ac:dyDescent="0.25" r="100" customHeight="1" ht="17.25">
      <c r="A100" s="16"/>
      <c r="B100" s="16"/>
      <c r="C100" s="17"/>
      <c r="D100" s="18"/>
      <c r="E100" s="18"/>
      <c r="F100" s="19"/>
      <c r="G100" s="22"/>
      <c r="H100" s="22"/>
      <c r="I100" s="2"/>
      <c r="J100" s="16"/>
      <c r="K100" s="2"/>
      <c r="L100" s="2"/>
      <c r="M100" s="21"/>
      <c r="N100" s="17"/>
      <c r="O100" s="21"/>
      <c r="P100" s="26"/>
      <c r="Q100" s="16"/>
      <c r="R100" s="22"/>
      <c r="S100" s="22"/>
      <c r="T100" s="2"/>
      <c r="U100" s="5"/>
      <c r="V100" s="5"/>
      <c r="W100" s="29"/>
      <c r="X100" s="89"/>
      <c r="Y100" s="17"/>
      <c r="Z100" s="17"/>
      <c r="AA100" s="24"/>
      <c r="AB100" s="17"/>
      <c r="AC100" s="24"/>
    </row>
    <row x14ac:dyDescent="0.25" r="101" customHeight="1" ht="17.25">
      <c r="A101" s="16"/>
      <c r="B101" s="16"/>
      <c r="C101" s="17"/>
      <c r="D101" s="18"/>
      <c r="E101" s="18"/>
      <c r="F101" s="19"/>
      <c r="G101" s="22"/>
      <c r="H101" s="22"/>
      <c r="I101" s="2"/>
      <c r="J101" s="16"/>
      <c r="K101" s="2"/>
      <c r="L101" s="2"/>
      <c r="M101" s="21"/>
      <c r="N101" s="17"/>
      <c r="O101" s="21"/>
      <c r="P101" s="26"/>
      <c r="Q101" s="16"/>
      <c r="R101" s="22"/>
      <c r="S101" s="22"/>
      <c r="T101" s="2"/>
      <c r="U101" s="5"/>
      <c r="V101" s="5"/>
      <c r="W101" s="29"/>
      <c r="X101" s="89"/>
      <c r="Y101" s="17"/>
      <c r="Z101" s="17"/>
      <c r="AA101" s="24"/>
      <c r="AB101" s="17"/>
      <c r="AC101" s="24"/>
    </row>
    <row x14ac:dyDescent="0.25" r="102" customHeight="1" ht="17.25">
      <c r="A102" s="16"/>
      <c r="B102" s="16"/>
      <c r="C102" s="17"/>
      <c r="D102" s="18"/>
      <c r="E102" s="18"/>
      <c r="F102" s="19"/>
      <c r="G102" s="22"/>
      <c r="H102" s="22"/>
      <c r="I102" s="2"/>
      <c r="J102" s="16"/>
      <c r="K102" s="2"/>
      <c r="L102" s="2"/>
      <c r="M102" s="21"/>
      <c r="N102" s="17"/>
      <c r="O102" s="21"/>
      <c r="P102" s="26"/>
      <c r="Q102" s="16"/>
      <c r="R102" s="22"/>
      <c r="S102" s="22"/>
      <c r="T102" s="2"/>
      <c r="U102" s="5"/>
      <c r="V102" s="5"/>
      <c r="W102" s="29"/>
      <c r="X102" s="89"/>
      <c r="Y102" s="17"/>
      <c r="Z102" s="17"/>
      <c r="AA102" s="24"/>
      <c r="AB102" s="17"/>
      <c r="AC102" s="24"/>
    </row>
    <row x14ac:dyDescent="0.25" r="103" customHeight="1" ht="17.25">
      <c r="A103" s="16"/>
      <c r="B103" s="16"/>
      <c r="C103" s="17"/>
      <c r="D103" s="18"/>
      <c r="E103" s="18"/>
      <c r="F103" s="19"/>
      <c r="G103" s="22"/>
      <c r="H103" s="22"/>
      <c r="I103" s="2"/>
      <c r="J103" s="16"/>
      <c r="K103" s="2"/>
      <c r="L103" s="2"/>
      <c r="M103" s="21"/>
      <c r="N103" s="17"/>
      <c r="O103" s="21"/>
      <c r="P103" s="26"/>
      <c r="Q103" s="16"/>
      <c r="R103" s="22"/>
      <c r="S103" s="22"/>
      <c r="T103" s="2"/>
      <c r="U103" s="5"/>
      <c r="V103" s="5"/>
      <c r="W103" s="29"/>
      <c r="X103" s="89"/>
      <c r="Y103" s="17"/>
      <c r="Z103" s="17"/>
      <c r="AA103" s="24"/>
      <c r="AB103" s="17"/>
      <c r="AC103" s="24"/>
    </row>
    <row x14ac:dyDescent="0.25" r="104" customHeight="1" ht="17.25">
      <c r="A104" s="16"/>
      <c r="B104" s="16"/>
      <c r="C104" s="17"/>
      <c r="D104" s="18"/>
      <c r="E104" s="18"/>
      <c r="F104" s="19"/>
      <c r="G104" s="22"/>
      <c r="H104" s="22"/>
      <c r="I104" s="2"/>
      <c r="J104" s="16"/>
      <c r="K104" s="2"/>
      <c r="L104" s="2"/>
      <c r="M104" s="21"/>
      <c r="N104" s="17"/>
      <c r="O104" s="21"/>
      <c r="P104" s="26"/>
      <c r="Q104" s="16"/>
      <c r="R104" s="22"/>
      <c r="S104" s="22"/>
      <c r="T104" s="2"/>
      <c r="U104" s="5"/>
      <c r="V104" s="5"/>
      <c r="W104" s="29"/>
      <c r="X104" s="89"/>
      <c r="Y104" s="17"/>
      <c r="Z104" s="17"/>
      <c r="AA104" s="24"/>
      <c r="AB104" s="17"/>
      <c r="AC104" s="24"/>
    </row>
    <row x14ac:dyDescent="0.25" r="105" customHeight="1" ht="17.25">
      <c r="A105" s="16"/>
      <c r="B105" s="16"/>
      <c r="C105" s="17"/>
      <c r="D105" s="18"/>
      <c r="E105" s="18"/>
      <c r="F105" s="19"/>
      <c r="G105" s="22"/>
      <c r="H105" s="22"/>
      <c r="I105" s="2"/>
      <c r="J105" s="16"/>
      <c r="K105" s="2"/>
      <c r="L105" s="2"/>
      <c r="M105" s="21"/>
      <c r="N105" s="17"/>
      <c r="O105" s="21"/>
      <c r="P105" s="26"/>
      <c r="Q105" s="16"/>
      <c r="R105" s="22"/>
      <c r="S105" s="22"/>
      <c r="T105" s="2"/>
      <c r="U105" s="5"/>
      <c r="V105" s="5"/>
      <c r="W105" s="29"/>
      <c r="X105" s="89"/>
      <c r="Y105" s="17"/>
      <c r="Z105" s="17"/>
      <c r="AA105" s="24"/>
      <c r="AB105" s="17"/>
      <c r="AC105" s="24"/>
    </row>
    <row x14ac:dyDescent="0.25" r="106" customHeight="1" ht="17.25">
      <c r="A106" s="16"/>
      <c r="B106" s="16"/>
      <c r="C106" s="17"/>
      <c r="D106" s="18"/>
      <c r="E106" s="18"/>
      <c r="F106" s="19"/>
      <c r="G106" s="22"/>
      <c r="H106" s="22"/>
      <c r="I106" s="2"/>
      <c r="J106" s="16"/>
      <c r="K106" s="2"/>
      <c r="L106" s="2"/>
      <c r="M106" s="21"/>
      <c r="N106" s="17"/>
      <c r="O106" s="21"/>
      <c r="P106" s="26"/>
      <c r="Q106" s="16"/>
      <c r="R106" s="22"/>
      <c r="S106" s="22"/>
      <c r="T106" s="2"/>
      <c r="U106" s="5"/>
      <c r="V106" s="5"/>
      <c r="W106" s="29"/>
      <c r="X106" s="89"/>
      <c r="Y106" s="17"/>
      <c r="Z106" s="17"/>
      <c r="AA106" s="24"/>
      <c r="AB106" s="17"/>
      <c r="AC106" s="24"/>
    </row>
    <row x14ac:dyDescent="0.25" r="107" customHeight="1" ht="17.25">
      <c r="A107" s="16"/>
      <c r="B107" s="16"/>
      <c r="C107" s="17"/>
      <c r="D107" s="18"/>
      <c r="E107" s="18"/>
      <c r="F107" s="19"/>
      <c r="G107" s="22"/>
      <c r="H107" s="22"/>
      <c r="I107" s="2"/>
      <c r="J107" s="16"/>
      <c r="K107" s="2"/>
      <c r="L107" s="2"/>
      <c r="M107" s="21"/>
      <c r="N107" s="17"/>
      <c r="O107" s="21"/>
      <c r="P107" s="26"/>
      <c r="Q107" s="16"/>
      <c r="R107" s="22"/>
      <c r="S107" s="22"/>
      <c r="T107" s="2"/>
      <c r="U107" s="5"/>
      <c r="V107" s="5"/>
      <c r="W107" s="29"/>
      <c r="X107" s="89"/>
      <c r="Y107" s="17"/>
      <c r="Z107" s="17"/>
      <c r="AA107" s="24"/>
      <c r="AB107" s="17"/>
      <c r="AC107" s="24"/>
    </row>
    <row x14ac:dyDescent="0.25" r="108" customHeight="1" ht="17.25">
      <c r="A108" s="16"/>
      <c r="B108" s="16"/>
      <c r="C108" s="17"/>
      <c r="D108" s="18"/>
      <c r="E108" s="18"/>
      <c r="F108" s="19"/>
      <c r="G108" s="22"/>
      <c r="H108" s="22"/>
      <c r="I108" s="2"/>
      <c r="J108" s="16"/>
      <c r="K108" s="2"/>
      <c r="L108" s="2"/>
      <c r="M108" s="21"/>
      <c r="N108" s="17"/>
      <c r="O108" s="21"/>
      <c r="P108" s="26"/>
      <c r="Q108" s="16"/>
      <c r="R108" s="22"/>
      <c r="S108" s="22"/>
      <c r="T108" s="2"/>
      <c r="U108" s="5"/>
      <c r="V108" s="5"/>
      <c r="W108" s="29"/>
      <c r="X108" s="89"/>
      <c r="Y108" s="17"/>
      <c r="Z108" s="17"/>
      <c r="AA108" s="24"/>
      <c r="AB108" s="17"/>
      <c r="AC108" s="24"/>
    </row>
    <row x14ac:dyDescent="0.25" r="109" customHeight="1" ht="17.25">
      <c r="A109" s="16"/>
      <c r="B109" s="16"/>
      <c r="C109" s="17"/>
      <c r="D109" s="18"/>
      <c r="E109" s="18"/>
      <c r="F109" s="19"/>
      <c r="G109" s="22"/>
      <c r="H109" s="22"/>
      <c r="I109" s="2"/>
      <c r="J109" s="16"/>
      <c r="K109" s="2"/>
      <c r="L109" s="2"/>
      <c r="M109" s="21"/>
      <c r="N109" s="17"/>
      <c r="O109" s="21"/>
      <c r="P109" s="26"/>
      <c r="Q109" s="16"/>
      <c r="R109" s="22"/>
      <c r="S109" s="22"/>
      <c r="T109" s="2"/>
      <c r="U109" s="5"/>
      <c r="V109" s="5"/>
      <c r="W109" s="29"/>
      <c r="X109" s="89"/>
      <c r="Y109" s="17"/>
      <c r="Z109" s="17"/>
      <c r="AA109" s="24"/>
      <c r="AB109" s="17"/>
      <c r="AC109" s="24"/>
    </row>
    <row x14ac:dyDescent="0.25" r="110" customHeight="1" ht="17.25">
      <c r="A110" s="16"/>
      <c r="B110" s="16"/>
      <c r="C110" s="17"/>
      <c r="D110" s="18"/>
      <c r="E110" s="18"/>
      <c r="F110" s="19"/>
      <c r="G110" s="22"/>
      <c r="H110" s="22"/>
      <c r="I110" s="2"/>
      <c r="J110" s="16"/>
      <c r="K110" s="2"/>
      <c r="L110" s="2"/>
      <c r="M110" s="21"/>
      <c r="N110" s="17"/>
      <c r="O110" s="21"/>
      <c r="P110" s="26"/>
      <c r="Q110" s="16"/>
      <c r="R110" s="22"/>
      <c r="S110" s="22"/>
      <c r="T110" s="2"/>
      <c r="U110" s="5"/>
      <c r="V110" s="5"/>
      <c r="W110" s="29"/>
      <c r="X110" s="89"/>
      <c r="Y110" s="17"/>
      <c r="Z110" s="17"/>
      <c r="AA110" s="24"/>
      <c r="AB110" s="17"/>
      <c r="AC110" s="24"/>
    </row>
    <row x14ac:dyDescent="0.25" r="111" customHeight="1" ht="17.25">
      <c r="A111" s="16"/>
      <c r="B111" s="16"/>
      <c r="C111" s="17"/>
      <c r="D111" s="18"/>
      <c r="E111" s="18"/>
      <c r="F111" s="19"/>
      <c r="G111" s="22"/>
      <c r="H111" s="22"/>
      <c r="I111" s="2"/>
      <c r="J111" s="16"/>
      <c r="K111" s="2"/>
      <c r="L111" s="2"/>
      <c r="M111" s="21"/>
      <c r="N111" s="17"/>
      <c r="O111" s="21"/>
      <c r="P111" s="26"/>
      <c r="Q111" s="16"/>
      <c r="R111" s="22"/>
      <c r="S111" s="22"/>
      <c r="T111" s="2"/>
      <c r="U111" s="5"/>
      <c r="V111" s="5"/>
      <c r="W111" s="29"/>
      <c r="X111" s="89"/>
      <c r="Y111" s="17"/>
      <c r="Z111" s="17"/>
      <c r="AA111" s="24"/>
      <c r="AB111" s="17"/>
      <c r="AC111" s="24"/>
    </row>
    <row x14ac:dyDescent="0.25" r="112" customHeight="1" ht="17.25">
      <c r="A112" s="16"/>
      <c r="B112" s="16"/>
      <c r="C112" s="17"/>
      <c r="D112" s="18"/>
      <c r="E112" s="18"/>
      <c r="F112" s="19"/>
      <c r="G112" s="22"/>
      <c r="H112" s="22"/>
      <c r="I112" s="2"/>
      <c r="J112" s="16"/>
      <c r="K112" s="2"/>
      <c r="L112" s="2"/>
      <c r="M112" s="21"/>
      <c r="N112" s="17"/>
      <c r="O112" s="21"/>
      <c r="P112" s="26"/>
      <c r="Q112" s="16"/>
      <c r="R112" s="22"/>
      <c r="S112" s="22"/>
      <c r="T112" s="2"/>
      <c r="U112" s="5"/>
      <c r="V112" s="5"/>
      <c r="W112" s="29"/>
      <c r="X112" s="29"/>
      <c r="Y112" s="17"/>
      <c r="Z112" s="17"/>
      <c r="AA112" s="24"/>
      <c r="AB112" s="17"/>
      <c r="AC112" s="24"/>
    </row>
    <row x14ac:dyDescent="0.25" r="113" customHeight="1" ht="17.25">
      <c r="A113" s="16"/>
      <c r="B113" s="16"/>
      <c r="C113" s="17"/>
      <c r="D113" s="18"/>
      <c r="E113" s="18"/>
      <c r="F113" s="19"/>
      <c r="G113" s="22"/>
      <c r="H113" s="22"/>
      <c r="I113" s="2"/>
      <c r="J113" s="16"/>
      <c r="K113" s="2"/>
      <c r="L113" s="2"/>
      <c r="M113" s="21"/>
      <c r="N113" s="17"/>
      <c r="O113" s="21"/>
      <c r="P113" s="26"/>
      <c r="Q113" s="16"/>
      <c r="R113" s="22"/>
      <c r="S113" s="22"/>
      <c r="T113" s="2"/>
      <c r="U113" s="5"/>
      <c r="V113" s="5"/>
      <c r="W113" s="29"/>
      <c r="X113" s="29"/>
      <c r="Y113" s="17"/>
      <c r="Z113" s="17"/>
      <c r="AA113" s="24"/>
      <c r="AB113" s="17"/>
      <c r="AC113" s="24"/>
    </row>
    <row x14ac:dyDescent="0.25" r="114" customHeight="1" ht="17.25">
      <c r="A114" s="16"/>
      <c r="B114" s="16"/>
      <c r="C114" s="17"/>
      <c r="D114" s="18"/>
      <c r="E114" s="18"/>
      <c r="F114" s="19"/>
      <c r="G114" s="22"/>
      <c r="H114" s="22"/>
      <c r="I114" s="2"/>
      <c r="J114" s="16"/>
      <c r="K114" s="2"/>
      <c r="L114" s="2"/>
      <c r="M114" s="21"/>
      <c r="N114" s="17"/>
      <c r="O114" s="21"/>
      <c r="P114" s="26"/>
      <c r="Q114" s="16"/>
      <c r="R114" s="22"/>
      <c r="S114" s="22"/>
      <c r="T114" s="2"/>
      <c r="U114" s="5"/>
      <c r="V114" s="5"/>
      <c r="W114" s="29"/>
      <c r="X114" s="29"/>
      <c r="Y114" s="17"/>
      <c r="Z114" s="17"/>
      <c r="AA114" s="24"/>
      <c r="AB114" s="17"/>
      <c r="AC114" s="24"/>
    </row>
    <row x14ac:dyDescent="0.25" r="115" customHeight="1" ht="17.25">
      <c r="A115" s="16"/>
      <c r="B115" s="16"/>
      <c r="C115" s="17"/>
      <c r="D115" s="18"/>
      <c r="E115" s="18"/>
      <c r="F115" s="19"/>
      <c r="G115" s="22"/>
      <c r="H115" s="22"/>
      <c r="I115" s="2"/>
      <c r="J115" s="16"/>
      <c r="K115" s="2"/>
      <c r="L115" s="2"/>
      <c r="M115" s="21"/>
      <c r="N115" s="17"/>
      <c r="O115" s="21"/>
      <c r="P115" s="26"/>
      <c r="Q115" s="16"/>
      <c r="R115" s="22"/>
      <c r="S115" s="22"/>
      <c r="T115" s="2"/>
      <c r="U115" s="5"/>
      <c r="V115" s="5"/>
      <c r="W115" s="29"/>
      <c r="X115" s="29"/>
      <c r="Y115" s="17"/>
      <c r="Z115" s="17"/>
      <c r="AA115" s="24"/>
      <c r="AB115" s="17"/>
      <c r="AC115" s="24"/>
    </row>
    <row x14ac:dyDescent="0.25" r="116" customHeight="1" ht="17.25">
      <c r="A116" s="16"/>
      <c r="B116" s="16"/>
      <c r="C116" s="17"/>
      <c r="D116" s="18"/>
      <c r="E116" s="18"/>
      <c r="F116" s="19"/>
      <c r="G116" s="22"/>
      <c r="H116" s="22"/>
      <c r="I116" s="2"/>
      <c r="J116" s="16"/>
      <c r="K116" s="2"/>
      <c r="L116" s="2"/>
      <c r="M116" s="21"/>
      <c r="N116" s="17"/>
      <c r="O116" s="21"/>
      <c r="P116" s="26"/>
      <c r="Q116" s="16"/>
      <c r="R116" s="22"/>
      <c r="S116" s="22"/>
      <c r="T116" s="2"/>
      <c r="U116" s="5"/>
      <c r="V116" s="5"/>
      <c r="W116" s="29"/>
      <c r="X116" s="29"/>
      <c r="Y116" s="17"/>
      <c r="Z116" s="17"/>
      <c r="AA116" s="24"/>
      <c r="AB116" s="17"/>
      <c r="AC116" s="24"/>
    </row>
    <row x14ac:dyDescent="0.25" r="117" customHeight="1" ht="17.25">
      <c r="A117" s="16"/>
      <c r="B117" s="16"/>
      <c r="C117" s="17"/>
      <c r="D117" s="18"/>
      <c r="E117" s="18"/>
      <c r="F117" s="19"/>
      <c r="G117" s="22"/>
      <c r="H117" s="22"/>
      <c r="I117" s="2"/>
      <c r="J117" s="16"/>
      <c r="K117" s="2"/>
      <c r="L117" s="2"/>
      <c r="M117" s="21"/>
      <c r="N117" s="17"/>
      <c r="O117" s="21"/>
      <c r="P117" s="26"/>
      <c r="Q117" s="16"/>
      <c r="R117" s="22"/>
      <c r="S117" s="22"/>
      <c r="T117" s="2"/>
      <c r="U117" s="5"/>
      <c r="V117" s="5"/>
      <c r="W117" s="29"/>
      <c r="X117" s="29"/>
      <c r="Y117" s="17"/>
      <c r="Z117" s="17"/>
      <c r="AA117" s="24"/>
      <c r="AB117" s="17"/>
      <c r="AC117" s="24"/>
    </row>
    <row x14ac:dyDescent="0.25" r="118" customHeight="1" ht="17.25">
      <c r="A118" s="16"/>
      <c r="B118" s="16"/>
      <c r="C118" s="17"/>
      <c r="D118" s="18"/>
      <c r="E118" s="18"/>
      <c r="F118" s="19"/>
      <c r="G118" s="22"/>
      <c r="H118" s="22"/>
      <c r="I118" s="2"/>
      <c r="J118" s="16"/>
      <c r="K118" s="2"/>
      <c r="L118" s="2"/>
      <c r="M118" s="21"/>
      <c r="N118" s="17"/>
      <c r="O118" s="21"/>
      <c r="P118" s="26"/>
      <c r="Q118" s="16"/>
      <c r="R118" s="22"/>
      <c r="S118" s="22"/>
      <c r="T118" s="2"/>
      <c r="U118" s="5"/>
      <c r="V118" s="5"/>
      <c r="W118" s="29"/>
      <c r="X118" s="29"/>
      <c r="Y118" s="17"/>
      <c r="Z118" s="17"/>
      <c r="AA118" s="24"/>
      <c r="AB118" s="17"/>
      <c r="AC118" s="24"/>
    </row>
    <row x14ac:dyDescent="0.25" r="119" customHeight="1" ht="17.25">
      <c r="A119" s="16"/>
      <c r="B119" s="16"/>
      <c r="C119" s="17"/>
      <c r="D119" s="18"/>
      <c r="E119" s="18"/>
      <c r="F119" s="19"/>
      <c r="G119" s="22"/>
      <c r="H119" s="22"/>
      <c r="I119" s="2"/>
      <c r="J119" s="16"/>
      <c r="K119" s="2"/>
      <c r="L119" s="2"/>
      <c r="M119" s="21"/>
      <c r="N119" s="17"/>
      <c r="O119" s="21"/>
      <c r="P119" s="26"/>
      <c r="Q119" s="16"/>
      <c r="R119" s="22"/>
      <c r="S119" s="22"/>
      <c r="T119" s="2"/>
      <c r="U119" s="5"/>
      <c r="V119" s="5"/>
      <c r="W119" s="29"/>
      <c r="X119" s="29"/>
      <c r="Y119" s="17"/>
      <c r="Z119" s="17"/>
      <c r="AA119" s="24"/>
      <c r="AB119" s="17"/>
      <c r="AC119" s="24"/>
    </row>
    <row x14ac:dyDescent="0.25" r="120" customHeight="1" ht="17.25">
      <c r="A120" s="16"/>
      <c r="B120" s="16"/>
      <c r="C120" s="17"/>
      <c r="D120" s="18"/>
      <c r="E120" s="18"/>
      <c r="F120" s="19"/>
      <c r="G120" s="22"/>
      <c r="H120" s="22"/>
      <c r="I120" s="2"/>
      <c r="J120" s="16"/>
      <c r="K120" s="2"/>
      <c r="L120" s="2"/>
      <c r="M120" s="21"/>
      <c r="N120" s="17"/>
      <c r="O120" s="21"/>
      <c r="P120" s="26"/>
      <c r="Q120" s="16"/>
      <c r="R120" s="22"/>
      <c r="S120" s="22"/>
      <c r="T120" s="2"/>
      <c r="U120" s="5"/>
      <c r="V120" s="5"/>
      <c r="W120" s="29"/>
      <c r="X120" s="29"/>
      <c r="Y120" s="17"/>
      <c r="Z120" s="17"/>
      <c r="AA120" s="24"/>
      <c r="AB120" s="17"/>
      <c r="AC120" s="24"/>
    </row>
    <row x14ac:dyDescent="0.25" r="121" customHeight="1" ht="17.25">
      <c r="A121" s="16"/>
      <c r="B121" s="16"/>
      <c r="C121" s="17"/>
      <c r="D121" s="18"/>
      <c r="E121" s="18"/>
      <c r="F121" s="19"/>
      <c r="G121" s="22"/>
      <c r="H121" s="22"/>
      <c r="I121" s="2"/>
      <c r="J121" s="16"/>
      <c r="K121" s="2"/>
      <c r="L121" s="2"/>
      <c r="M121" s="21"/>
      <c r="N121" s="17"/>
      <c r="O121" s="21"/>
      <c r="P121" s="26"/>
      <c r="Q121" s="16"/>
      <c r="R121" s="22"/>
      <c r="S121" s="22"/>
      <c r="T121" s="2"/>
      <c r="U121" s="5"/>
      <c r="V121" s="5"/>
      <c r="W121" s="29"/>
      <c r="X121" s="29"/>
      <c r="Y121" s="17"/>
      <c r="Z121" s="17"/>
      <c r="AA121" s="24"/>
      <c r="AB121" s="17"/>
      <c r="AC121" s="24"/>
    </row>
    <row x14ac:dyDescent="0.25" r="122" customHeight="1" ht="17.25">
      <c r="A122" s="16"/>
      <c r="B122" s="16"/>
      <c r="C122" s="17"/>
      <c r="D122" s="18"/>
      <c r="E122" s="18"/>
      <c r="F122" s="19"/>
      <c r="G122" s="22"/>
      <c r="H122" s="22"/>
      <c r="I122" s="2"/>
      <c r="J122" s="16"/>
      <c r="K122" s="2"/>
      <c r="L122" s="2"/>
      <c r="M122" s="21"/>
      <c r="N122" s="17"/>
      <c r="O122" s="21"/>
      <c r="P122" s="26"/>
      <c r="Q122" s="16"/>
      <c r="R122" s="22"/>
      <c r="S122" s="22"/>
      <c r="T122" s="2"/>
      <c r="U122" s="5"/>
      <c r="V122" s="5"/>
      <c r="W122" s="29"/>
      <c r="X122" s="29"/>
      <c r="Y122" s="17"/>
      <c r="Z122" s="17"/>
      <c r="AA122" s="24"/>
      <c r="AB122" s="17"/>
      <c r="AC122" s="24"/>
    </row>
    <row x14ac:dyDescent="0.25" r="123" customHeight="1" ht="17.25">
      <c r="A123" s="16"/>
      <c r="B123" s="16"/>
      <c r="C123" s="17"/>
      <c r="D123" s="18"/>
      <c r="E123" s="18"/>
      <c r="F123" s="19"/>
      <c r="G123" s="22"/>
      <c r="H123" s="22"/>
      <c r="I123" s="2"/>
      <c r="J123" s="16"/>
      <c r="K123" s="2"/>
      <c r="L123" s="2"/>
      <c r="M123" s="21"/>
      <c r="N123" s="17"/>
      <c r="O123" s="21"/>
      <c r="P123" s="26"/>
      <c r="Q123" s="16"/>
      <c r="R123" s="22"/>
      <c r="S123" s="22"/>
      <c r="T123" s="2"/>
      <c r="U123" s="5"/>
      <c r="V123" s="5"/>
      <c r="W123" s="29"/>
      <c r="X123" s="29"/>
      <c r="Y123" s="17"/>
      <c r="Z123" s="17"/>
      <c r="AA123" s="24"/>
      <c r="AB123" s="17"/>
      <c r="AC123" s="24"/>
    </row>
    <row x14ac:dyDescent="0.25" r="124" customHeight="1" ht="17.25">
      <c r="A124" s="16"/>
      <c r="B124" s="16"/>
      <c r="C124" s="17"/>
      <c r="D124" s="18"/>
      <c r="E124" s="18"/>
      <c r="F124" s="19"/>
      <c r="G124" s="22"/>
      <c r="H124" s="22"/>
      <c r="I124" s="2"/>
      <c r="J124" s="16"/>
      <c r="K124" s="2"/>
      <c r="L124" s="2"/>
      <c r="M124" s="21"/>
      <c r="N124" s="17"/>
      <c r="O124" s="21"/>
      <c r="P124" s="26"/>
      <c r="Q124" s="16"/>
      <c r="R124" s="22"/>
      <c r="S124" s="22"/>
      <c r="T124" s="2"/>
      <c r="U124" s="5"/>
      <c r="V124" s="5"/>
      <c r="W124" s="29"/>
      <c r="X124" s="29"/>
      <c r="Y124" s="17"/>
      <c r="Z124" s="17"/>
      <c r="AA124" s="24"/>
      <c r="AB124" s="17"/>
      <c r="AC124" s="24"/>
    </row>
    <row x14ac:dyDescent="0.25" r="125" customHeight="1" ht="17.25">
      <c r="A125" s="16"/>
      <c r="B125" s="16"/>
      <c r="C125" s="17"/>
      <c r="D125" s="18"/>
      <c r="E125" s="18"/>
      <c r="F125" s="19"/>
      <c r="G125" s="22"/>
      <c r="H125" s="22"/>
      <c r="I125" s="2"/>
      <c r="J125" s="16"/>
      <c r="K125" s="2"/>
      <c r="L125" s="2"/>
      <c r="M125" s="21"/>
      <c r="N125" s="17"/>
      <c r="O125" s="21"/>
      <c r="P125" s="26"/>
      <c r="Q125" s="16"/>
      <c r="R125" s="22"/>
      <c r="S125" s="22"/>
      <c r="T125" s="2"/>
      <c r="U125" s="5"/>
      <c r="V125" s="5"/>
      <c r="W125" s="29"/>
      <c r="X125" s="29"/>
      <c r="Y125" s="17"/>
      <c r="Z125" s="17"/>
      <c r="AA125" s="24"/>
      <c r="AB125" s="17"/>
      <c r="AC125" s="24"/>
    </row>
    <row x14ac:dyDescent="0.25" r="126" customHeight="1" ht="17.25">
      <c r="A126" s="16"/>
      <c r="B126" s="16"/>
      <c r="C126" s="17"/>
      <c r="D126" s="18"/>
      <c r="E126" s="18"/>
      <c r="F126" s="19"/>
      <c r="G126" s="22"/>
      <c r="H126" s="22"/>
      <c r="I126" s="2"/>
      <c r="J126" s="16"/>
      <c r="K126" s="2"/>
      <c r="L126" s="2"/>
      <c r="M126" s="21"/>
      <c r="N126" s="17"/>
      <c r="O126" s="21"/>
      <c r="P126" s="26"/>
      <c r="Q126" s="16"/>
      <c r="R126" s="22"/>
      <c r="S126" s="22"/>
      <c r="T126" s="2"/>
      <c r="U126" s="5"/>
      <c r="V126" s="5"/>
      <c r="W126" s="29"/>
      <c r="X126" s="29"/>
      <c r="Y126" s="17"/>
      <c r="Z126" s="17"/>
      <c r="AA126" s="24"/>
      <c r="AB126" s="17"/>
      <c r="AC126" s="24"/>
    </row>
    <row x14ac:dyDescent="0.25" r="127" customHeight="1" ht="17.25">
      <c r="A127" s="16"/>
      <c r="B127" s="16"/>
      <c r="C127" s="17"/>
      <c r="D127" s="18"/>
      <c r="E127" s="18"/>
      <c r="F127" s="19"/>
      <c r="G127" s="22"/>
      <c r="H127" s="22"/>
      <c r="I127" s="2"/>
      <c r="J127" s="16"/>
      <c r="K127" s="2"/>
      <c r="L127" s="2"/>
      <c r="M127" s="21"/>
      <c r="N127" s="17"/>
      <c r="O127" s="21"/>
      <c r="P127" s="26"/>
      <c r="Q127" s="16"/>
      <c r="R127" s="22"/>
      <c r="S127" s="22"/>
      <c r="T127" s="2"/>
      <c r="U127" s="5"/>
      <c r="V127" s="5"/>
      <c r="W127" s="29"/>
      <c r="X127" s="29"/>
      <c r="Y127" s="17"/>
      <c r="Z127" s="17"/>
      <c r="AA127" s="24"/>
      <c r="AB127" s="17"/>
      <c r="AC127" s="24"/>
    </row>
    <row x14ac:dyDescent="0.25" r="128" customHeight="1" ht="17.25">
      <c r="A128" s="16"/>
      <c r="B128" s="16"/>
      <c r="C128" s="17"/>
      <c r="D128" s="18"/>
      <c r="E128" s="18"/>
      <c r="F128" s="19"/>
      <c r="G128" s="22"/>
      <c r="H128" s="22"/>
      <c r="I128" s="2"/>
      <c r="J128" s="16"/>
      <c r="K128" s="2"/>
      <c r="L128" s="2"/>
      <c r="M128" s="21"/>
      <c r="N128" s="17"/>
      <c r="O128" s="21"/>
      <c r="P128" s="26"/>
      <c r="Q128" s="16"/>
      <c r="R128" s="22"/>
      <c r="S128" s="22"/>
      <c r="T128" s="2"/>
      <c r="U128" s="5"/>
      <c r="V128" s="5"/>
      <c r="W128" s="29"/>
      <c r="X128" s="29"/>
      <c r="Y128" s="17"/>
      <c r="Z128" s="17"/>
      <c r="AA128" s="24"/>
      <c r="AB128" s="17"/>
      <c r="AC128" s="24"/>
    </row>
    <row x14ac:dyDescent="0.25" r="129" customHeight="1" ht="17.25">
      <c r="A129" s="16"/>
      <c r="B129" s="16"/>
      <c r="C129" s="17"/>
      <c r="D129" s="18"/>
      <c r="E129" s="18"/>
      <c r="F129" s="19"/>
      <c r="G129" s="22"/>
      <c r="H129" s="22"/>
      <c r="I129" s="2"/>
      <c r="J129" s="16"/>
      <c r="K129" s="2"/>
      <c r="L129" s="2"/>
      <c r="M129" s="21"/>
      <c r="N129" s="17"/>
      <c r="O129" s="21"/>
      <c r="P129" s="26"/>
      <c r="Q129" s="16"/>
      <c r="R129" s="22"/>
      <c r="S129" s="22"/>
      <c r="T129" s="2"/>
      <c r="U129" s="5"/>
      <c r="V129" s="5"/>
      <c r="W129" s="29"/>
      <c r="X129" s="29"/>
      <c r="Y129" s="17"/>
      <c r="Z129" s="17"/>
      <c r="AA129" s="24"/>
      <c r="AB129" s="17"/>
      <c r="AC129" s="24"/>
    </row>
    <row x14ac:dyDescent="0.25" r="130" customHeight="1" ht="17.25">
      <c r="A130" s="16"/>
      <c r="B130" s="16"/>
      <c r="C130" s="17"/>
      <c r="D130" s="18"/>
      <c r="E130" s="18"/>
      <c r="F130" s="19"/>
      <c r="G130" s="22"/>
      <c r="H130" s="22"/>
      <c r="I130" s="2"/>
      <c r="J130" s="16"/>
      <c r="K130" s="2"/>
      <c r="L130" s="2"/>
      <c r="M130" s="21"/>
      <c r="N130" s="17"/>
      <c r="O130" s="21"/>
      <c r="P130" s="26"/>
      <c r="Q130" s="16"/>
      <c r="R130" s="22"/>
      <c r="S130" s="22"/>
      <c r="T130" s="2"/>
      <c r="U130" s="5"/>
      <c r="V130" s="5"/>
      <c r="W130" s="29"/>
      <c r="X130" s="29"/>
      <c r="Y130" s="17"/>
      <c r="Z130" s="17"/>
      <c r="AA130" s="24"/>
      <c r="AB130" s="17"/>
      <c r="AC130" s="24"/>
    </row>
    <row x14ac:dyDescent="0.25" r="131" customHeight="1" ht="17.25">
      <c r="A131" s="16"/>
      <c r="B131" s="16"/>
      <c r="C131" s="17"/>
      <c r="D131" s="18"/>
      <c r="E131" s="18"/>
      <c r="F131" s="19"/>
      <c r="G131" s="22"/>
      <c r="H131" s="22"/>
      <c r="I131" s="2"/>
      <c r="J131" s="16"/>
      <c r="K131" s="2"/>
      <c r="L131" s="2"/>
      <c r="M131" s="21"/>
      <c r="N131" s="17"/>
      <c r="O131" s="21"/>
      <c r="P131" s="26"/>
      <c r="Q131" s="16"/>
      <c r="R131" s="22"/>
      <c r="S131" s="22"/>
      <c r="T131" s="2"/>
      <c r="U131" s="5"/>
      <c r="V131" s="5"/>
      <c r="W131" s="29"/>
      <c r="X131" s="29"/>
      <c r="Y131" s="17"/>
      <c r="Z131" s="17"/>
      <c r="AA131" s="24"/>
      <c r="AB131" s="17"/>
      <c r="AC131" s="24"/>
    </row>
    <row x14ac:dyDescent="0.25" r="132" customHeight="1" ht="17.25">
      <c r="A132" s="16"/>
      <c r="B132" s="16"/>
      <c r="C132" s="17"/>
      <c r="D132" s="18"/>
      <c r="E132" s="18"/>
      <c r="F132" s="19"/>
      <c r="G132" s="22"/>
      <c r="H132" s="22"/>
      <c r="I132" s="2"/>
      <c r="J132" s="16"/>
      <c r="K132" s="2"/>
      <c r="L132" s="2"/>
      <c r="M132" s="21"/>
      <c r="N132" s="17"/>
      <c r="O132" s="21"/>
      <c r="P132" s="26"/>
      <c r="Q132" s="16"/>
      <c r="R132" s="22"/>
      <c r="S132" s="22"/>
      <c r="T132" s="2"/>
      <c r="U132" s="5"/>
      <c r="V132" s="5"/>
      <c r="W132" s="29"/>
      <c r="X132" s="29"/>
      <c r="Y132" s="17"/>
      <c r="Z132" s="17"/>
      <c r="AA132" s="24"/>
      <c r="AB132" s="17"/>
      <c r="AC132" s="24"/>
    </row>
    <row x14ac:dyDescent="0.25" r="133" customHeight="1" ht="17.25">
      <c r="A133" s="16"/>
      <c r="B133" s="16"/>
      <c r="C133" s="17"/>
      <c r="D133" s="18"/>
      <c r="E133" s="18"/>
      <c r="F133" s="19"/>
      <c r="G133" s="22"/>
      <c r="H133" s="22"/>
      <c r="I133" s="2"/>
      <c r="J133" s="16"/>
      <c r="K133" s="2"/>
      <c r="L133" s="2"/>
      <c r="M133" s="21"/>
      <c r="N133" s="17"/>
      <c r="O133" s="21"/>
      <c r="P133" s="26"/>
      <c r="Q133" s="16"/>
      <c r="R133" s="22"/>
      <c r="S133" s="22"/>
      <c r="T133" s="2"/>
      <c r="U133" s="5"/>
      <c r="V133" s="5"/>
      <c r="W133" s="29"/>
      <c r="X133" s="29"/>
      <c r="Y133" s="17"/>
      <c r="Z133" s="17"/>
      <c r="AA133" s="24"/>
      <c r="AB133" s="17"/>
      <c r="AC133" s="24"/>
    </row>
    <row x14ac:dyDescent="0.25" r="134" customHeight="1" ht="17.25">
      <c r="A134" s="16"/>
      <c r="B134" s="16"/>
      <c r="C134" s="17"/>
      <c r="D134" s="18"/>
      <c r="E134" s="18"/>
      <c r="F134" s="19"/>
      <c r="G134" s="22"/>
      <c r="H134" s="22"/>
      <c r="I134" s="2"/>
      <c r="J134" s="16"/>
      <c r="K134" s="2"/>
      <c r="L134" s="2"/>
      <c r="M134" s="21"/>
      <c r="N134" s="17"/>
      <c r="O134" s="21"/>
      <c r="P134" s="26"/>
      <c r="Q134" s="16"/>
      <c r="R134" s="22"/>
      <c r="S134" s="22"/>
      <c r="T134" s="2"/>
      <c r="U134" s="5"/>
      <c r="V134" s="5"/>
      <c r="W134" s="29"/>
      <c r="X134" s="29"/>
      <c r="Y134" s="17"/>
      <c r="Z134" s="17"/>
      <c r="AA134" s="24"/>
      <c r="AB134" s="17"/>
      <c r="AC134" s="24"/>
    </row>
    <row x14ac:dyDescent="0.25" r="135" customHeight="1" ht="17.25">
      <c r="A135" s="16"/>
      <c r="B135" s="16"/>
      <c r="C135" s="17"/>
      <c r="D135" s="18"/>
      <c r="E135" s="18"/>
      <c r="F135" s="19"/>
      <c r="G135" s="22"/>
      <c r="H135" s="22"/>
      <c r="I135" s="2"/>
      <c r="J135" s="16"/>
      <c r="K135" s="2"/>
      <c r="L135" s="2"/>
      <c r="M135" s="21"/>
      <c r="N135" s="17"/>
      <c r="O135" s="21"/>
      <c r="P135" s="26"/>
      <c r="Q135" s="16"/>
      <c r="R135" s="22"/>
      <c r="S135" s="22"/>
      <c r="T135" s="2"/>
      <c r="U135" s="5"/>
      <c r="V135" s="5"/>
      <c r="W135" s="29"/>
      <c r="X135" s="29"/>
      <c r="Y135" s="17"/>
      <c r="Z135" s="17"/>
      <c r="AA135" s="24"/>
      <c r="AB135" s="17"/>
      <c r="AC135" s="2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L90"/>
  <sheetViews>
    <sheetView workbookViewId="0" tabSelected="1"/>
  </sheetViews>
  <sheetFormatPr defaultRowHeight="15" x14ac:dyDescent="0.25"/>
  <cols>
    <col min="1" max="1" style="13" width="30.005" customWidth="1" bestFit="1"/>
    <col min="2" max="2" style="14" width="18.290714285714284" customWidth="1" bestFit="1"/>
    <col min="3" max="3" style="14" width="31.005" customWidth="1" bestFit="1"/>
    <col min="4" max="4" style="14" width="12.43357142857143" customWidth="1" bestFit="1"/>
    <col min="5" max="5" style="14" width="12.147857142857141" customWidth="1" bestFit="1"/>
    <col min="6" max="6" style="14" width="12.43357142857143" customWidth="1" bestFit="1"/>
    <col min="7" max="7" style="14" width="12.43357142857143" customWidth="1" bestFit="1"/>
    <col min="8" max="8" style="15" width="12.43357142857143" customWidth="1" bestFit="1"/>
    <col min="9" max="9" style="15" width="20.862142857142857" customWidth="1" bestFit="1"/>
    <col min="10" max="10" style="14" width="12.147857142857141" customWidth="1" bestFit="1"/>
    <col min="11" max="11" style="14" width="12.862142857142858" customWidth="1" bestFit="1"/>
    <col min="12" max="12" style="14" width="12.43357142857143" customWidth="1" bestFit="1"/>
  </cols>
  <sheetData>
    <row x14ac:dyDescent="0.25" r="1" customHeight="1" ht="20.25">
      <c r="A1" s="1" t="s">
        <v>0</v>
      </c>
      <c r="B1" s="2">
        <v>8.314462175</v>
      </c>
      <c r="C1" s="3"/>
      <c r="D1" s="3"/>
      <c r="E1" s="3"/>
      <c r="F1" s="3"/>
      <c r="G1" s="3"/>
      <c r="H1" s="4"/>
      <c r="I1" s="4"/>
      <c r="J1" s="3"/>
      <c r="K1" s="3"/>
      <c r="L1" s="3"/>
    </row>
    <row x14ac:dyDescent="0.25" r="2" customHeight="1" ht="20.25">
      <c r="A2" s="1" t="s">
        <v>1</v>
      </c>
      <c r="B2" s="5">
        <v>96485.339924</v>
      </c>
      <c r="C2" s="3"/>
      <c r="D2" s="3"/>
      <c r="E2" s="3"/>
      <c r="F2" s="3"/>
      <c r="G2" s="3"/>
      <c r="H2" s="4"/>
      <c r="I2" s="4"/>
      <c r="J2" s="3"/>
      <c r="K2" s="3"/>
      <c r="L2" s="3"/>
    </row>
    <row x14ac:dyDescent="0.25" r="3" customHeight="1" ht="20.25">
      <c r="A3" s="1" t="s">
        <v>2</v>
      </c>
      <c r="B3" s="2">
        <v>273.15</v>
      </c>
      <c r="C3" s="3"/>
      <c r="D3" s="3"/>
      <c r="E3" s="3"/>
      <c r="F3" s="3"/>
      <c r="G3" s="3"/>
      <c r="H3" s="4"/>
      <c r="I3" s="4"/>
      <c r="J3" s="3"/>
      <c r="K3" s="3"/>
      <c r="L3" s="3"/>
    </row>
    <row x14ac:dyDescent="0.25" r="4" customHeight="1" ht="17.25">
      <c r="A4" s="6"/>
      <c r="B4" s="3"/>
      <c r="C4" s="3"/>
      <c r="D4" s="3"/>
      <c r="E4" s="3"/>
      <c r="F4" s="3"/>
      <c r="G4" s="3"/>
      <c r="H4" s="4"/>
      <c r="I4" s="4"/>
      <c r="J4" s="3"/>
      <c r="K4" s="3"/>
      <c r="L4" s="3"/>
    </row>
    <row x14ac:dyDescent="0.25" r="5" customHeight="1" ht="19.5">
      <c r="A5" s="1" t="s">
        <v>3</v>
      </c>
      <c r="B5" s="7" t="s">
        <v>4</v>
      </c>
      <c r="C5" s="3"/>
      <c r="D5" s="3"/>
      <c r="E5" s="3"/>
      <c r="F5" s="3"/>
      <c r="G5" s="3"/>
      <c r="H5" s="4"/>
      <c r="I5" s="4"/>
      <c r="J5" s="3"/>
      <c r="K5" s="3"/>
      <c r="L5" s="3"/>
    </row>
    <row x14ac:dyDescent="0.25" r="6" customHeight="1" ht="18">
      <c r="A6" s="8" t="s">
        <v>5</v>
      </c>
      <c r="B6" s="9">
        <f>LOOKUP(A6,[2]Sheet1!$A$2:$B$68)</f>
      </c>
      <c r="C6" s="3"/>
      <c r="D6" s="3"/>
      <c r="E6" s="3"/>
      <c r="F6" s="3"/>
      <c r="G6" s="3"/>
      <c r="H6" s="4"/>
      <c r="I6" s="4"/>
      <c r="J6" s="3"/>
      <c r="K6" s="3"/>
      <c r="L6" s="3"/>
    </row>
    <row x14ac:dyDescent="0.25" r="7" customHeight="1" ht="19.5">
      <c r="A7" s="1" t="s">
        <v>6</v>
      </c>
      <c r="B7" s="7" t="s">
        <v>7</v>
      </c>
      <c r="C7" s="7" t="s">
        <v>8</v>
      </c>
      <c r="D7" s="3"/>
      <c r="E7" s="3"/>
      <c r="F7" s="3"/>
      <c r="G7" s="3"/>
      <c r="H7" s="4"/>
      <c r="I7" s="4"/>
      <c r="J7" s="3"/>
      <c r="K7" s="3"/>
      <c r="L7" s="3"/>
    </row>
    <row x14ac:dyDescent="0.25" r="8" customHeight="1" ht="17.25">
      <c r="A8" s="10">
        <v>5</v>
      </c>
      <c r="B8" s="9">
        <v>348.4</v>
      </c>
      <c r="C8" s="9">
        <v>18.4</v>
      </c>
      <c r="D8" s="2">
        <f>0.001*$B$17</f>
      </c>
      <c r="E8" s="2">
        <f>0.000001*A8</f>
      </c>
      <c r="F8" s="2">
        <f>0.001*B8</f>
      </c>
      <c r="G8" s="2">
        <f>C8+$B$3</f>
      </c>
      <c r="H8" s="5">
        <f>$B$1*G8/(2*$B$2)</f>
      </c>
      <c r="I8" s="5">
        <f>(D8+E8)*EXP(F8/H8)</f>
      </c>
      <c r="J8" s="3"/>
      <c r="K8" s="3"/>
      <c r="L8" s="3"/>
    </row>
    <row x14ac:dyDescent="0.25" r="9" customHeight="1" ht="17.25">
      <c r="A9" s="10">
        <v>10</v>
      </c>
      <c r="B9" s="9">
        <v>346.6</v>
      </c>
      <c r="C9" s="9">
        <v>18.4</v>
      </c>
      <c r="D9" s="2">
        <f>0.001*$B$17</f>
      </c>
      <c r="E9" s="2">
        <f>0.000001*A9</f>
      </c>
      <c r="F9" s="2">
        <f>0.001*B9</f>
      </c>
      <c r="G9" s="2">
        <f>C9+$B$3</f>
      </c>
      <c r="H9" s="5">
        <f>$B$1*G9/(2*$B$2)</f>
      </c>
      <c r="I9" s="5">
        <f>(D9+E9)*EXP(F9/H9)</f>
      </c>
      <c r="J9" s="3"/>
      <c r="K9" s="3"/>
      <c r="L9" s="3"/>
    </row>
    <row x14ac:dyDescent="0.25" r="10" customHeight="1" ht="17.25">
      <c r="A10" s="10">
        <v>15</v>
      </c>
      <c r="B10" s="9">
        <v>345.2</v>
      </c>
      <c r="C10" s="9">
        <v>18.5</v>
      </c>
      <c r="D10" s="2">
        <f>0.001*$B$17</f>
      </c>
      <c r="E10" s="2">
        <f>0.000001*A10</f>
      </c>
      <c r="F10" s="2">
        <f>0.001*B10</f>
      </c>
      <c r="G10" s="2">
        <f>C10+$B$3</f>
      </c>
      <c r="H10" s="5">
        <f>$B$1*G10/(2*$B$2)</f>
      </c>
      <c r="I10" s="5">
        <f>(D10+E10)*EXP(F10/H10)</f>
      </c>
      <c r="J10" s="3"/>
      <c r="K10" s="3"/>
      <c r="L10" s="3"/>
    </row>
    <row x14ac:dyDescent="0.25" r="11" customHeight="1" ht="17.25">
      <c r="A11" s="10">
        <v>20</v>
      </c>
      <c r="B11" s="10">
        <v>343</v>
      </c>
      <c r="C11" s="9">
        <v>18.5</v>
      </c>
      <c r="D11" s="2">
        <f>0.001*$B$17</f>
      </c>
      <c r="E11" s="2">
        <f>0.000001*A11</f>
      </c>
      <c r="F11" s="2">
        <f>0.001*B11</f>
      </c>
      <c r="G11" s="2">
        <f>C11+$B$3</f>
      </c>
      <c r="H11" s="5">
        <f>$B$1*G11/(2*$B$2)</f>
      </c>
      <c r="I11" s="5">
        <f>(D11+E11)*EXP(F11/H11)</f>
      </c>
      <c r="J11" s="3"/>
      <c r="K11" s="3"/>
      <c r="L11" s="3"/>
    </row>
    <row x14ac:dyDescent="0.25" r="12" customHeight="1" ht="20.25">
      <c r="A12" s="10">
        <v>38</v>
      </c>
      <c r="B12" s="9">
        <v>330.6</v>
      </c>
      <c r="C12" s="9">
        <v>18.5</v>
      </c>
      <c r="D12" s="2">
        <f>0.001*$B$17</f>
      </c>
      <c r="E12" s="2">
        <f>0.000001*A12</f>
      </c>
      <c r="F12" s="2">
        <f>0.001*B12</f>
      </c>
      <c r="G12" s="2">
        <f>C12+$B$3</f>
      </c>
      <c r="H12" s="5">
        <f>$B$1*G12/(2*$B$2)</f>
      </c>
      <c r="I12" s="5">
        <f>(D12+E12)*EXP(F12/H12)</f>
      </c>
      <c r="J12" s="7" t="s">
        <v>9</v>
      </c>
      <c r="K12" s="7" t="s">
        <v>10</v>
      </c>
      <c r="L12" s="7" t="s">
        <v>11</v>
      </c>
    </row>
    <row x14ac:dyDescent="0.25" r="13" customHeight="1" ht="17.25">
      <c r="A13" s="10">
        <v>44</v>
      </c>
      <c r="B13" s="9">
        <v>319.9</v>
      </c>
      <c r="C13" s="9">
        <v>18.5</v>
      </c>
      <c r="D13" s="2">
        <f>0.001*$B$17</f>
      </c>
      <c r="E13" s="2">
        <f>0.000001*A13</f>
      </c>
      <c r="F13" s="2">
        <f>0.001*B13</f>
      </c>
      <c r="G13" s="2">
        <f>C13+$B$3</f>
      </c>
      <c r="H13" s="5">
        <f>$B$1*G13/(2*$B$2)</f>
      </c>
      <c r="I13" s="5">
        <f>(D13+E13)*EXP(F13/H13)</f>
      </c>
      <c r="J13" s="2">
        <f>SLOPE(I11:I13,A11:A13)</f>
      </c>
      <c r="K13" s="2">
        <f>INTERCEPT(I11:I13,A11:A13)</f>
      </c>
      <c r="L13" s="2">
        <f>(-1*K13)/J13</f>
      </c>
    </row>
    <row x14ac:dyDescent="0.25" r="14" customHeight="1" ht="18">
      <c r="A14" s="8"/>
      <c r="B14" s="11"/>
      <c r="C14" s="11"/>
      <c r="D14" s="3"/>
      <c r="E14" s="3"/>
      <c r="F14" s="3"/>
      <c r="G14" s="3"/>
      <c r="H14" s="5"/>
      <c r="I14" s="5"/>
      <c r="J14" s="3"/>
      <c r="K14" s="3"/>
      <c r="L14" s="3"/>
    </row>
    <row x14ac:dyDescent="0.25" r="15" customHeight="1" ht="17.25">
      <c r="A15" s="6"/>
      <c r="B15" s="3"/>
      <c r="C15" s="3"/>
      <c r="D15" s="3"/>
      <c r="E15" s="3"/>
      <c r="F15" s="3"/>
      <c r="G15" s="3"/>
      <c r="H15" s="4"/>
      <c r="I15" s="4"/>
      <c r="J15" s="3"/>
      <c r="K15" s="3"/>
      <c r="L15" s="3"/>
    </row>
    <row x14ac:dyDescent="0.25" r="16" customHeight="1" ht="19.5">
      <c r="A16" s="1" t="s">
        <v>3</v>
      </c>
      <c r="B16" s="7" t="s">
        <v>4</v>
      </c>
      <c r="C16" s="3"/>
      <c r="D16" s="3"/>
      <c r="E16" s="3"/>
      <c r="F16" s="3"/>
      <c r="G16" s="3"/>
      <c r="H16" s="4"/>
      <c r="I16" s="4"/>
      <c r="J16" s="3"/>
      <c r="K16" s="3"/>
      <c r="L16" s="3"/>
    </row>
    <row x14ac:dyDescent="0.25" r="17" customHeight="1" ht="18">
      <c r="A17" s="8" t="s">
        <v>5</v>
      </c>
      <c r="B17" s="9">
        <f>LOOKUP(A17,[2]Sheet1!$A$2:$B$68)</f>
      </c>
      <c r="C17" s="3"/>
      <c r="D17" s="3"/>
      <c r="E17" s="3"/>
      <c r="F17" s="3"/>
      <c r="G17" s="3"/>
      <c r="H17" s="4"/>
      <c r="I17" s="4"/>
      <c r="J17" s="3"/>
      <c r="K17" s="3"/>
      <c r="L17" s="3"/>
    </row>
    <row x14ac:dyDescent="0.25" r="18" customHeight="1" ht="19.5">
      <c r="A18" s="1" t="s">
        <v>6</v>
      </c>
      <c r="B18" s="7" t="s">
        <v>7</v>
      </c>
      <c r="C18" s="7" t="s">
        <v>8</v>
      </c>
      <c r="D18" s="3"/>
      <c r="E18" s="3"/>
      <c r="F18" s="3"/>
      <c r="G18" s="3"/>
      <c r="H18" s="4"/>
      <c r="I18" s="4"/>
      <c r="J18" s="3"/>
      <c r="K18" s="3"/>
      <c r="L18" s="3"/>
    </row>
    <row x14ac:dyDescent="0.25" r="19" customHeight="1" ht="17.25">
      <c r="A19" s="10">
        <v>5</v>
      </c>
      <c r="B19" s="9">
        <v>349.7</v>
      </c>
      <c r="C19" s="9">
        <v>18.6</v>
      </c>
      <c r="D19" s="2">
        <f>0.001*$B$17</f>
      </c>
      <c r="E19" s="2">
        <f>0.000001*A19</f>
      </c>
      <c r="F19" s="2">
        <f>0.001*B19</f>
      </c>
      <c r="G19" s="2">
        <f>C19+$B$3</f>
      </c>
      <c r="H19" s="5">
        <f>$B$1*G19/(2*$B$2)</f>
      </c>
      <c r="I19" s="5">
        <f>(D19+E19)*EXP(F19/H19)</f>
      </c>
      <c r="J19" s="3"/>
      <c r="K19" s="3"/>
      <c r="L19" s="3"/>
    </row>
    <row x14ac:dyDescent="0.25" r="20" customHeight="1" ht="17.25">
      <c r="A20" s="10">
        <v>10</v>
      </c>
      <c r="B20" s="9">
        <v>348.2</v>
      </c>
      <c r="C20" s="9">
        <v>18.6</v>
      </c>
      <c r="D20" s="2">
        <f>0.001*$B$17</f>
      </c>
      <c r="E20" s="2">
        <f>0.000001*A20</f>
      </c>
      <c r="F20" s="2">
        <f>0.001*B20</f>
      </c>
      <c r="G20" s="2">
        <f>C20+$B$3</f>
      </c>
      <c r="H20" s="5">
        <f>$B$1*G20/(2*$B$2)</f>
      </c>
      <c r="I20" s="5">
        <f>(D20+E20)*EXP(F20/H20)</f>
      </c>
      <c r="J20" s="3"/>
      <c r="K20" s="3"/>
      <c r="L20" s="3"/>
    </row>
    <row x14ac:dyDescent="0.25" r="21" customHeight="1" ht="17.25">
      <c r="A21" s="10">
        <v>15</v>
      </c>
      <c r="B21" s="9">
        <v>346.4</v>
      </c>
      <c r="C21" s="9">
        <v>18.7</v>
      </c>
      <c r="D21" s="2">
        <f>0.001*$B$17</f>
      </c>
      <c r="E21" s="2">
        <f>0.000001*A21</f>
      </c>
      <c r="F21" s="2">
        <f>0.001*B21</f>
      </c>
      <c r="G21" s="2">
        <f>C21+$B$3</f>
      </c>
      <c r="H21" s="5">
        <f>$B$1*G21/(2*$B$2)</f>
      </c>
      <c r="I21" s="5">
        <f>(D21+E21)*EXP(F21/H21)</f>
      </c>
      <c r="J21" s="3"/>
      <c r="K21" s="3"/>
      <c r="L21" s="3"/>
    </row>
    <row x14ac:dyDescent="0.25" r="22" customHeight="1" ht="17.25">
      <c r="A22" s="10">
        <v>20</v>
      </c>
      <c r="B22" s="9">
        <v>342.8</v>
      </c>
      <c r="C22" s="9">
        <v>18.7</v>
      </c>
      <c r="D22" s="2">
        <f>0.001*$B$17</f>
      </c>
      <c r="E22" s="2">
        <f>0.000001*A22</f>
      </c>
      <c r="F22" s="2">
        <f>0.001*B22</f>
      </c>
      <c r="G22" s="2">
        <f>C22+$B$3</f>
      </c>
      <c r="H22" s="5">
        <f>$B$1*G22/(2*$B$2)</f>
      </c>
      <c r="I22" s="5">
        <f>(D22+E22)*EXP(F22/H22)</f>
      </c>
      <c r="J22" s="3"/>
      <c r="K22" s="3"/>
      <c r="L22" s="3"/>
    </row>
    <row x14ac:dyDescent="0.25" r="23" customHeight="1" ht="17.25">
      <c r="A23" s="10">
        <v>31</v>
      </c>
      <c r="B23" s="9">
        <v>338.4</v>
      </c>
      <c r="C23" s="9">
        <v>18.7</v>
      </c>
      <c r="D23" s="2">
        <f>0.001*$B$17</f>
      </c>
      <c r="E23" s="2">
        <f>0.000001*A23</f>
      </c>
      <c r="F23" s="2">
        <f>0.001*B23</f>
      </c>
      <c r="G23" s="2">
        <f>C23+$B$3</f>
      </c>
      <c r="H23" s="5">
        <f>$B$1*G23/(2*$B$2)</f>
      </c>
      <c r="I23" s="5">
        <f>(D23+E23)*EXP(F23/H23)</f>
      </c>
      <c r="J23" s="3"/>
      <c r="K23" s="3"/>
      <c r="L23" s="3"/>
    </row>
    <row x14ac:dyDescent="0.25" r="24" customHeight="1" ht="20.25">
      <c r="A24" s="10">
        <v>41</v>
      </c>
      <c r="B24" s="9">
        <v>326.3</v>
      </c>
      <c r="C24" s="9">
        <v>18.7</v>
      </c>
      <c r="D24" s="2">
        <f>0.001*$B$17</f>
      </c>
      <c r="E24" s="2">
        <f>0.000001*A24</f>
      </c>
      <c r="F24" s="2">
        <f>0.001*B24</f>
      </c>
      <c r="G24" s="2">
        <f>C24+$B$3</f>
      </c>
      <c r="H24" s="5">
        <f>$B$1*G24/(2*$B$2)</f>
      </c>
      <c r="I24" s="5">
        <f>(D24+E24)*EXP(F24/H24)</f>
      </c>
      <c r="J24" s="7" t="s">
        <v>9</v>
      </c>
      <c r="K24" s="7" t="s">
        <v>10</v>
      </c>
      <c r="L24" s="7" t="s">
        <v>11</v>
      </c>
    </row>
    <row x14ac:dyDescent="0.25" r="25" customHeight="1" ht="18">
      <c r="A25" s="10">
        <v>45</v>
      </c>
      <c r="B25" s="9">
        <v>317.7</v>
      </c>
      <c r="C25" s="9">
        <v>18.8</v>
      </c>
      <c r="D25" s="2">
        <f>0.001*$B$17</f>
      </c>
      <c r="E25" s="2">
        <f>0.000001*A25</f>
      </c>
      <c r="F25" s="2">
        <f>0.001*B25</f>
      </c>
      <c r="G25" s="2">
        <f>C25+$B$3</f>
      </c>
      <c r="H25" s="5">
        <f>$B$1*G25/(2*$B$2)</f>
      </c>
      <c r="I25" s="5">
        <f>(D25+E25)*EXP(F25/H25)</f>
      </c>
      <c r="J25" s="2">
        <f>SLOPE(I23:I25,A23:A25)</f>
      </c>
      <c r="K25" s="2">
        <f>INTERCEPT(I23:I25,A23:A25)</f>
      </c>
      <c r="L25" s="2">
        <f>(-1*K25)/J25</f>
      </c>
    </row>
    <row x14ac:dyDescent="0.25" r="26" customHeight="1" ht="17.25">
      <c r="A26" s="6"/>
      <c r="B26" s="3"/>
      <c r="C26" s="3"/>
      <c r="D26" s="3"/>
      <c r="E26" s="3"/>
      <c r="F26" s="3"/>
      <c r="G26" s="3"/>
      <c r="H26" s="4"/>
      <c r="I26" s="4"/>
      <c r="J26" s="3"/>
      <c r="K26" s="3"/>
      <c r="L26" s="3"/>
    </row>
    <row x14ac:dyDescent="0.25" r="27" customHeight="1" ht="17.25">
      <c r="A27" s="6"/>
      <c r="B27" s="3"/>
      <c r="C27" s="3"/>
      <c r="D27" s="3"/>
      <c r="E27" s="3"/>
      <c r="F27" s="3"/>
      <c r="G27" s="3"/>
      <c r="H27" s="4"/>
      <c r="I27" s="4"/>
      <c r="J27" s="3"/>
      <c r="K27" s="3"/>
      <c r="L27" s="3"/>
    </row>
    <row x14ac:dyDescent="0.25" r="28" customHeight="1" ht="19.5">
      <c r="A28" s="1" t="s">
        <v>3</v>
      </c>
      <c r="B28" s="7" t="s">
        <v>4</v>
      </c>
      <c r="C28" s="3"/>
      <c r="D28" s="3"/>
      <c r="E28" s="3"/>
      <c r="F28" s="3"/>
      <c r="G28" s="3"/>
      <c r="H28" s="4"/>
      <c r="I28" s="4"/>
      <c r="J28" s="3"/>
      <c r="K28" s="3"/>
      <c r="L28" s="3"/>
    </row>
    <row x14ac:dyDescent="0.25" r="29" customHeight="1" ht="18">
      <c r="A29" s="8" t="s">
        <v>12</v>
      </c>
      <c r="B29" s="9">
        <f>LOOKUP(A29,[2]Sheet1!$A$2:$B$68)</f>
      </c>
      <c r="C29" s="3"/>
      <c r="D29" s="3"/>
      <c r="E29" s="3"/>
      <c r="F29" s="3"/>
      <c r="G29" s="3"/>
      <c r="H29" s="4"/>
      <c r="I29" s="4"/>
      <c r="J29" s="3"/>
      <c r="K29" s="3"/>
      <c r="L29" s="3"/>
    </row>
    <row x14ac:dyDescent="0.25" r="30" customHeight="1" ht="19.5">
      <c r="A30" s="1" t="s">
        <v>6</v>
      </c>
      <c r="B30" s="7" t="s">
        <v>7</v>
      </c>
      <c r="C30" s="7" t="s">
        <v>8</v>
      </c>
      <c r="D30" s="3"/>
      <c r="E30" s="3"/>
      <c r="F30" s="3"/>
      <c r="G30" s="3"/>
      <c r="H30" s="4"/>
      <c r="I30" s="4"/>
      <c r="J30" s="3"/>
      <c r="K30" s="3"/>
      <c r="L30" s="3"/>
    </row>
    <row x14ac:dyDescent="0.25" r="31" customHeight="1" ht="17.25">
      <c r="A31" s="9">
        <v>85.5616776315789</v>
      </c>
      <c r="B31" s="9">
        <v>391.4</v>
      </c>
      <c r="C31" s="9">
        <v>20.9</v>
      </c>
      <c r="D31" s="2">
        <f>0.001*$B$17</f>
      </c>
      <c r="E31" s="2">
        <f>0.000001*A31</f>
      </c>
      <c r="F31" s="2">
        <f>0.001*B31</f>
      </c>
      <c r="G31" s="2">
        <f>C31+$B$3</f>
      </c>
      <c r="H31" s="5">
        <f>$B$1*G31/(2*$B$2)</f>
      </c>
      <c r="I31" s="5">
        <f>(D31+E31)*EXP(F31/H31)</f>
      </c>
      <c r="J31" s="3"/>
      <c r="K31" s="3"/>
      <c r="L31" s="3"/>
    </row>
    <row x14ac:dyDescent="0.25" r="32" customHeight="1" ht="17.25">
      <c r="A32" s="9">
        <v>175.529605263157</v>
      </c>
      <c r="B32" s="9">
        <v>389.6</v>
      </c>
      <c r="C32" s="9">
        <v>20.9</v>
      </c>
      <c r="D32" s="2">
        <f>0.001*$B$17</f>
      </c>
      <c r="E32" s="2">
        <f>0.000001*A32</f>
      </c>
      <c r="F32" s="2">
        <f>0.001*B32</f>
      </c>
      <c r="G32" s="2">
        <f>C32+$B$3</f>
      </c>
      <c r="H32" s="5">
        <f>$B$1*G32/(2*$B$2)</f>
      </c>
      <c r="I32" s="5">
        <f>(D32+E32)*EXP(F32/H32)</f>
      </c>
      <c r="J32" s="3"/>
      <c r="K32" s="3"/>
      <c r="L32" s="3"/>
    </row>
    <row x14ac:dyDescent="0.25" r="33" customHeight="1" ht="17.25">
      <c r="A33" s="9">
        <v>266.151315789473</v>
      </c>
      <c r="B33" s="9">
        <v>387.5</v>
      </c>
      <c r="C33" s="9">
        <v>20.9</v>
      </c>
      <c r="D33" s="2">
        <f>0.001*$B$17</f>
      </c>
      <c r="E33" s="2">
        <f>0.000001*A33</f>
      </c>
      <c r="F33" s="2">
        <f>0.001*B33</f>
      </c>
      <c r="G33" s="2">
        <f>C33+$B$3</f>
      </c>
      <c r="H33" s="5">
        <f>$B$1*G33/(2*$B$2)</f>
      </c>
      <c r="I33" s="5">
        <f>(D33+E33)*EXP(F33/H33)</f>
      </c>
      <c r="J33" s="3"/>
      <c r="K33" s="3"/>
      <c r="L33" s="3"/>
    </row>
    <row x14ac:dyDescent="0.25" r="34" customHeight="1" ht="17.25">
      <c r="A34" s="9">
        <v>355.993421052631</v>
      </c>
      <c r="B34" s="9">
        <v>385.2</v>
      </c>
      <c r="C34" s="9">
        <v>20.9</v>
      </c>
      <c r="D34" s="2">
        <f>0.001*$B$17</f>
      </c>
      <c r="E34" s="2">
        <f>0.000001*A34</f>
      </c>
      <c r="F34" s="2">
        <f>0.001*B34</f>
      </c>
      <c r="G34" s="2">
        <f>C34+$B$3</f>
      </c>
      <c r="H34" s="5">
        <f>$B$1*G34/(2*$B$2)</f>
      </c>
      <c r="I34" s="5">
        <f>(D34+E34)*EXP(F34/H34)</f>
      </c>
      <c r="J34" s="3"/>
      <c r="K34" s="3"/>
      <c r="L34" s="3"/>
    </row>
    <row x14ac:dyDescent="0.25" r="35" customHeight="1" ht="17.25">
      <c r="A35" s="9">
        <v>446.349095394736</v>
      </c>
      <c r="B35" s="10">
        <v>378</v>
      </c>
      <c r="C35" s="9">
        <v>20.9</v>
      </c>
      <c r="D35" s="2">
        <f>0.001*$B$17</f>
      </c>
      <c r="E35" s="2">
        <f>0.000001*A35</f>
      </c>
      <c r="F35" s="2">
        <f>0.001*B35</f>
      </c>
      <c r="G35" s="2">
        <f>C35+$B$3</f>
      </c>
      <c r="H35" s="5">
        <f>$B$1*G35/(2*$B$2)</f>
      </c>
      <c r="I35" s="5">
        <f>(D35+E35)*EXP(F35/H35)</f>
      </c>
      <c r="J35" s="3"/>
      <c r="K35" s="3"/>
      <c r="L35" s="3"/>
    </row>
    <row x14ac:dyDescent="0.25" r="36" customHeight="1" ht="20.25">
      <c r="A36" s="9">
        <v>673.224095394736</v>
      </c>
      <c r="B36" s="10">
        <v>373</v>
      </c>
      <c r="C36" s="9">
        <v>20.9</v>
      </c>
      <c r="D36" s="2">
        <f>0.001*$B$17</f>
      </c>
      <c r="E36" s="2">
        <f>0.000001*A36</f>
      </c>
      <c r="F36" s="2">
        <f>0.001*B36</f>
      </c>
      <c r="G36" s="2">
        <f>C36+$B$3</f>
      </c>
      <c r="H36" s="5">
        <f>$B$1*G36/(2*$B$2)</f>
      </c>
      <c r="I36" s="5">
        <f>(D36+E36)*EXP(F36/H36)</f>
      </c>
      <c r="J36" s="7"/>
      <c r="K36" s="7"/>
      <c r="L36" s="7"/>
    </row>
    <row x14ac:dyDescent="0.25" r="37" customHeight="1" ht="18">
      <c r="A37" s="10">
        <v>727</v>
      </c>
      <c r="B37" s="9">
        <v>370.2</v>
      </c>
      <c r="C37" s="9">
        <v>20.9</v>
      </c>
      <c r="D37" s="2">
        <f>0.001*$B$17</f>
      </c>
      <c r="E37" s="2">
        <f>0.000001*A37</f>
      </c>
      <c r="F37" s="2">
        <f>0.001*B37</f>
      </c>
      <c r="G37" s="2">
        <f>C37+$B$3</f>
      </c>
      <c r="H37" s="5">
        <f>$B$1*G37/(2*$B$2)</f>
      </c>
      <c r="I37" s="5">
        <f>(D37+E37)*EXP(F37/H37)</f>
      </c>
      <c r="J37" s="3"/>
      <c r="K37" s="3"/>
      <c r="L37" s="3"/>
    </row>
    <row x14ac:dyDescent="0.25" r="38" customHeight="1" ht="17.25">
      <c r="A38" s="12">
        <v>749</v>
      </c>
      <c r="B38" s="2">
        <v>368.7</v>
      </c>
      <c r="C38" s="9">
        <v>20.9</v>
      </c>
      <c r="D38" s="2">
        <f>0.001*$B$17</f>
      </c>
      <c r="E38" s="2">
        <f>0.000001*A38</f>
      </c>
      <c r="F38" s="2">
        <f>0.001*B38</f>
      </c>
      <c r="G38" s="2">
        <f>C38+$B$3</f>
      </c>
      <c r="H38" s="5">
        <f>$B$1*G38/(2*$B$2)</f>
      </c>
      <c r="I38" s="5">
        <f>(D38+E38)*EXP(F38/H38)</f>
      </c>
      <c r="J38" s="3"/>
      <c r="K38" s="3"/>
      <c r="L38" s="3"/>
    </row>
    <row x14ac:dyDescent="0.25" r="39" customHeight="1" ht="17.25">
      <c r="A39" s="2">
        <v>836.272615131579</v>
      </c>
      <c r="B39" s="2">
        <v>356.7</v>
      </c>
      <c r="C39" s="9">
        <v>20.9</v>
      </c>
      <c r="D39" s="2">
        <f>0.001*$B$17</f>
      </c>
      <c r="E39" s="2">
        <f>0.000001*A39</f>
      </c>
      <c r="F39" s="2">
        <f>0.001*B39</f>
      </c>
      <c r="G39" s="2">
        <f>C39+$B$3</f>
      </c>
      <c r="H39" s="5">
        <f>$B$1*G39/(2*$B$2)</f>
      </c>
      <c r="I39" s="5">
        <f>(D39+E39)*EXP(F39/H39)</f>
      </c>
      <c r="J39" s="3"/>
      <c r="K39" s="3"/>
      <c r="L39" s="3"/>
    </row>
    <row x14ac:dyDescent="0.25" r="40" customHeight="1" ht="17.25">
      <c r="A40" s="12">
        <v>884</v>
      </c>
      <c r="B40" s="2">
        <v>346.8</v>
      </c>
      <c r="C40" s="9">
        <v>20.9</v>
      </c>
      <c r="D40" s="2">
        <f>0.001*$B$17</f>
      </c>
      <c r="E40" s="2">
        <f>0.000001*A40</f>
      </c>
      <c r="F40" s="2">
        <f>0.001*B40</f>
      </c>
      <c r="G40" s="2">
        <f>C40+$B$3</f>
      </c>
      <c r="H40" s="5">
        <f>$B$1*G40/(2*$B$2)</f>
      </c>
      <c r="I40" s="5">
        <f>(D40+E40)*EXP(F40/H40)</f>
      </c>
      <c r="J40" s="3"/>
      <c r="K40" s="3"/>
      <c r="L40" s="3"/>
    </row>
    <row x14ac:dyDescent="0.25" r="41" customHeight="1" ht="17.25">
      <c r="A41" s="12">
        <v>896</v>
      </c>
      <c r="B41" s="2">
        <v>340.8</v>
      </c>
      <c r="C41" s="9">
        <v>20.9</v>
      </c>
      <c r="D41" s="2">
        <f>0.001*$B$17</f>
      </c>
      <c r="E41" s="2">
        <f>0.000001*A41</f>
      </c>
      <c r="F41" s="2">
        <f>0.001*B41</f>
      </c>
      <c r="G41" s="2">
        <f>C41+$B$3</f>
      </c>
      <c r="H41" s="5">
        <f>$B$1*G41/(2*$B$2)</f>
      </c>
      <c r="I41" s="5">
        <f>(D41+E41)*EXP(F41/H41)</f>
      </c>
      <c r="J41" s="3"/>
      <c r="K41" s="3"/>
      <c r="L41" s="3"/>
    </row>
    <row x14ac:dyDescent="0.25" r="42" customHeight="1" ht="20.25">
      <c r="A42" s="12">
        <v>905</v>
      </c>
      <c r="B42" s="2">
        <v>332.4</v>
      </c>
      <c r="C42" s="9">
        <v>20.9</v>
      </c>
      <c r="D42" s="2">
        <f>0.001*$B$17</f>
      </c>
      <c r="E42" s="2">
        <f>0.000001*A42</f>
      </c>
      <c r="F42" s="2">
        <f>0.001*B42</f>
      </c>
      <c r="G42" s="2">
        <f>C42+$B$3</f>
      </c>
      <c r="H42" s="5">
        <f>$B$1*G42/(2*$B$2)</f>
      </c>
      <c r="I42" s="5">
        <f>(D42+E42)*EXP(F42/H42)</f>
      </c>
      <c r="J42" s="7" t="s">
        <v>9</v>
      </c>
      <c r="K42" s="7" t="s">
        <v>10</v>
      </c>
      <c r="L42" s="7" t="s">
        <v>11</v>
      </c>
    </row>
    <row x14ac:dyDescent="0.25" r="43" customHeight="1" ht="17.25">
      <c r="A43" s="12">
        <v>914</v>
      </c>
      <c r="B43" s="12">
        <v>305</v>
      </c>
      <c r="C43" s="2">
        <v>20.9</v>
      </c>
      <c r="D43" s="2">
        <f>0.001*$B$17</f>
      </c>
      <c r="E43" s="2">
        <f>0.000001*A43</f>
      </c>
      <c r="F43" s="2">
        <f>0.001*B43</f>
      </c>
      <c r="G43" s="2">
        <f>C43+$B$3</f>
      </c>
      <c r="H43" s="5">
        <f>$B$1*G43/(2*$B$2)</f>
      </c>
      <c r="I43" s="5">
        <f>(D43+E43)*EXP(F43/H43)</f>
      </c>
      <c r="J43" s="2">
        <f>SLOPE(I40:I43,A40:A43)</f>
      </c>
      <c r="K43" s="2">
        <f>INTERCEPT(I40:I43,A40:A43)</f>
      </c>
      <c r="L43" s="2">
        <f>(-1*K43)/J43</f>
      </c>
    </row>
    <row x14ac:dyDescent="0.25" r="44" customHeight="1" ht="17.25">
      <c r="A44" s="6"/>
      <c r="B44" s="3"/>
      <c r="C44" s="3"/>
      <c r="D44" s="3"/>
      <c r="E44" s="3"/>
      <c r="F44" s="3"/>
      <c r="G44" s="3"/>
      <c r="H44" s="4"/>
      <c r="I44" s="4"/>
      <c r="J44" s="3"/>
      <c r="K44" s="3"/>
      <c r="L44" s="3"/>
    </row>
    <row x14ac:dyDescent="0.25" r="45" customHeight="1" ht="19.5">
      <c r="A45" s="1" t="s">
        <v>3</v>
      </c>
      <c r="B45" s="7" t="s">
        <v>4</v>
      </c>
      <c r="C45" s="3"/>
      <c r="D45" s="3"/>
      <c r="E45" s="3"/>
      <c r="F45" s="3"/>
      <c r="G45" s="3"/>
      <c r="H45" s="4"/>
      <c r="I45" s="4"/>
      <c r="J45" s="3"/>
      <c r="K45" s="3"/>
      <c r="L45" s="3"/>
    </row>
    <row x14ac:dyDescent="0.25" r="46" customHeight="1" ht="18">
      <c r="A46" s="8" t="s">
        <v>13</v>
      </c>
      <c r="B46" s="9">
        <f>LOOKUP(A46,[2]Sheet1!$A$2:$B$68)</f>
      </c>
      <c r="C46" s="3"/>
      <c r="D46" s="3"/>
      <c r="E46" s="3"/>
      <c r="F46" s="3"/>
      <c r="G46" s="3"/>
      <c r="H46" s="4"/>
      <c r="I46" s="4"/>
      <c r="J46" s="3"/>
      <c r="K46" s="3"/>
      <c r="L46" s="3"/>
    </row>
    <row x14ac:dyDescent="0.25" r="47" customHeight="1" ht="19.5">
      <c r="A47" s="1" t="s">
        <v>6</v>
      </c>
      <c r="B47" s="7" t="s">
        <v>7</v>
      </c>
      <c r="C47" s="7" t="s">
        <v>8</v>
      </c>
      <c r="D47" s="3"/>
      <c r="E47" s="3"/>
      <c r="F47" s="3"/>
      <c r="G47" s="3"/>
      <c r="H47" s="4"/>
      <c r="I47" s="4"/>
      <c r="J47" s="3"/>
      <c r="K47" s="3"/>
      <c r="L47" s="3"/>
    </row>
    <row x14ac:dyDescent="0.25" r="48" customHeight="1" ht="17.25">
      <c r="A48" s="9">
        <v>86.2730263157894</v>
      </c>
      <c r="B48" s="9">
        <v>390.3</v>
      </c>
      <c r="C48" s="9">
        <v>20.9</v>
      </c>
      <c r="D48" s="2">
        <f>0.001*$B$17</f>
      </c>
      <c r="E48" s="2">
        <f>0.000001*A48</f>
      </c>
      <c r="F48" s="2">
        <f>0.001*B48</f>
      </c>
      <c r="G48" s="2">
        <f>C48+$B$3</f>
      </c>
      <c r="H48" s="5">
        <f>$B$1*G48/(2*$B$2)</f>
      </c>
      <c r="I48" s="5">
        <f>(D48+E48)*EXP(F48/H48)</f>
      </c>
      <c r="J48" s="3"/>
      <c r="K48" s="3"/>
      <c r="L48" s="3"/>
    </row>
    <row x14ac:dyDescent="0.25" r="49" customHeight="1" ht="17.25">
      <c r="A49" s="9">
        <v>181.497944078947</v>
      </c>
      <c r="B49" s="9">
        <v>388.3</v>
      </c>
      <c r="C49" s="9">
        <v>20.9</v>
      </c>
      <c r="D49" s="2">
        <f>0.001*$B$17</f>
      </c>
      <c r="E49" s="2">
        <f>0.000001*A49</f>
      </c>
      <c r="F49" s="2">
        <f>0.001*B49</f>
      </c>
      <c r="G49" s="2">
        <f>C49+$B$3</f>
      </c>
      <c r="H49" s="5">
        <f>$B$1*G49/(2*$B$2)</f>
      </c>
      <c r="I49" s="5">
        <f>(D49+E49)*EXP(F49/H49)</f>
      </c>
      <c r="J49" s="3"/>
      <c r="K49" s="3"/>
      <c r="L49" s="3"/>
    </row>
    <row x14ac:dyDescent="0.25" r="50" customHeight="1" ht="17.25">
      <c r="A50" s="9">
        <v>276.262335526315</v>
      </c>
      <c r="B50" s="9">
        <v>386.2</v>
      </c>
      <c r="C50" s="9">
        <v>20.9</v>
      </c>
      <c r="D50" s="2">
        <f>0.001*$B$17</f>
      </c>
      <c r="E50" s="2">
        <f>0.000001*A50</f>
      </c>
      <c r="F50" s="2">
        <f>0.001*B50</f>
      </c>
      <c r="G50" s="2">
        <f>C50+$B$3</f>
      </c>
      <c r="H50" s="5">
        <f>$B$1*G50/(2*$B$2)</f>
      </c>
      <c r="I50" s="5">
        <f>(D50+E50)*EXP(F50/H50)</f>
      </c>
      <c r="J50" s="3"/>
      <c r="K50" s="3"/>
      <c r="L50" s="3"/>
    </row>
    <row x14ac:dyDescent="0.25" r="51" customHeight="1" ht="17.25">
      <c r="A51" s="9">
        <v>371.616776315789</v>
      </c>
      <c r="B51" s="9">
        <v>383.7</v>
      </c>
      <c r="C51" s="9">
        <v>20.9</v>
      </c>
      <c r="D51" s="2">
        <f>0.001*$B$17</f>
      </c>
      <c r="E51" s="2">
        <f>0.000001*A51</f>
      </c>
      <c r="F51" s="2">
        <f>0.001*B51</f>
      </c>
      <c r="G51" s="2">
        <f>C51+$B$3</f>
      </c>
      <c r="H51" s="5">
        <f>$B$1*G51/(2*$B$2)</f>
      </c>
      <c r="I51" s="5">
        <f>(D51+E51)*EXP(F51/H51)</f>
      </c>
      <c r="J51" s="3"/>
      <c r="K51" s="3"/>
      <c r="L51" s="3"/>
    </row>
    <row x14ac:dyDescent="0.25" r="52" customHeight="1" ht="17.25">
      <c r="A52" s="9">
        <v>466.409950657894</v>
      </c>
      <c r="B52" s="9">
        <v>376.3</v>
      </c>
      <c r="C52" s="9">
        <v>20.9</v>
      </c>
      <c r="D52" s="2">
        <f>0.001*$B$17</f>
      </c>
      <c r="E52" s="2">
        <f>0.000001*A52</f>
      </c>
      <c r="F52" s="2">
        <f>0.001*B52</f>
      </c>
      <c r="G52" s="2">
        <f>C52+$B$3</f>
      </c>
      <c r="H52" s="5">
        <f>$B$1*G52/(2*$B$2)</f>
      </c>
      <c r="I52" s="5">
        <f>(D52+E52)*EXP(F52/H52)</f>
      </c>
      <c r="J52" s="3"/>
      <c r="K52" s="3"/>
      <c r="L52" s="3"/>
    </row>
    <row x14ac:dyDescent="0.25" r="53" customHeight="1" ht="20.25">
      <c r="A53" s="9">
        <v>684.9140625</v>
      </c>
      <c r="B53" s="9">
        <v>371.5</v>
      </c>
      <c r="C53" s="9">
        <v>20.9</v>
      </c>
      <c r="D53" s="2">
        <f>0.001*$B$17</f>
      </c>
      <c r="E53" s="2">
        <f>0.000001*A53</f>
      </c>
      <c r="F53" s="2">
        <f>0.001*B53</f>
      </c>
      <c r="G53" s="2">
        <f>C53+$B$3</f>
      </c>
      <c r="H53" s="5">
        <f>$B$1*G53/(2*$B$2)</f>
      </c>
      <c r="I53" s="5">
        <f>(D53+E53)*EXP(F53/H53)</f>
      </c>
      <c r="J53" s="7"/>
      <c r="K53" s="7"/>
      <c r="L53" s="7"/>
    </row>
    <row x14ac:dyDescent="0.25" r="54" customHeight="1" ht="17.25">
      <c r="A54" s="10">
        <v>735</v>
      </c>
      <c r="B54" s="9">
        <v>368.8</v>
      </c>
      <c r="C54" s="9">
        <v>20.9</v>
      </c>
      <c r="D54" s="2">
        <f>0.001*$B$17</f>
      </c>
      <c r="E54" s="2">
        <f>0.000001*A54</f>
      </c>
      <c r="F54" s="2">
        <f>0.001*B54</f>
      </c>
      <c r="G54" s="2">
        <f>C54+$B$3</f>
      </c>
      <c r="H54" s="5">
        <f>$B$1*G54/(2*$B$2)</f>
      </c>
      <c r="I54" s="5">
        <f>(D54+E54)*EXP(F54/H54)</f>
      </c>
      <c r="J54" s="3"/>
      <c r="K54" s="3"/>
      <c r="L54" s="3"/>
    </row>
    <row x14ac:dyDescent="0.25" r="55" customHeight="1" ht="17.25">
      <c r="A55" s="12">
        <v>795</v>
      </c>
      <c r="B55" s="2">
        <v>363.4</v>
      </c>
      <c r="C55" s="9">
        <v>20.9</v>
      </c>
      <c r="D55" s="2">
        <f>0.001*$B$17</f>
      </c>
      <c r="E55" s="2">
        <f>0.000001*A55</f>
      </c>
      <c r="F55" s="2">
        <f>0.001*B55</f>
      </c>
      <c r="G55" s="2">
        <f>C55+$B$3</f>
      </c>
      <c r="H55" s="5">
        <f>$B$1*G55/(2*$B$2)</f>
      </c>
      <c r="I55" s="5">
        <f>(D55+E55)*EXP(F55/H55)</f>
      </c>
      <c r="J55" s="7" t="s">
        <v>9</v>
      </c>
      <c r="K55" s="7" t="s">
        <v>10</v>
      </c>
      <c r="L55" s="7" t="s">
        <v>11</v>
      </c>
    </row>
    <row x14ac:dyDescent="0.25" r="56" customHeight="1" ht="17.25">
      <c r="A56" s="2">
        <v>881.723273026315</v>
      </c>
      <c r="B56" s="2">
        <v>318.8</v>
      </c>
      <c r="C56" s="9">
        <v>20.9</v>
      </c>
      <c r="D56" s="2">
        <f>0.001*$B$17</f>
      </c>
      <c r="E56" s="2">
        <f>0.000001*A56</f>
      </c>
      <c r="F56" s="2">
        <f>0.001*B56</f>
      </c>
      <c r="G56" s="2">
        <f>C56+$B$3</f>
      </c>
      <c r="H56" s="5">
        <f>$B$1*G56/(2*$B$2)</f>
      </c>
      <c r="I56" s="5">
        <f>(D56+E56)*EXP(F56/H56)</f>
      </c>
      <c r="J56" s="2">
        <f>SLOPE(I53:I56,A53:A56)</f>
      </c>
      <c r="K56" s="2">
        <f>INTERCEPT(I53:I56,A53:A56)</f>
      </c>
      <c r="L56" s="2">
        <f>(-1*K56)/J56</f>
      </c>
    </row>
    <row x14ac:dyDescent="0.25" r="57" customHeight="1" ht="17.25">
      <c r="A57" s="6"/>
      <c r="B57" s="3"/>
      <c r="C57" s="3"/>
      <c r="D57" s="3"/>
      <c r="E57" s="3"/>
      <c r="F57" s="3"/>
      <c r="G57" s="3"/>
      <c r="H57" s="4"/>
      <c r="I57" s="4"/>
      <c r="J57" s="3"/>
      <c r="K57" s="3"/>
      <c r="L57" s="3"/>
    </row>
    <row x14ac:dyDescent="0.25" r="58" customHeight="1" ht="17.25">
      <c r="A58" s="1" t="s">
        <v>3</v>
      </c>
      <c r="B58" s="7" t="s">
        <v>4</v>
      </c>
      <c r="C58" s="3"/>
      <c r="D58" s="3"/>
      <c r="E58" s="3"/>
      <c r="F58" s="3"/>
      <c r="G58" s="3"/>
      <c r="H58" s="4"/>
      <c r="I58" s="4"/>
      <c r="J58" s="3"/>
      <c r="K58" s="3"/>
      <c r="L58" s="3"/>
    </row>
    <row x14ac:dyDescent="0.25" r="59" customHeight="1" ht="17.25">
      <c r="A59" s="8" t="s">
        <v>14</v>
      </c>
      <c r="B59" s="9">
        <f>LOOKUP(A59,[2]Sheet1!$A$2:$B$68)</f>
      </c>
      <c r="C59" s="3"/>
      <c r="D59" s="3"/>
      <c r="E59" s="3"/>
      <c r="F59" s="3"/>
      <c r="G59" s="3"/>
      <c r="H59" s="4"/>
      <c r="I59" s="4"/>
      <c r="J59" s="3"/>
      <c r="K59" s="3"/>
      <c r="L59" s="3"/>
    </row>
    <row x14ac:dyDescent="0.25" r="60" customHeight="1" ht="17.25">
      <c r="A60" s="1" t="s">
        <v>6</v>
      </c>
      <c r="B60" s="7" t="s">
        <v>7</v>
      </c>
      <c r="C60" s="7" t="s">
        <v>8</v>
      </c>
      <c r="D60" s="3"/>
      <c r="E60" s="3"/>
      <c r="F60" s="3"/>
      <c r="G60" s="3"/>
      <c r="H60" s="4"/>
      <c r="I60" s="4"/>
      <c r="J60" s="3"/>
      <c r="K60" s="3"/>
      <c r="L60" s="3"/>
    </row>
    <row x14ac:dyDescent="0.25" r="61" customHeight="1" ht="17.25">
      <c r="A61" s="9">
        <v>86.4535361842105</v>
      </c>
      <c r="B61" s="9">
        <v>392.3</v>
      </c>
      <c r="C61" s="9">
        <v>20.3</v>
      </c>
      <c r="D61" s="2">
        <f>0.001*$B$17</f>
      </c>
      <c r="E61" s="2">
        <f>0.000001*A61</f>
      </c>
      <c r="F61" s="2">
        <f>0.001*B61</f>
      </c>
      <c r="G61" s="2">
        <f>C61+$B$3</f>
      </c>
      <c r="H61" s="5">
        <f>$B$1*G61/(2*$B$2)</f>
      </c>
      <c r="I61" s="5">
        <f>(D61+E61)*EXP(F61/H61)</f>
      </c>
      <c r="J61" s="3"/>
      <c r="K61" s="3"/>
      <c r="L61" s="3"/>
    </row>
    <row x14ac:dyDescent="0.25" r="62" customHeight="1" ht="17.25">
      <c r="A62" s="10">
        <v>200</v>
      </c>
      <c r="B62" s="9">
        <v>390.3</v>
      </c>
      <c r="C62" s="9">
        <v>20.4</v>
      </c>
      <c r="D62" s="2">
        <f>0.001*$B$17</f>
      </c>
      <c r="E62" s="2">
        <f>0.000001*A62</f>
      </c>
      <c r="F62" s="2">
        <f>0.001*B62</f>
      </c>
      <c r="G62" s="2">
        <f>C62+$B$3</f>
      </c>
      <c r="H62" s="5">
        <f>$B$1*G62/(2*$B$2)</f>
      </c>
      <c r="I62" s="5">
        <f>(D62+E62)*EXP(F62/H62)</f>
      </c>
      <c r="J62" s="3"/>
      <c r="K62" s="3"/>
      <c r="L62" s="3"/>
    </row>
    <row x14ac:dyDescent="0.25" r="63" customHeight="1" ht="17.25">
      <c r="A63" s="9">
        <v>286.136924342105</v>
      </c>
      <c r="B63" s="9">
        <v>388.2</v>
      </c>
      <c r="C63" s="9">
        <v>20.4</v>
      </c>
      <c r="D63" s="2">
        <f>0.001*$B$17</f>
      </c>
      <c r="E63" s="2">
        <f>0.000001*A63</f>
      </c>
      <c r="F63" s="2">
        <f>0.001*B63</f>
      </c>
      <c r="G63" s="2">
        <f>C63+$B$3</f>
      </c>
      <c r="H63" s="5">
        <f>$B$1*G63/(2*$B$2)</f>
      </c>
      <c r="I63" s="5">
        <f>(D63+E63)*EXP(F63/H63)</f>
      </c>
      <c r="J63" s="3"/>
      <c r="K63" s="3"/>
      <c r="L63" s="3"/>
    </row>
    <row x14ac:dyDescent="0.25" r="64" customHeight="1" ht="17.25">
      <c r="A64" s="9">
        <v>386.990542763157</v>
      </c>
      <c r="B64" s="9">
        <v>385.9</v>
      </c>
      <c r="C64" s="9">
        <v>20.4</v>
      </c>
      <c r="D64" s="2">
        <f>0.001*$B$17</f>
      </c>
      <c r="E64" s="2">
        <f>0.000001*A64</f>
      </c>
      <c r="F64" s="2">
        <f>0.001*B64</f>
      </c>
      <c r="G64" s="2">
        <f>C64+$B$3</f>
      </c>
      <c r="H64" s="5">
        <f>$B$1*G64/(2*$B$2)</f>
      </c>
      <c r="I64" s="5">
        <f>(D64+E64)*EXP(F64/H64)</f>
      </c>
      <c r="J64" s="3"/>
      <c r="K64" s="3"/>
      <c r="L64" s="3"/>
    </row>
    <row x14ac:dyDescent="0.25" r="65" customHeight="1" ht="17.25">
      <c r="A65" s="9">
        <v>486.487253289473</v>
      </c>
      <c r="B65" s="9">
        <v>378.5</v>
      </c>
      <c r="C65" s="9">
        <v>20.3</v>
      </c>
      <c r="D65" s="2">
        <f>0.001*$B$17</f>
      </c>
      <c r="E65" s="2">
        <f>0.000001*A65</f>
      </c>
      <c r="F65" s="2">
        <f>0.001*B65</f>
      </c>
      <c r="G65" s="2">
        <f>C65+$B$3</f>
      </c>
      <c r="H65" s="5">
        <f>$B$1*G65/(2*$B$2)</f>
      </c>
      <c r="I65" s="5">
        <f>(D65+E65)*EXP(F65/H65)</f>
      </c>
      <c r="J65" s="3"/>
      <c r="K65" s="3"/>
      <c r="L65" s="3"/>
    </row>
    <row x14ac:dyDescent="0.25" r="66" customHeight="1" ht="17.25">
      <c r="A66" s="9">
        <v>722.951891447368</v>
      </c>
      <c r="B66" s="9">
        <v>373.8</v>
      </c>
      <c r="C66" s="9">
        <v>20.3</v>
      </c>
      <c r="D66" s="2">
        <f>0.001*$B$17</f>
      </c>
      <c r="E66" s="2">
        <f>0.000001*A66</f>
      </c>
      <c r="F66" s="2">
        <f>0.001*B66</f>
      </c>
      <c r="G66" s="2">
        <f>C66+$B$3</f>
      </c>
      <c r="H66" s="5">
        <f>$B$1*G66/(2*$B$2)</f>
      </c>
      <c r="I66" s="5">
        <f>(D66+E66)*EXP(F66/H66)</f>
      </c>
      <c r="J66" s="7"/>
      <c r="K66" s="7"/>
      <c r="L66" s="7"/>
    </row>
    <row x14ac:dyDescent="0.25" r="67" customHeight="1" ht="17.25">
      <c r="A67" s="10">
        <v>797</v>
      </c>
      <c r="B67" s="9">
        <v>370.4</v>
      </c>
      <c r="C67" s="9">
        <v>20.3</v>
      </c>
      <c r="D67" s="2">
        <f>0.001*$B$17</f>
      </c>
      <c r="E67" s="2">
        <f>0.000001*A67</f>
      </c>
      <c r="F67" s="2">
        <f>0.001*B67</f>
      </c>
      <c r="G67" s="2">
        <f>C67+$B$3</f>
      </c>
      <c r="H67" s="5">
        <f>$B$1*G67/(2*$B$2)</f>
      </c>
      <c r="I67" s="5">
        <f>(D67+E67)*EXP(F67/H67)</f>
      </c>
      <c r="J67" s="3"/>
      <c r="K67" s="3"/>
      <c r="L67" s="3"/>
    </row>
    <row x14ac:dyDescent="0.25" r="68" customHeight="1" ht="17.25">
      <c r="A68" s="12">
        <v>820</v>
      </c>
      <c r="B68" s="2">
        <v>368.8</v>
      </c>
      <c r="C68" s="9">
        <v>20.3</v>
      </c>
      <c r="D68" s="2">
        <f>0.001*$B$17</f>
      </c>
      <c r="E68" s="2">
        <f>0.000001*A68</f>
      </c>
      <c r="F68" s="2">
        <f>0.001*B68</f>
      </c>
      <c r="G68" s="2">
        <f>C68+$B$3</f>
      </c>
      <c r="H68" s="5">
        <f>$B$1*G68/(2*$B$2)</f>
      </c>
      <c r="I68" s="5">
        <f>(D68+E68)*EXP(F68/H68)</f>
      </c>
      <c r="J68" s="7"/>
      <c r="K68" s="7"/>
      <c r="L68" s="7"/>
    </row>
    <row x14ac:dyDescent="0.25" r="69" customHeight="1" ht="17.25">
      <c r="A69" s="2">
        <v>906.900082236842</v>
      </c>
      <c r="B69" s="2">
        <v>354.9</v>
      </c>
      <c r="C69" s="9">
        <v>20.3</v>
      </c>
      <c r="D69" s="2">
        <f>0.001*$B$17</f>
      </c>
      <c r="E69" s="2">
        <f>0.000001*A69</f>
      </c>
      <c r="F69" s="2">
        <f>0.001*B69</f>
      </c>
      <c r="G69" s="2">
        <f>C69+$B$3</f>
      </c>
      <c r="H69" s="5">
        <f>$B$1*G69/(2*$B$2)</f>
      </c>
      <c r="I69" s="5">
        <f>(D69+E69)*EXP(F69/H69)</f>
      </c>
      <c r="J69" s="3"/>
      <c r="K69" s="3"/>
      <c r="L69" s="3"/>
    </row>
    <row x14ac:dyDescent="0.25" r="70" customHeight="1" ht="17.25">
      <c r="A70" s="12">
        <v>960</v>
      </c>
      <c r="B70" s="2">
        <v>346.3</v>
      </c>
      <c r="C70" s="9">
        <v>20.3</v>
      </c>
      <c r="D70" s="2">
        <f>0.001*$B$17</f>
      </c>
      <c r="E70" s="2">
        <f>0.000001*A70</f>
      </c>
      <c r="F70" s="2">
        <f>0.001*B70</f>
      </c>
      <c r="G70" s="2">
        <f>C70+$B$3</f>
      </c>
      <c r="H70" s="5">
        <f>$B$1*G70/(2*$B$2)</f>
      </c>
      <c r="I70" s="5">
        <f>(D70+E70)*EXP(F70/H70)</f>
      </c>
      <c r="J70" s="3"/>
      <c r="K70" s="3"/>
      <c r="L70" s="3"/>
    </row>
    <row x14ac:dyDescent="0.25" r="71" customHeight="1" ht="17.25">
      <c r="A71" s="12">
        <v>969</v>
      </c>
      <c r="B71" s="2">
        <v>341.7</v>
      </c>
      <c r="C71" s="9">
        <v>20.3</v>
      </c>
      <c r="D71" s="2">
        <f>0.001*$B$17</f>
      </c>
      <c r="E71" s="2">
        <f>0.000001*A71</f>
      </c>
      <c r="F71" s="2">
        <f>0.001*B71</f>
      </c>
      <c r="G71" s="2">
        <f>C71+$B$3</f>
      </c>
      <c r="H71" s="5">
        <f>$B$1*G71/(2*$B$2)</f>
      </c>
      <c r="I71" s="5">
        <f>(D71+E71)*EXP(F71/H71)</f>
      </c>
      <c r="J71" s="7" t="s">
        <v>9</v>
      </c>
      <c r="K71" s="7" t="s">
        <v>10</v>
      </c>
      <c r="L71" s="7" t="s">
        <v>11</v>
      </c>
    </row>
    <row x14ac:dyDescent="0.25" r="72" customHeight="1" ht="17.25">
      <c r="A72" s="12">
        <v>976</v>
      </c>
      <c r="B72" s="2">
        <v>336.4</v>
      </c>
      <c r="C72" s="9">
        <v>20.3</v>
      </c>
      <c r="D72" s="2">
        <f>0.001*$B$17</f>
      </c>
      <c r="E72" s="2">
        <f>0.000001*A72</f>
      </c>
      <c r="F72" s="2">
        <f>0.001*B72</f>
      </c>
      <c r="G72" s="2">
        <f>C72+$B$3</f>
      </c>
      <c r="H72" s="5">
        <f>$B$1*G72/(2*$B$2)</f>
      </c>
      <c r="I72" s="5">
        <f>(D72+E72)*EXP(F72/H72)</f>
      </c>
      <c r="J72" s="2">
        <f>SLOPE(I70:I72,A70:A72)</f>
      </c>
      <c r="K72" s="2">
        <f>INTERCEPT(I70:I72,A70:A72)</f>
      </c>
      <c r="L72" s="2">
        <f>(-1*K72)/J72</f>
      </c>
    </row>
    <row x14ac:dyDescent="0.25" r="73" customHeight="1" ht="17.25">
      <c r="A73" s="6"/>
      <c r="B73" s="3"/>
      <c r="C73" s="3"/>
      <c r="D73" s="3"/>
      <c r="E73" s="3"/>
      <c r="F73" s="3"/>
      <c r="G73" s="3"/>
      <c r="H73" s="4"/>
      <c r="I73" s="4"/>
      <c r="J73" s="3"/>
      <c r="K73" s="3"/>
      <c r="L73" s="3"/>
    </row>
    <row x14ac:dyDescent="0.25" r="74" customHeight="1" ht="17.25">
      <c r="A74" s="1" t="s">
        <v>3</v>
      </c>
      <c r="B74" s="7" t="s">
        <v>4</v>
      </c>
      <c r="C74" s="3"/>
      <c r="D74" s="3"/>
      <c r="E74" s="3"/>
      <c r="F74" s="3"/>
      <c r="G74" s="3"/>
      <c r="H74" s="4"/>
      <c r="I74" s="4"/>
      <c r="J74" s="3"/>
      <c r="K74" s="3"/>
      <c r="L74" s="3"/>
    </row>
    <row x14ac:dyDescent="0.25" r="75" customHeight="1" ht="17.25">
      <c r="A75" s="8" t="s">
        <v>15</v>
      </c>
      <c r="B75" s="9">
        <f>LOOKUP(A75,[2]Sheet1!$A$2:$B$68)</f>
      </c>
      <c r="C75" s="3"/>
      <c r="D75" s="3"/>
      <c r="E75" s="3"/>
      <c r="F75" s="3"/>
      <c r="G75" s="3"/>
      <c r="H75" s="4"/>
      <c r="I75" s="4"/>
      <c r="J75" s="3"/>
      <c r="K75" s="3"/>
      <c r="L75" s="3"/>
    </row>
    <row x14ac:dyDescent="0.25" r="76" customHeight="1" ht="17.25">
      <c r="A76" s="1" t="s">
        <v>6</v>
      </c>
      <c r="B76" s="7" t="s">
        <v>7</v>
      </c>
      <c r="C76" s="7" t="s">
        <v>8</v>
      </c>
      <c r="D76" s="3"/>
      <c r="E76" s="3"/>
      <c r="F76" s="3"/>
      <c r="G76" s="3"/>
      <c r="H76" s="4"/>
      <c r="I76" s="4"/>
      <c r="J76" s="3"/>
      <c r="K76" s="3"/>
      <c r="L76" s="3"/>
    </row>
    <row x14ac:dyDescent="0.25" r="77" customHeight="1" ht="17.25">
      <c r="A77" s="10">
        <v>110</v>
      </c>
      <c r="B77" s="9">
        <v>391.9</v>
      </c>
      <c r="C77" s="9">
        <v>20.8</v>
      </c>
      <c r="D77" s="2">
        <f>0.001*$B$17</f>
      </c>
      <c r="E77" s="2">
        <f>0.000001*A77</f>
      </c>
      <c r="F77" s="2">
        <f>0.001*B77</f>
      </c>
      <c r="G77" s="2">
        <f>C77+$B$3</f>
      </c>
      <c r="H77" s="5">
        <f>$B$1*G77/(2*$B$2)</f>
      </c>
      <c r="I77" s="5">
        <f>(D77+E77)*EXP(F77/H77)</f>
      </c>
      <c r="J77" s="3"/>
      <c r="K77" s="3"/>
      <c r="L77" s="3"/>
    </row>
    <row x14ac:dyDescent="0.25" r="78" customHeight="1" ht="17.25">
      <c r="A78" s="9">
        <v>196.994243421052</v>
      </c>
      <c r="B78" s="9">
        <v>389.7</v>
      </c>
      <c r="C78" s="9">
        <v>20.8</v>
      </c>
      <c r="D78" s="2">
        <f>0.001*$B$17</f>
      </c>
      <c r="E78" s="2">
        <f>0.000001*A78</f>
      </c>
      <c r="F78" s="2">
        <f>0.001*B78</f>
      </c>
      <c r="G78" s="2">
        <f>C78+$B$3</f>
      </c>
      <c r="H78" s="5">
        <f>$B$1*G78/(2*$B$2)</f>
      </c>
      <c r="I78" s="5">
        <f>(D78+E78)*EXP(F78/H78)</f>
      </c>
      <c r="J78" s="3"/>
      <c r="K78" s="3"/>
      <c r="L78" s="3"/>
    </row>
    <row x14ac:dyDescent="0.25" r="79" customHeight="1" ht="17.25">
      <c r="A79" s="9">
        <v>306.268914473684</v>
      </c>
      <c r="B79" s="9">
        <v>387.3</v>
      </c>
      <c r="C79" s="9">
        <v>20.7</v>
      </c>
      <c r="D79" s="2">
        <f>0.001*$B$17</f>
      </c>
      <c r="E79" s="2">
        <f>0.000001*A79</f>
      </c>
      <c r="F79" s="2">
        <f>0.001*B79</f>
      </c>
      <c r="G79" s="2">
        <f>C79+$B$3</f>
      </c>
      <c r="H79" s="5">
        <f>$B$1*G79/(2*$B$2)</f>
      </c>
      <c r="I79" s="5">
        <f>(D79+E79)*EXP(F79/H79)</f>
      </c>
      <c r="J79" s="3"/>
      <c r="K79" s="3"/>
      <c r="L79" s="3"/>
    </row>
    <row x14ac:dyDescent="0.25" r="80" customHeight="1" ht="17.25">
      <c r="A80" s="9">
        <v>416.449835526315</v>
      </c>
      <c r="B80" s="9">
        <v>384.6</v>
      </c>
      <c r="C80" s="9">
        <v>20.7</v>
      </c>
      <c r="D80" s="2">
        <f>0.001*$B$17</f>
      </c>
      <c r="E80" s="2">
        <f>0.000001*A80</f>
      </c>
      <c r="F80" s="2">
        <f>0.001*B80</f>
      </c>
      <c r="G80" s="2">
        <f>C80+$B$3</f>
      </c>
      <c r="H80" s="5">
        <f>$B$1*G80/(2*$B$2)</f>
      </c>
      <c r="I80" s="5">
        <f>(D80+E80)*EXP(F80/H80)</f>
      </c>
      <c r="J80" s="3"/>
      <c r="K80" s="3"/>
      <c r="L80" s="3"/>
    </row>
    <row x14ac:dyDescent="0.25" r="81" customHeight="1" ht="17.25">
      <c r="A81" s="9">
        <v>527.085526315789</v>
      </c>
      <c r="B81" s="10">
        <v>378</v>
      </c>
      <c r="C81" s="9">
        <v>20.7</v>
      </c>
      <c r="D81" s="2">
        <f>0.001*$B$17</f>
      </c>
      <c r="E81" s="2">
        <f>0.000001*A81</f>
      </c>
      <c r="F81" s="2">
        <f>0.001*B81</f>
      </c>
      <c r="G81" s="2">
        <f>C81+$B$3</f>
      </c>
      <c r="H81" s="5">
        <f>$B$1*G81/(2*$B$2)</f>
      </c>
      <c r="I81" s="5">
        <f>(D81+E81)*EXP(F81/H81)</f>
      </c>
      <c r="J81" s="3"/>
      <c r="K81" s="3"/>
      <c r="L81" s="3"/>
    </row>
    <row x14ac:dyDescent="0.25" r="82" customHeight="1" ht="17.25">
      <c r="A82" s="10">
        <v>676</v>
      </c>
      <c r="B82" s="9">
        <v>376.5</v>
      </c>
      <c r="C82" s="9">
        <v>20.7</v>
      </c>
      <c r="D82" s="2">
        <f>0.001*$B$17</f>
      </c>
      <c r="E82" s="2">
        <f>0.000001*A82</f>
      </c>
      <c r="F82" s="2">
        <f>0.001*B82</f>
      </c>
      <c r="G82" s="2">
        <f>C82+$B$3</f>
      </c>
      <c r="H82" s="5">
        <f>$B$1*G82/(2*$B$2)</f>
      </c>
      <c r="I82" s="5">
        <f>(D82+E82)*EXP(F82/H82)</f>
      </c>
      <c r="J82" s="7"/>
      <c r="K82" s="7"/>
      <c r="L82" s="7"/>
    </row>
    <row x14ac:dyDescent="0.25" r="83" customHeight="1" ht="17.25">
      <c r="A83" s="9">
        <v>755.819490131579</v>
      </c>
      <c r="B83" s="9">
        <v>372.3</v>
      </c>
      <c r="C83" s="9">
        <v>20.6</v>
      </c>
      <c r="D83" s="2">
        <f>0.001*$B$17</f>
      </c>
      <c r="E83" s="2">
        <f>0.000001*A83</f>
      </c>
      <c r="F83" s="2">
        <f>0.001*B83</f>
      </c>
      <c r="G83" s="2">
        <f>C83+$B$3</f>
      </c>
      <c r="H83" s="5">
        <f>$B$1*G83/(2*$B$2)</f>
      </c>
      <c r="I83" s="5">
        <f>(D83+E83)*EXP(F83/H83)</f>
      </c>
      <c r="J83" s="3"/>
      <c r="K83" s="3"/>
      <c r="L83" s="3"/>
    </row>
    <row x14ac:dyDescent="0.25" r="84" customHeight="1" ht="17.25">
      <c r="A84" s="12">
        <v>828</v>
      </c>
      <c r="B84" s="12">
        <v>367</v>
      </c>
      <c r="C84" s="9">
        <v>20.6</v>
      </c>
      <c r="D84" s="2">
        <f>0.001*$B$17</f>
      </c>
      <c r="E84" s="2">
        <f>0.000001*A84</f>
      </c>
      <c r="F84" s="2">
        <f>0.001*B84</f>
      </c>
      <c r="G84" s="2">
        <f>C84+$B$3</f>
      </c>
      <c r="H84" s="5">
        <f>$B$1*G84/(2*$B$2)</f>
      </c>
      <c r="I84" s="5">
        <f>(D84+E84)*EXP(F84/H84)</f>
      </c>
      <c r="J84" s="7"/>
      <c r="K84" s="7"/>
      <c r="L84" s="7"/>
    </row>
    <row x14ac:dyDescent="0.25" r="85" customHeight="1" ht="17.25">
      <c r="A85" s="2">
        <v>914.589226973684</v>
      </c>
      <c r="B85" s="2">
        <v>346.1</v>
      </c>
      <c r="C85" s="9">
        <v>20.6</v>
      </c>
      <c r="D85" s="2">
        <f>0.001*$B$17</f>
      </c>
      <c r="E85" s="2">
        <f>0.000001*A85</f>
      </c>
      <c r="F85" s="2">
        <f>0.001*B85</f>
      </c>
      <c r="G85" s="2">
        <f>C85+$B$3</f>
      </c>
      <c r="H85" s="5">
        <f>$B$1*G85/(2*$B$2)</f>
      </c>
      <c r="I85" s="5">
        <f>(D85+E85)*EXP(F85/H85)</f>
      </c>
      <c r="J85" s="7"/>
      <c r="K85" s="7"/>
      <c r="L85" s="7"/>
    </row>
    <row x14ac:dyDescent="0.25" r="86" customHeight="1" ht="17.25">
      <c r="A86" s="12">
        <v>968</v>
      </c>
      <c r="B86" s="2">
        <v>331.6</v>
      </c>
      <c r="C86" s="9">
        <v>20.6</v>
      </c>
      <c r="D86" s="2">
        <f>0.001*$B$17</f>
      </c>
      <c r="E86" s="2">
        <f>0.000001*A86</f>
      </c>
      <c r="F86" s="2">
        <f>0.001*B86</f>
      </c>
      <c r="G86" s="2">
        <f>C86+$B$3</f>
      </c>
      <c r="H86" s="5">
        <f>$B$1*G86/(2*$B$2)</f>
      </c>
      <c r="I86" s="5">
        <f>(D86+E86)*EXP(F86/H86)</f>
      </c>
      <c r="J86" s="3"/>
      <c r="K86" s="3"/>
      <c r="L86" s="3"/>
    </row>
    <row x14ac:dyDescent="0.25" r="87" customHeight="1" ht="17.25">
      <c r="A87" s="12">
        <v>969</v>
      </c>
      <c r="B87" s="2">
        <v>330.1</v>
      </c>
      <c r="C87" s="9">
        <v>20.6</v>
      </c>
      <c r="D87" s="2">
        <f>0.001*$B$17</f>
      </c>
      <c r="E87" s="2">
        <f>0.000001*A87</f>
      </c>
      <c r="F87" s="2">
        <f>0.001*B87</f>
      </c>
      <c r="G87" s="2">
        <f>C87+$B$3</f>
      </c>
      <c r="H87" s="5">
        <f>$B$1*G87/(2*$B$2)</f>
      </c>
      <c r="I87" s="5">
        <f>(D87+E87)*EXP(F87/H87)</f>
      </c>
      <c r="J87" s="7"/>
      <c r="K87" s="7"/>
      <c r="L87" s="7"/>
    </row>
    <row x14ac:dyDescent="0.25" r="88" customHeight="1" ht="17.25">
      <c r="A88" s="12">
        <v>970</v>
      </c>
      <c r="B88" s="2">
        <v>328.5</v>
      </c>
      <c r="C88" s="9">
        <v>20.6</v>
      </c>
      <c r="D88" s="2">
        <f>0.001*$B$17</f>
      </c>
      <c r="E88" s="2">
        <f>0.000001*A88</f>
      </c>
      <c r="F88" s="2">
        <f>0.001*B88</f>
      </c>
      <c r="G88" s="2">
        <f>C88+$B$3</f>
      </c>
      <c r="H88" s="5">
        <f>$B$1*G88/(2*$B$2)</f>
      </c>
      <c r="I88" s="5">
        <f>(D88+E88)*EXP(F88/H88)</f>
      </c>
      <c r="J88" s="3"/>
      <c r="K88" s="3"/>
      <c r="L88" s="3"/>
    </row>
    <row x14ac:dyDescent="0.25" r="89" customHeight="1" ht="17.25">
      <c r="A89" s="12">
        <v>971</v>
      </c>
      <c r="B89" s="2">
        <v>326.7</v>
      </c>
      <c r="C89" s="9">
        <v>20.6</v>
      </c>
      <c r="D89" s="2">
        <f>0.001*$B$17</f>
      </c>
      <c r="E89" s="2">
        <f>0.000001*A89</f>
      </c>
      <c r="F89" s="2">
        <f>0.001*B89</f>
      </c>
      <c r="G89" s="2">
        <f>C89+$B$3</f>
      </c>
      <c r="H89" s="5">
        <f>$B$1*G89/(2*$B$2)</f>
      </c>
      <c r="I89" s="5">
        <f>(D89+E89)*EXP(F89/H89)</f>
      </c>
      <c r="J89" s="7" t="s">
        <v>9</v>
      </c>
      <c r="K89" s="7" t="s">
        <v>10</v>
      </c>
      <c r="L89" s="7" t="s">
        <v>11</v>
      </c>
    </row>
    <row x14ac:dyDescent="0.25" r="90" customHeight="1" ht="17.25">
      <c r="A90" s="12">
        <v>972</v>
      </c>
      <c r="B90" s="2">
        <v>324.6</v>
      </c>
      <c r="C90" s="9">
        <v>20.6</v>
      </c>
      <c r="D90" s="2">
        <f>0.001*$B$17</f>
      </c>
      <c r="E90" s="2">
        <f>0.000001*A90</f>
      </c>
      <c r="F90" s="2">
        <f>0.001*B90</f>
      </c>
      <c r="G90" s="2">
        <f>C90+$B$3</f>
      </c>
      <c r="H90" s="5">
        <f>$B$1*G90/(2*$B$2)</f>
      </c>
      <c r="I90" s="5">
        <f>(D90+E90)*EXP(F90/H90)</f>
      </c>
      <c r="J90" s="2">
        <f>SLOPE(I85:I90,A85:A90)</f>
      </c>
      <c r="K90" s="2">
        <f>INTERCEPT(I85:I90,A85:A90)</f>
      </c>
      <c r="L90" s="2">
        <f>(-1*K90)/J90</f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3</vt:i4>
      </vt:variant>
    </vt:vector>
  </HeadingPairs>
  <TitlesOfParts>
    <vt:vector baseType="lpstr" size="3">
      <vt:lpstr>Comments</vt:lpstr>
      <vt:lpstr>Langdon mod calcs of Hakai Data</vt:lpstr>
      <vt:lpstr>Recalculations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2022-06-21T21:10:20.016Z</dcterms:created>
  <dcterms:modified xsi:type="dcterms:W3CDTF">2022-06-21T21:10:20.016Z</dcterms:modified>
</cp:coreProperties>
</file>