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bench-iot" sheetId="2" r:id="rId5"/>
    <sheet state="visible" name="embench-iot m" sheetId="3" r:id="rId6"/>
    <sheet state="visible" name="mul" sheetId="4" r:id="rId7"/>
    <sheet state="visible" name="Copy of Signal meaning" sheetId="5" r:id="rId8"/>
  </sheets>
  <definedNames/>
  <calcPr/>
</workbook>
</file>

<file path=xl/sharedStrings.xml><?xml version="1.0" encoding="utf-8"?>
<sst xmlns="http://schemas.openxmlformats.org/spreadsheetml/2006/main" count="351" uniqueCount="182">
  <si>
    <t>Instruction</t>
  </si>
  <si>
    <t>Latency</t>
  </si>
  <si>
    <t>Type</t>
  </si>
  <si>
    <t>Funct7</t>
  </si>
  <si>
    <t>Funct3</t>
  </si>
  <si>
    <t>Opcode</t>
  </si>
  <si>
    <t>Mask</t>
  </si>
  <si>
    <t>Pattern</t>
  </si>
  <si>
    <t>Signal</t>
  </si>
  <si>
    <t>Pattern + MSB</t>
  </si>
  <si>
    <t>Pattern + MSB HEX</t>
  </si>
  <si>
    <t>BEQ</t>
  </si>
  <si>
    <t>B</t>
  </si>
  <si>
    <t>wooden-chest</t>
  </si>
  <si>
    <t>M</t>
  </si>
  <si>
    <t>BNE</t>
  </si>
  <si>
    <t>iron-chest</t>
  </si>
  <si>
    <t>BLT</t>
  </si>
  <si>
    <t>steel-chest</t>
  </si>
  <si>
    <t>BGE</t>
  </si>
  <si>
    <t>storage-tank</t>
  </si>
  <si>
    <t>N</t>
  </si>
  <si>
    <t>BLTU</t>
  </si>
  <si>
    <t>transport-belt</t>
  </si>
  <si>
    <t>BGEU</t>
  </si>
  <si>
    <t>fast-transport-belt</t>
  </si>
  <si>
    <t>O</t>
  </si>
  <si>
    <t>JALR</t>
  </si>
  <si>
    <t>I</t>
  </si>
  <si>
    <t>express-transport-belt</t>
  </si>
  <si>
    <t>LB</t>
  </si>
  <si>
    <t>underground-belt</t>
  </si>
  <si>
    <t>LH</t>
  </si>
  <si>
    <t>fast-underground-belt</t>
  </si>
  <si>
    <t>LW</t>
  </si>
  <si>
    <t>express-underground-belt</t>
  </si>
  <si>
    <t>LBU</t>
  </si>
  <si>
    <t>splitter</t>
  </si>
  <si>
    <t>LHU</t>
  </si>
  <si>
    <t>fast-splitter</t>
  </si>
  <si>
    <t>ADDI</t>
  </si>
  <si>
    <t>express-splitter</t>
  </si>
  <si>
    <t>SLTI</t>
  </si>
  <si>
    <t>burner-inserter</t>
  </si>
  <si>
    <t>SLTIU</t>
  </si>
  <si>
    <t>inserter</t>
  </si>
  <si>
    <t>XORI</t>
  </si>
  <si>
    <t>long-handed-inserter</t>
  </si>
  <si>
    <t>ORI</t>
  </si>
  <si>
    <t>fast-inserter</t>
  </si>
  <si>
    <t>ANDI</t>
  </si>
  <si>
    <t>filter-inserter</t>
  </si>
  <si>
    <t>JAL</t>
  </si>
  <si>
    <t>J</t>
  </si>
  <si>
    <t>stack-inserter</t>
  </si>
  <si>
    <t>SLLI</t>
  </si>
  <si>
    <t>R</t>
  </si>
  <si>
    <t>stack-filter-inserter</t>
  </si>
  <si>
    <t>SRLI</t>
  </si>
  <si>
    <t>small-electric-pole</t>
  </si>
  <si>
    <t>SRAI</t>
  </si>
  <si>
    <t>medium-electric-pole</t>
  </si>
  <si>
    <t>ADD</t>
  </si>
  <si>
    <t>big-electric-pole</t>
  </si>
  <si>
    <t>SUB</t>
  </si>
  <si>
    <t>substation</t>
  </si>
  <si>
    <t>SLL</t>
  </si>
  <si>
    <t>pipe</t>
  </si>
  <si>
    <t>SLT</t>
  </si>
  <si>
    <t>pipe-to-ground</t>
  </si>
  <si>
    <t>SLTU</t>
  </si>
  <si>
    <t>pump</t>
  </si>
  <si>
    <t>XOR</t>
  </si>
  <si>
    <t>rail</t>
  </si>
  <si>
    <t>SRL</t>
  </si>
  <si>
    <t>train-stop</t>
  </si>
  <si>
    <t>SRA</t>
  </si>
  <si>
    <t>rail-signal</t>
  </si>
  <si>
    <t>OR</t>
  </si>
  <si>
    <t>rail-chain-signal</t>
  </si>
  <si>
    <t>AND</t>
  </si>
  <si>
    <t>locomotive</t>
  </si>
  <si>
    <t>SB</t>
  </si>
  <si>
    <t>S</t>
  </si>
  <si>
    <t>cargo-wagon</t>
  </si>
  <si>
    <t>SH</t>
  </si>
  <si>
    <t>fluid-wagon</t>
  </si>
  <si>
    <t>SW</t>
  </si>
  <si>
    <t>artillery-wagon</t>
  </si>
  <si>
    <t>LUI</t>
  </si>
  <si>
    <t>U</t>
  </si>
  <si>
    <t>car</t>
  </si>
  <si>
    <t>AUIPC</t>
  </si>
  <si>
    <t>tank</t>
  </si>
  <si>
    <t>FENCE</t>
  </si>
  <si>
    <t>spidertron</t>
  </si>
  <si>
    <t>ECALL</t>
  </si>
  <si>
    <t>logistic-robot</t>
  </si>
  <si>
    <t>EBREAK</t>
  </si>
  <si>
    <t>construction-robot</t>
  </si>
  <si>
    <t>MUL</t>
  </si>
  <si>
    <t>logistic-chest-active-provider</t>
  </si>
  <si>
    <t>MULH</t>
  </si>
  <si>
    <t>logistic-chest-passive-provider</t>
  </si>
  <si>
    <t>MULHSU</t>
  </si>
  <si>
    <t>logistic-chest-storage</t>
  </si>
  <si>
    <t>MULHU</t>
  </si>
  <si>
    <t>logistic-chest-buffer</t>
  </si>
  <si>
    <t>DIV</t>
  </si>
  <si>
    <t>logistic-chest-requester</t>
  </si>
  <si>
    <t>REM</t>
  </si>
  <si>
    <t>roboport</t>
  </si>
  <si>
    <t>DIVU</t>
  </si>
  <si>
    <t>small-lamp</t>
  </si>
  <si>
    <t>REMU</t>
  </si>
  <si>
    <t>red-wire</t>
  </si>
  <si>
    <t>mask</t>
  </si>
  <si>
    <t>arith</t>
  </si>
  <si>
    <t>addi</t>
  </si>
  <si>
    <t>shift left</t>
  </si>
  <si>
    <t>signal</t>
  </si>
  <si>
    <t>jump</t>
  </si>
  <si>
    <t>ls</t>
  </si>
  <si>
    <t>A</t>
  </si>
  <si>
    <t>suite</t>
  </si>
  <si>
    <t>Inst</t>
  </si>
  <si>
    <t>Ticks</t>
  </si>
  <si>
    <t>Improvement</t>
  </si>
  <si>
    <t>Misses</t>
  </si>
  <si>
    <t>nbody</t>
  </si>
  <si>
    <t>primecount</t>
  </si>
  <si>
    <t>picojpeg</t>
  </si>
  <si>
    <t>wikisort</t>
  </si>
  <si>
    <t>cubic</t>
  </si>
  <si>
    <t>st</t>
  </si>
  <si>
    <t>qrduino</t>
  </si>
  <si>
    <t>edn</t>
  </si>
  <si>
    <t>matmult-int</t>
  </si>
  <si>
    <t>huffbench</t>
  </si>
  <si>
    <t>tarfind</t>
  </si>
  <si>
    <t>sglib-combined</t>
  </si>
  <si>
    <t>nettle-aes</t>
  </si>
  <si>
    <t>crc32</t>
  </si>
  <si>
    <t>aha-mont64</t>
  </si>
  <si>
    <t>minver</t>
  </si>
  <si>
    <t>slre</t>
  </si>
  <si>
    <t>nettle-sha256</t>
  </si>
  <si>
    <t>ud</t>
  </si>
  <si>
    <t>nsichneu</t>
  </si>
  <si>
    <t>statemate</t>
  </si>
  <si>
    <t>Suite</t>
  </si>
  <si>
    <t>Performance</t>
  </si>
  <si>
    <t>Inst Delta</t>
  </si>
  <si>
    <t>L</t>
  </si>
  <si>
    <t>H</t>
  </si>
  <si>
    <t>C</t>
  </si>
  <si>
    <t>F</t>
  </si>
  <si>
    <t>E</t>
  </si>
  <si>
    <t>G</t>
  </si>
  <si>
    <t>D</t>
  </si>
  <si>
    <t>Meaning</t>
  </si>
  <si>
    <t>Size</t>
  </si>
  <si>
    <t>Offset</t>
  </si>
  <si>
    <t>Full mask</t>
  </si>
  <si>
    <t>INST yellow wire (output 1)</t>
  </si>
  <si>
    <t>Funct3 &amp; Funct7</t>
  </si>
  <si>
    <t>Opcode &amp; MSB</t>
  </si>
  <si>
    <t>Opcode &amp; Funct3 &amp; MSB</t>
  </si>
  <si>
    <t>Opcode &amp; Funct3 &amp; Funct7 &amp; MSB</t>
  </si>
  <si>
    <t>Info</t>
  </si>
  <si>
    <t>Program Counter + 4</t>
  </si>
  <si>
    <t>I-type Immediate value &gt;&gt; 20</t>
  </si>
  <si>
    <t>Input register address  (rs1)</t>
  </si>
  <si>
    <t>Input register address  (rs2) / shamt</t>
  </si>
  <si>
    <t>Result register address (rd)</t>
  </si>
  <si>
    <t>J-type immediate II (20)</t>
  </si>
  <si>
    <t>B-type immediate I (11-8)</t>
  </si>
  <si>
    <t>B-type immediate II (7)</t>
  </si>
  <si>
    <t>X</t>
  </si>
  <si>
    <t>Entire instruction word</t>
  </si>
  <si>
    <t>PC blue wire (input)</t>
  </si>
  <si>
    <t>Program Counter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</si>
</sst>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color theme="1"/>
      <name val="Courier New"/>
    </font>
    <font>
      <sz val="11.0"/>
      <color theme="1"/>
      <name val="Courier New"/>
    </font>
    <font>
      <sz val="11.0"/>
      <color rgb="FF000000"/>
      <name val="Courier New"/>
    </font>
    <font>
      <color theme="1"/>
      <name val="Courier New"/>
    </font>
    <font>
      <b/>
      <color theme="1"/>
      <name val="Courier New"/>
    </font>
    <font>
      <color rgb="FFCCCCCC"/>
      <name val="Courier New"/>
    </font>
    <font>
      <color rgb="FFD9D9D9"/>
      <name val="Courier New"/>
    </font>
    <font>
      <b/>
      <sz val="10.0"/>
      <color theme="1"/>
      <name val="Courier New"/>
    </font>
    <font>
      <sz val="10.0"/>
      <color theme="1"/>
      <name val="Courier New"/>
    </font>
    <font>
      <sz val="10.0"/>
      <color rgb="FFCCCCCC"/>
      <name val="Courier New"/>
    </font>
    <font>
      <b/>
      <sz val="10.0"/>
      <color rgb="FF000000"/>
      <name val="Courier New"/>
    </font>
    <font>
      <sz val="10.0"/>
      <color rgb="FF000000"/>
      <name val="Courier New"/>
    </font>
    <font>
      <b/>
      <color rgb="FFD9D9D9"/>
      <name val="Courier New"/>
    </font>
  </fonts>
  <fills count="1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6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1" fillId="2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2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1" fillId="7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8" fontId="2" numFmtId="0" xfId="0" applyAlignment="1" applyFont="1">
      <alignment readingOrder="0"/>
    </xf>
    <xf borderId="0" fillId="8" fontId="2" numFmtId="0" xfId="0" applyFont="1"/>
    <xf borderId="0" fillId="4" fontId="4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2" fillId="2" fontId="2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10" fontId="4" numFmtId="0" xfId="0" applyFill="1" applyFont="1"/>
    <xf borderId="0" fillId="11" fontId="4" numFmtId="0" xfId="0" applyAlignment="1" applyFill="1" applyFont="1">
      <alignment readingOrder="0"/>
    </xf>
    <xf borderId="0" fillId="8" fontId="4" numFmtId="0" xfId="0" applyFont="1"/>
    <xf borderId="0" fillId="10" fontId="5" numFmtId="0" xfId="0" applyAlignment="1" applyFont="1">
      <alignment readingOrder="0"/>
    </xf>
    <xf borderId="0" fillId="8" fontId="4" numFmtId="0" xfId="0" applyAlignment="1" applyFont="1">
      <alignment readingOrder="0"/>
    </xf>
    <xf borderId="0" fillId="12" fontId="4" numFmtId="0" xfId="0" applyFill="1" applyFont="1"/>
    <xf borderId="0" fillId="13" fontId="4" numFmtId="0" xfId="0" applyFill="1" applyFont="1"/>
    <xf borderId="0" fillId="14" fontId="4" numFmtId="0" xfId="0" applyFill="1" applyFont="1"/>
    <xf borderId="0" fillId="8" fontId="6" numFmtId="0" xfId="0" applyAlignment="1" applyFont="1">
      <alignment readingOrder="0"/>
    </xf>
    <xf borderId="3" fillId="11" fontId="4" numFmtId="0" xfId="0" applyBorder="1" applyFont="1"/>
    <xf borderId="2" fillId="10" fontId="4" numFmtId="0" xfId="0" applyBorder="1" applyFont="1"/>
    <xf borderId="0" fillId="0" fontId="6" numFmtId="0" xfId="0" applyAlignment="1" applyFont="1">
      <alignment readingOrder="0"/>
    </xf>
    <xf borderId="4" fillId="13" fontId="4" numFmtId="0" xfId="0" applyBorder="1" applyFont="1"/>
    <xf borderId="0" fillId="11" fontId="4" numFmtId="0" xfId="0" applyFont="1"/>
    <xf borderId="0" fillId="13" fontId="4" numFmtId="0" xfId="0" applyAlignment="1" applyFont="1">
      <alignment readingOrder="0"/>
    </xf>
    <xf borderId="0" fillId="10" fontId="4" numFmtId="0" xfId="0" applyAlignment="1" applyFont="1">
      <alignment readingOrder="0"/>
    </xf>
    <xf borderId="4" fillId="15" fontId="4" numFmtId="0" xfId="0" applyBorder="1" applyFill="1" applyFont="1"/>
    <xf borderId="4" fillId="0" fontId="4" numFmtId="0" xfId="0" applyBorder="1" applyFont="1"/>
    <xf borderId="0" fillId="15" fontId="4" numFmtId="0" xfId="0" applyFont="1"/>
    <xf borderId="4" fillId="16" fontId="4" numFmtId="0" xfId="0" applyBorder="1" applyFill="1" applyFont="1"/>
    <xf borderId="0" fillId="16" fontId="4" numFmtId="0" xfId="0" applyFont="1"/>
    <xf borderId="4" fillId="17" fontId="4" numFmtId="0" xfId="0" applyBorder="1" applyFill="1" applyFont="1"/>
    <xf borderId="0" fillId="17" fontId="4" numFmtId="0" xfId="0" applyFont="1"/>
    <xf borderId="5" fillId="14" fontId="4" numFmtId="0" xfId="0" applyBorder="1" applyFont="1"/>
    <xf borderId="1" fillId="17" fontId="4" numFmtId="0" xfId="0" applyBorder="1" applyFont="1"/>
    <xf borderId="1" fillId="16" fontId="4" numFmtId="0" xfId="0" applyBorder="1" applyFont="1"/>
    <xf borderId="1" fillId="15" fontId="4" numFmtId="0" xfId="0" applyBorder="1" applyFont="1"/>
    <xf borderId="0" fillId="0" fontId="4" numFmtId="0" xfId="0" applyFont="1"/>
    <xf borderId="0" fillId="8" fontId="7" numFmtId="0" xfId="0" applyFont="1"/>
    <xf borderId="1" fillId="8" fontId="7" numFmtId="0" xfId="0" applyBorder="1" applyFont="1"/>
    <xf borderId="5" fillId="8" fontId="7" numFmtId="0" xfId="0" applyBorder="1" applyFont="1"/>
    <xf borderId="0" fillId="16" fontId="4" numFmtId="0" xfId="0" applyAlignment="1" applyFont="1">
      <alignment readingOrder="0"/>
    </xf>
    <xf borderId="0" fillId="17" fontId="4" numFmtId="0" xfId="0" applyAlignment="1" applyFont="1">
      <alignment readingOrder="0"/>
    </xf>
    <xf borderId="5" fillId="14" fontId="4" numFmtId="0" xfId="0" applyAlignment="1" applyBorder="1" applyFont="1">
      <alignment readingOrder="0"/>
    </xf>
    <xf borderId="1" fillId="17" fontId="4" numFmtId="0" xfId="0" applyAlignment="1" applyBorder="1" applyFont="1">
      <alignment readingOrder="0"/>
    </xf>
    <xf borderId="1" fillId="16" fontId="4" numFmtId="0" xfId="0" applyAlignment="1" applyBorder="1" applyFont="1">
      <alignment readingOrder="0"/>
    </xf>
    <xf borderId="0" fillId="15" fontId="4" numFmtId="0" xfId="0" applyAlignment="1" applyFont="1">
      <alignment readingOrder="0"/>
    </xf>
    <xf borderId="1" fillId="15" fontId="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0" fontId="6" numFmtId="0" xfId="0" applyFont="1"/>
    <xf borderId="0" fillId="0" fontId="8" numFmtId="49" xfId="0" applyAlignment="1" applyFont="1" applyNumberFormat="1">
      <alignment readingOrder="0"/>
    </xf>
    <xf borderId="0" fillId="11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>
        <color rgb="FFFFF2CC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.43"/>
    <col hidden="1" min="4" max="8" width="14.43"/>
    <col customWidth="1" hidden="1" min="9" max="9" width="28.43"/>
    <col customWidth="1" min="10" max="10" width="19.14"/>
    <col customWidth="1" min="11" max="11" width="16.43"/>
    <col customWidth="1" min="12" max="12" width="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3"/>
      <c r="T1" s="3"/>
      <c r="U1" s="3"/>
      <c r="V1" s="2"/>
      <c r="W1" s="2"/>
      <c r="X1" s="2"/>
      <c r="Y1" s="2"/>
      <c r="Z1" s="2"/>
    </row>
    <row r="2">
      <c r="A2" s="4" t="s">
        <v>11</v>
      </c>
      <c r="B2" s="5">
        <v>4.0</v>
      </c>
      <c r="C2" s="6" t="s">
        <v>12</v>
      </c>
      <c r="D2" s="6"/>
      <c r="E2" s="6">
        <v>0.0</v>
      </c>
      <c r="F2" s="6">
        <v>1100011.0</v>
      </c>
      <c r="G2" s="7">
        <f t="shared" ref="G2:G19" si="1">G$59+G$60</f>
        <v>28799</v>
      </c>
      <c r="H2" s="7">
        <f t="shared" ref="H2:H19" si="2">BIN2DEC(F2)+BITLSHIFT(BIN2DEC(E2),12)</f>
        <v>99</v>
      </c>
      <c r="I2" s="3" t="s">
        <v>13</v>
      </c>
      <c r="J2" s="7">
        <f t="shared" ref="J2:J49" si="3">H2-POWER(2,31)</f>
        <v>-2147483549</v>
      </c>
      <c r="K2" s="7" t="str">
        <f t="shared" ref="K2:K49" si="4">DEC2HEX(J2+POWER(2,32))</f>
        <v>80000063</v>
      </c>
      <c r="L2" s="7" t="s">
        <v>14</v>
      </c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2"/>
      <c r="Y2" s="2"/>
      <c r="Z2" s="2"/>
    </row>
    <row r="3">
      <c r="A3" s="4" t="s">
        <v>15</v>
      </c>
      <c r="B3" s="5">
        <v>4.0</v>
      </c>
      <c r="C3" s="6" t="s">
        <v>12</v>
      </c>
      <c r="D3" s="6"/>
      <c r="E3" s="6">
        <v>1.0</v>
      </c>
      <c r="F3" s="6">
        <v>1100011.0</v>
      </c>
      <c r="G3" s="7">
        <f t="shared" si="1"/>
        <v>28799</v>
      </c>
      <c r="H3" s="7">
        <f t="shared" si="2"/>
        <v>4195</v>
      </c>
      <c r="I3" s="3" t="s">
        <v>16</v>
      </c>
      <c r="J3" s="7">
        <f t="shared" si="3"/>
        <v>-2147479453</v>
      </c>
      <c r="K3" s="7" t="str">
        <f t="shared" si="4"/>
        <v>80001063</v>
      </c>
      <c r="L3" s="7" t="s">
        <v>14</v>
      </c>
      <c r="M3" s="2"/>
      <c r="N3" s="2"/>
      <c r="O3" s="2"/>
      <c r="P3" s="2"/>
      <c r="Q3" s="2"/>
      <c r="R3" s="2"/>
      <c r="S3" s="2">
        <f>691+150</f>
        <v>841</v>
      </c>
      <c r="T3" s="2"/>
      <c r="U3" s="2">
        <f>S3-S4</f>
        <v>43</v>
      </c>
      <c r="V3" s="2"/>
      <c r="W3" s="2"/>
      <c r="X3" s="2"/>
      <c r="Y3" s="2"/>
      <c r="Z3" s="2"/>
    </row>
    <row r="4">
      <c r="A4" s="4" t="s">
        <v>17</v>
      </c>
      <c r="B4" s="5">
        <v>4.0</v>
      </c>
      <c r="C4" s="6" t="s">
        <v>12</v>
      </c>
      <c r="D4" s="6"/>
      <c r="E4" s="6">
        <v>100.0</v>
      </c>
      <c r="F4" s="6">
        <v>1100011.0</v>
      </c>
      <c r="G4" s="7">
        <f t="shared" si="1"/>
        <v>28799</v>
      </c>
      <c r="H4" s="7">
        <f t="shared" si="2"/>
        <v>16483</v>
      </c>
      <c r="I4" s="3" t="s">
        <v>18</v>
      </c>
      <c r="J4" s="7">
        <f t="shared" si="3"/>
        <v>-2147467165</v>
      </c>
      <c r="K4" s="7" t="str">
        <f t="shared" si="4"/>
        <v>80004063</v>
      </c>
      <c r="L4" s="7" t="s">
        <v>14</v>
      </c>
      <c r="M4" s="2"/>
      <c r="N4" s="3">
        <v>-2.147483648E9</v>
      </c>
      <c r="O4" s="2"/>
      <c r="P4" s="2"/>
      <c r="Q4" s="2"/>
      <c r="R4" s="2"/>
      <c r="S4" s="2">
        <f>657+141</f>
        <v>798</v>
      </c>
      <c r="T4" s="2"/>
      <c r="U4" s="2"/>
      <c r="V4" s="2"/>
      <c r="W4" s="2"/>
      <c r="X4" s="2"/>
      <c r="Y4" s="2"/>
      <c r="Z4" s="2"/>
    </row>
    <row r="5">
      <c r="A5" s="4" t="s">
        <v>19</v>
      </c>
      <c r="B5" s="5">
        <v>4.0</v>
      </c>
      <c r="C5" s="6" t="s">
        <v>12</v>
      </c>
      <c r="D5" s="6"/>
      <c r="E5" s="6">
        <v>101.0</v>
      </c>
      <c r="F5" s="6">
        <v>1100011.0</v>
      </c>
      <c r="G5" s="7">
        <f t="shared" si="1"/>
        <v>28799</v>
      </c>
      <c r="H5" s="7">
        <f t="shared" si="2"/>
        <v>20579</v>
      </c>
      <c r="I5" s="3" t="s">
        <v>20</v>
      </c>
      <c r="J5" s="7">
        <f t="shared" si="3"/>
        <v>-2147463069</v>
      </c>
      <c r="K5" s="7" t="str">
        <f t="shared" si="4"/>
        <v>80005063</v>
      </c>
      <c r="L5" s="7" t="s">
        <v>14</v>
      </c>
      <c r="M5" s="3"/>
      <c r="N5" s="3"/>
      <c r="O5" s="3">
        <v>2.113958015E9</v>
      </c>
      <c r="P5" s="8">
        <f t="shared" ref="P5:P7" si="5">O5+N$4</f>
        <v>-33525633</v>
      </c>
      <c r="Q5" s="3" t="s">
        <v>21</v>
      </c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22</v>
      </c>
      <c r="B6" s="5">
        <v>4.0</v>
      </c>
      <c r="C6" s="6" t="s">
        <v>12</v>
      </c>
      <c r="D6" s="6"/>
      <c r="E6" s="6">
        <v>110.0</v>
      </c>
      <c r="F6" s="6">
        <v>1100011.0</v>
      </c>
      <c r="G6" s="7">
        <f t="shared" si="1"/>
        <v>28799</v>
      </c>
      <c r="H6" s="7">
        <f t="shared" si="2"/>
        <v>24675</v>
      </c>
      <c r="I6" s="3" t="s">
        <v>23</v>
      </c>
      <c r="J6" s="7">
        <f t="shared" si="3"/>
        <v>-2147458973</v>
      </c>
      <c r="K6" s="7" t="str">
        <f t="shared" si="4"/>
        <v>80006063</v>
      </c>
      <c r="L6" s="7" t="s">
        <v>14</v>
      </c>
      <c r="M6" s="3"/>
      <c r="N6" s="3"/>
      <c r="O6" s="6">
        <v>28799.0</v>
      </c>
      <c r="P6" s="8">
        <f t="shared" si="5"/>
        <v>-2147454849</v>
      </c>
      <c r="Q6" s="3" t="s">
        <v>14</v>
      </c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24</v>
      </c>
      <c r="B7" s="10">
        <v>4.0</v>
      </c>
      <c r="C7" s="11" t="s">
        <v>12</v>
      </c>
      <c r="D7" s="11"/>
      <c r="E7" s="11">
        <v>111.0</v>
      </c>
      <c r="F7" s="11">
        <v>1100011.0</v>
      </c>
      <c r="G7" s="12">
        <f t="shared" si="1"/>
        <v>28799</v>
      </c>
      <c r="H7" s="12">
        <f t="shared" si="2"/>
        <v>28771</v>
      </c>
      <c r="I7" s="13" t="s">
        <v>25</v>
      </c>
      <c r="J7" s="12">
        <f t="shared" si="3"/>
        <v>-2147454877</v>
      </c>
      <c r="K7" s="12" t="str">
        <f t="shared" si="4"/>
        <v>80007063</v>
      </c>
      <c r="L7" s="12" t="s">
        <v>14</v>
      </c>
      <c r="M7" s="2"/>
      <c r="N7" s="2"/>
      <c r="O7" s="6">
        <v>127.0</v>
      </c>
      <c r="P7" s="8">
        <f t="shared" si="5"/>
        <v>-2147483521</v>
      </c>
      <c r="Q7" s="3" t="s">
        <v>26</v>
      </c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27</v>
      </c>
      <c r="B8" s="14">
        <v>3.0</v>
      </c>
      <c r="C8" s="6" t="s">
        <v>28</v>
      </c>
      <c r="D8" s="6"/>
      <c r="E8" s="6">
        <v>0.0</v>
      </c>
      <c r="F8" s="6">
        <v>1100111.0</v>
      </c>
      <c r="G8" s="7">
        <f t="shared" si="1"/>
        <v>28799</v>
      </c>
      <c r="H8" s="7">
        <f t="shared" si="2"/>
        <v>103</v>
      </c>
      <c r="I8" s="3" t="s">
        <v>29</v>
      </c>
      <c r="J8" s="7">
        <f t="shared" si="3"/>
        <v>-2147483545</v>
      </c>
      <c r="K8" s="7" t="str">
        <f t="shared" si="4"/>
        <v>80000067</v>
      </c>
      <c r="L8" s="7" t="s">
        <v>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30</v>
      </c>
      <c r="B9" s="15">
        <v>6.0</v>
      </c>
      <c r="C9" s="6" t="s">
        <v>28</v>
      </c>
      <c r="D9" s="6"/>
      <c r="E9" s="6">
        <v>0.0</v>
      </c>
      <c r="F9" s="6">
        <v>11.0</v>
      </c>
      <c r="G9" s="7">
        <f t="shared" si="1"/>
        <v>28799</v>
      </c>
      <c r="H9" s="7">
        <f t="shared" si="2"/>
        <v>3</v>
      </c>
      <c r="I9" s="3" t="s">
        <v>31</v>
      </c>
      <c r="J9" s="7">
        <f t="shared" si="3"/>
        <v>-2147483645</v>
      </c>
      <c r="K9" s="7" t="str">
        <f t="shared" si="4"/>
        <v>80000003</v>
      </c>
      <c r="L9" s="7" t="s">
        <v>14</v>
      </c>
      <c r="M9" s="3"/>
      <c r="N9" s="2"/>
      <c r="O9" s="2"/>
      <c r="P9" s="2"/>
      <c r="Q9" s="2"/>
      <c r="R9" s="2"/>
      <c r="S9" s="2">
        <f>609+137</f>
        <v>746</v>
      </c>
      <c r="T9" s="2"/>
      <c r="U9" s="2"/>
      <c r="V9" s="2"/>
      <c r="W9" s="2"/>
      <c r="X9" s="2"/>
      <c r="Y9" s="2"/>
      <c r="Z9" s="2"/>
    </row>
    <row r="10">
      <c r="A10" s="4" t="s">
        <v>32</v>
      </c>
      <c r="B10" s="15">
        <v>6.0</v>
      </c>
      <c r="C10" s="6" t="s">
        <v>28</v>
      </c>
      <c r="D10" s="6"/>
      <c r="E10" s="6">
        <v>1.0</v>
      </c>
      <c r="F10" s="6">
        <v>11.0</v>
      </c>
      <c r="G10" s="7">
        <f t="shared" si="1"/>
        <v>28799</v>
      </c>
      <c r="H10" s="7">
        <f t="shared" si="2"/>
        <v>4099</v>
      </c>
      <c r="I10" s="3" t="s">
        <v>33</v>
      </c>
      <c r="J10" s="7">
        <f t="shared" si="3"/>
        <v>-2147479549</v>
      </c>
      <c r="K10" s="7" t="str">
        <f t="shared" si="4"/>
        <v>80001003</v>
      </c>
      <c r="L10" s="7" t="s">
        <v>14</v>
      </c>
      <c r="M10" s="2"/>
      <c r="N10" s="2"/>
      <c r="O10" s="2"/>
      <c r="P10" s="2"/>
      <c r="Q10" s="2"/>
      <c r="R10" s="2"/>
      <c r="S10" s="2">
        <f>691+150</f>
        <v>841</v>
      </c>
      <c r="T10" s="2">
        <f>S10-S9</f>
        <v>95</v>
      </c>
      <c r="U10" s="2"/>
      <c r="V10" s="2"/>
      <c r="W10" s="2"/>
      <c r="X10" s="2"/>
      <c r="Y10" s="2"/>
      <c r="Z10" s="2"/>
    </row>
    <row r="11">
      <c r="A11" s="4" t="s">
        <v>34</v>
      </c>
      <c r="B11" s="16">
        <v>5.0</v>
      </c>
      <c r="C11" s="6" t="s">
        <v>28</v>
      </c>
      <c r="D11" s="6"/>
      <c r="E11" s="6">
        <v>10.0</v>
      </c>
      <c r="F11" s="6">
        <v>11.0</v>
      </c>
      <c r="G11" s="7">
        <f t="shared" si="1"/>
        <v>28799</v>
      </c>
      <c r="H11" s="7">
        <f t="shared" si="2"/>
        <v>8195</v>
      </c>
      <c r="I11" s="3" t="s">
        <v>35</v>
      </c>
      <c r="J11" s="7">
        <f t="shared" si="3"/>
        <v>-2147475453</v>
      </c>
      <c r="K11" s="7" t="str">
        <f t="shared" si="4"/>
        <v>80002003</v>
      </c>
      <c r="L11" s="7" t="s">
        <v>14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36</v>
      </c>
      <c r="B12" s="15">
        <v>6.0</v>
      </c>
      <c r="C12" s="6" t="s">
        <v>28</v>
      </c>
      <c r="D12" s="6"/>
      <c r="E12" s="6">
        <v>100.0</v>
      </c>
      <c r="F12" s="6">
        <v>11.0</v>
      </c>
      <c r="G12" s="7">
        <f t="shared" si="1"/>
        <v>28799</v>
      </c>
      <c r="H12" s="7">
        <f t="shared" si="2"/>
        <v>16387</v>
      </c>
      <c r="I12" s="3" t="s">
        <v>37</v>
      </c>
      <c r="J12" s="7">
        <f t="shared" si="3"/>
        <v>-2147467261</v>
      </c>
      <c r="K12" s="7" t="str">
        <f t="shared" si="4"/>
        <v>80004003</v>
      </c>
      <c r="L12" s="7" t="s">
        <v>14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38</v>
      </c>
      <c r="B13" s="15">
        <v>6.0</v>
      </c>
      <c r="C13" s="6" t="s">
        <v>28</v>
      </c>
      <c r="D13" s="6"/>
      <c r="E13" s="6">
        <v>101.0</v>
      </c>
      <c r="F13" s="6">
        <v>11.0</v>
      </c>
      <c r="G13" s="7">
        <f t="shared" si="1"/>
        <v>28799</v>
      </c>
      <c r="H13" s="7">
        <f t="shared" si="2"/>
        <v>20483</v>
      </c>
      <c r="I13" s="3" t="s">
        <v>39</v>
      </c>
      <c r="J13" s="7">
        <f t="shared" si="3"/>
        <v>-2147463165</v>
      </c>
      <c r="K13" s="7" t="str">
        <f t="shared" si="4"/>
        <v>80005003</v>
      </c>
      <c r="L13" s="7" t="s">
        <v>14</v>
      </c>
      <c r="M13" s="2"/>
      <c r="N13" s="2"/>
      <c r="O13" s="2">
        <f>-2080374788-8</f>
        <v>-2080374796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40</v>
      </c>
      <c r="B14" s="17">
        <v>2.0</v>
      </c>
      <c r="C14" s="6" t="s">
        <v>28</v>
      </c>
      <c r="D14" s="6"/>
      <c r="E14" s="6">
        <v>0.0</v>
      </c>
      <c r="F14" s="6">
        <v>10011.0</v>
      </c>
      <c r="G14" s="7">
        <f t="shared" si="1"/>
        <v>28799</v>
      </c>
      <c r="H14" s="7">
        <f t="shared" si="2"/>
        <v>19</v>
      </c>
      <c r="I14" s="3" t="s">
        <v>41</v>
      </c>
      <c r="J14" s="7">
        <f t="shared" si="3"/>
        <v>-2147483629</v>
      </c>
      <c r="K14" s="7" t="str">
        <f t="shared" si="4"/>
        <v>80000013</v>
      </c>
      <c r="L14" s="7" t="s">
        <v>14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42</v>
      </c>
      <c r="B15" s="17">
        <v>2.0</v>
      </c>
      <c r="C15" s="6" t="s">
        <v>28</v>
      </c>
      <c r="D15" s="6"/>
      <c r="E15" s="6">
        <v>10.0</v>
      </c>
      <c r="F15" s="6">
        <v>10011.0</v>
      </c>
      <c r="G15" s="7">
        <f t="shared" si="1"/>
        <v>28799</v>
      </c>
      <c r="H15" s="7">
        <f t="shared" si="2"/>
        <v>8211</v>
      </c>
      <c r="I15" s="3" t="s">
        <v>43</v>
      </c>
      <c r="J15" s="7">
        <f t="shared" si="3"/>
        <v>-2147475437</v>
      </c>
      <c r="K15" s="7" t="str">
        <f t="shared" si="4"/>
        <v>80002013</v>
      </c>
      <c r="L15" s="7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44</v>
      </c>
      <c r="B16" s="17">
        <v>2.0</v>
      </c>
      <c r="C16" s="6" t="s">
        <v>28</v>
      </c>
      <c r="D16" s="6"/>
      <c r="E16" s="6">
        <v>11.0</v>
      </c>
      <c r="F16" s="6">
        <v>10011.0</v>
      </c>
      <c r="G16" s="7">
        <f t="shared" si="1"/>
        <v>28799</v>
      </c>
      <c r="H16" s="7">
        <f t="shared" si="2"/>
        <v>12307</v>
      </c>
      <c r="I16" s="3" t="s">
        <v>45</v>
      </c>
      <c r="J16" s="7">
        <f t="shared" si="3"/>
        <v>-2147471341</v>
      </c>
      <c r="K16" s="7" t="str">
        <f t="shared" si="4"/>
        <v>80003013</v>
      </c>
      <c r="L16" s="7" t="s">
        <v>14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46</v>
      </c>
      <c r="B17" s="17">
        <v>2.0</v>
      </c>
      <c r="C17" s="6" t="s">
        <v>28</v>
      </c>
      <c r="D17" s="6"/>
      <c r="E17" s="6">
        <v>100.0</v>
      </c>
      <c r="F17" s="6">
        <v>10011.0</v>
      </c>
      <c r="G17" s="7">
        <f t="shared" si="1"/>
        <v>28799</v>
      </c>
      <c r="H17" s="7">
        <f t="shared" si="2"/>
        <v>16403</v>
      </c>
      <c r="I17" s="3" t="s">
        <v>47</v>
      </c>
      <c r="J17" s="7">
        <f t="shared" si="3"/>
        <v>-2147467245</v>
      </c>
      <c r="K17" s="7" t="str">
        <f t="shared" si="4"/>
        <v>80004013</v>
      </c>
      <c r="L17" s="7" t="s">
        <v>14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48</v>
      </c>
      <c r="B18" s="17">
        <v>2.0</v>
      </c>
      <c r="C18" s="6" t="s">
        <v>28</v>
      </c>
      <c r="D18" s="6"/>
      <c r="E18" s="6">
        <v>110.0</v>
      </c>
      <c r="F18" s="6">
        <v>10011.0</v>
      </c>
      <c r="G18" s="7">
        <f t="shared" si="1"/>
        <v>28799</v>
      </c>
      <c r="H18" s="7">
        <f t="shared" si="2"/>
        <v>24595</v>
      </c>
      <c r="I18" s="3" t="s">
        <v>49</v>
      </c>
      <c r="J18" s="7">
        <f t="shared" si="3"/>
        <v>-2147459053</v>
      </c>
      <c r="K18" s="7" t="str">
        <f t="shared" si="4"/>
        <v>80006013</v>
      </c>
      <c r="L18" s="7" t="s">
        <v>14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50</v>
      </c>
      <c r="B19" s="18">
        <v>2.0</v>
      </c>
      <c r="C19" s="11" t="s">
        <v>28</v>
      </c>
      <c r="D19" s="11"/>
      <c r="E19" s="11">
        <v>111.0</v>
      </c>
      <c r="F19" s="11">
        <v>10011.0</v>
      </c>
      <c r="G19" s="12">
        <f t="shared" si="1"/>
        <v>28799</v>
      </c>
      <c r="H19" s="12">
        <f t="shared" si="2"/>
        <v>28691</v>
      </c>
      <c r="I19" s="13" t="s">
        <v>51</v>
      </c>
      <c r="J19" s="12">
        <f t="shared" si="3"/>
        <v>-2147454957</v>
      </c>
      <c r="K19" s="12" t="str">
        <f t="shared" si="4"/>
        <v>80007013</v>
      </c>
      <c r="L19" s="12" t="s">
        <v>14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52</v>
      </c>
      <c r="B20" s="19">
        <v>3.0</v>
      </c>
      <c r="C20" s="11" t="s">
        <v>53</v>
      </c>
      <c r="D20" s="12"/>
      <c r="E20" s="12"/>
      <c r="F20" s="11">
        <v>1101111.0</v>
      </c>
      <c r="G20" s="12">
        <f>G$60</f>
        <v>127</v>
      </c>
      <c r="H20" s="12">
        <f>BIN2DEC(F20)</f>
        <v>111</v>
      </c>
      <c r="I20" s="13" t="s">
        <v>54</v>
      </c>
      <c r="J20" s="12">
        <f t="shared" si="3"/>
        <v>-2147483537</v>
      </c>
      <c r="K20" s="12" t="str">
        <f t="shared" si="4"/>
        <v>8000006F</v>
      </c>
      <c r="L20" s="12" t="s">
        <v>26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55</v>
      </c>
      <c r="B21" s="17">
        <v>2.0</v>
      </c>
      <c r="C21" s="6" t="s">
        <v>56</v>
      </c>
      <c r="D21" s="6">
        <v>0.0</v>
      </c>
      <c r="E21" s="6">
        <v>1.0</v>
      </c>
      <c r="F21" s="6">
        <v>10011.0</v>
      </c>
      <c r="G21" s="7">
        <f t="shared" ref="G21:G33" si="6">(G$59+G$60+G$58)-POWER(2,32)</f>
        <v>-33525633</v>
      </c>
      <c r="H21" s="7">
        <f t="shared" ref="H21:H33" si="7">BIN2DEC(F21)+BITLSHIFT(BIN2DEC(E21),12)+BITLSHIFT(BIN2DEC(D21),25)</f>
        <v>4115</v>
      </c>
      <c r="I21" s="3" t="s">
        <v>57</v>
      </c>
      <c r="J21" s="7">
        <f t="shared" si="3"/>
        <v>-2147479533</v>
      </c>
      <c r="K21" s="7" t="str">
        <f t="shared" si="4"/>
        <v>80001013</v>
      </c>
      <c r="L21" s="7" t="s">
        <v>21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58</v>
      </c>
      <c r="B22" s="17">
        <v>2.0</v>
      </c>
      <c r="C22" s="6" t="s">
        <v>56</v>
      </c>
      <c r="D22" s="6">
        <v>0.0</v>
      </c>
      <c r="E22" s="6">
        <v>101.0</v>
      </c>
      <c r="F22" s="6">
        <v>10011.0</v>
      </c>
      <c r="G22" s="7">
        <f t="shared" si="6"/>
        <v>-33525633</v>
      </c>
      <c r="H22" s="7">
        <f t="shared" si="7"/>
        <v>20499</v>
      </c>
      <c r="I22" s="3" t="s">
        <v>59</v>
      </c>
      <c r="J22" s="7">
        <f t="shared" si="3"/>
        <v>-2147463149</v>
      </c>
      <c r="K22" s="7" t="str">
        <f t="shared" si="4"/>
        <v>80005013</v>
      </c>
      <c r="L22" s="7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60</v>
      </c>
      <c r="B23" s="17">
        <v>2.0</v>
      </c>
      <c r="C23" s="6" t="s">
        <v>56</v>
      </c>
      <c r="D23" s="6">
        <v>100000.0</v>
      </c>
      <c r="E23" s="6">
        <v>101.0</v>
      </c>
      <c r="F23" s="6">
        <v>10011.0</v>
      </c>
      <c r="G23" s="7">
        <f t="shared" si="6"/>
        <v>-33525633</v>
      </c>
      <c r="H23" s="7">
        <f t="shared" si="7"/>
        <v>1073762323</v>
      </c>
      <c r="I23" s="3" t="s">
        <v>61</v>
      </c>
      <c r="J23" s="7">
        <f t="shared" si="3"/>
        <v>-1073721325</v>
      </c>
      <c r="K23" s="7" t="str">
        <f t="shared" si="4"/>
        <v>C0005013</v>
      </c>
      <c r="L23" s="7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62</v>
      </c>
      <c r="B24" s="17">
        <v>2.0</v>
      </c>
      <c r="C24" s="6" t="s">
        <v>56</v>
      </c>
      <c r="D24" s="6">
        <v>0.0</v>
      </c>
      <c r="E24" s="6">
        <v>0.0</v>
      </c>
      <c r="F24" s="6">
        <v>110011.0</v>
      </c>
      <c r="G24" s="7">
        <f t="shared" si="6"/>
        <v>-33525633</v>
      </c>
      <c r="H24" s="7">
        <f t="shared" si="7"/>
        <v>51</v>
      </c>
      <c r="I24" s="3" t="s">
        <v>63</v>
      </c>
      <c r="J24" s="7">
        <f t="shared" si="3"/>
        <v>-2147483597</v>
      </c>
      <c r="K24" s="7" t="str">
        <f t="shared" si="4"/>
        <v>80000033</v>
      </c>
      <c r="L24" s="7" t="s">
        <v>21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64</v>
      </c>
      <c r="B25" s="17">
        <v>2.0</v>
      </c>
      <c r="C25" s="20" t="s">
        <v>56</v>
      </c>
      <c r="D25" s="20">
        <v>100000.0</v>
      </c>
      <c r="E25" s="20">
        <v>0.0</v>
      </c>
      <c r="F25" s="20">
        <v>110011.0</v>
      </c>
      <c r="G25" s="21">
        <f t="shared" si="6"/>
        <v>-33525633</v>
      </c>
      <c r="H25" s="21">
        <f t="shared" si="7"/>
        <v>1073741875</v>
      </c>
      <c r="I25" s="22" t="s">
        <v>65</v>
      </c>
      <c r="J25" s="21">
        <f t="shared" si="3"/>
        <v>-1073741773</v>
      </c>
      <c r="K25" s="21" t="str">
        <f t="shared" si="4"/>
        <v>C0000033</v>
      </c>
      <c r="L25" s="21" t="s">
        <v>21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4" t="s">
        <v>66</v>
      </c>
      <c r="B26" s="14">
        <v>3.0</v>
      </c>
      <c r="C26" s="6" t="s">
        <v>56</v>
      </c>
      <c r="D26" s="6">
        <v>0.0</v>
      </c>
      <c r="E26" s="6">
        <v>1.0</v>
      </c>
      <c r="F26" s="6">
        <v>110011.0</v>
      </c>
      <c r="G26" s="7">
        <f t="shared" si="6"/>
        <v>-33525633</v>
      </c>
      <c r="H26" s="7">
        <f t="shared" si="7"/>
        <v>4147</v>
      </c>
      <c r="I26" s="3" t="s">
        <v>67</v>
      </c>
      <c r="J26" s="7">
        <f t="shared" si="3"/>
        <v>-2147479501</v>
      </c>
      <c r="K26" s="7" t="str">
        <f t="shared" si="4"/>
        <v>80001033</v>
      </c>
      <c r="L26" s="7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68</v>
      </c>
      <c r="B27" s="24">
        <v>3.0</v>
      </c>
      <c r="C27" s="6" t="s">
        <v>56</v>
      </c>
      <c r="D27" s="6">
        <v>0.0</v>
      </c>
      <c r="E27" s="6">
        <v>10.0</v>
      </c>
      <c r="F27" s="6">
        <v>110011.0</v>
      </c>
      <c r="G27" s="7">
        <f t="shared" si="6"/>
        <v>-33525633</v>
      </c>
      <c r="H27" s="7">
        <f t="shared" si="7"/>
        <v>8243</v>
      </c>
      <c r="I27" s="3" t="s">
        <v>69</v>
      </c>
      <c r="J27" s="7">
        <f t="shared" si="3"/>
        <v>-2147475405</v>
      </c>
      <c r="K27" s="7" t="str">
        <f t="shared" si="4"/>
        <v>80002033</v>
      </c>
      <c r="L27" s="7" t="s">
        <v>21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70</v>
      </c>
      <c r="B28" s="14">
        <v>3.0</v>
      </c>
      <c r="C28" s="6" t="s">
        <v>56</v>
      </c>
      <c r="D28" s="6">
        <v>0.0</v>
      </c>
      <c r="E28" s="6">
        <v>11.0</v>
      </c>
      <c r="F28" s="6">
        <v>110011.0</v>
      </c>
      <c r="G28" s="7">
        <f t="shared" si="6"/>
        <v>-33525633</v>
      </c>
      <c r="H28" s="7">
        <f t="shared" si="7"/>
        <v>12339</v>
      </c>
      <c r="I28" s="3" t="s">
        <v>71</v>
      </c>
      <c r="J28" s="7">
        <f t="shared" si="3"/>
        <v>-2147471309</v>
      </c>
      <c r="K28" s="7" t="str">
        <f t="shared" si="4"/>
        <v>80003033</v>
      </c>
      <c r="L28" s="7" t="s">
        <v>21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72</v>
      </c>
      <c r="B29" s="14">
        <v>3.0</v>
      </c>
      <c r="C29" s="6" t="s">
        <v>56</v>
      </c>
      <c r="D29" s="6">
        <v>0.0</v>
      </c>
      <c r="E29" s="6">
        <v>100.0</v>
      </c>
      <c r="F29" s="6">
        <v>110011.0</v>
      </c>
      <c r="G29" s="7">
        <f t="shared" si="6"/>
        <v>-33525633</v>
      </c>
      <c r="H29" s="7">
        <f t="shared" si="7"/>
        <v>16435</v>
      </c>
      <c r="I29" s="3" t="s">
        <v>73</v>
      </c>
      <c r="J29" s="7">
        <f t="shared" si="3"/>
        <v>-2147467213</v>
      </c>
      <c r="K29" s="7" t="str">
        <f t="shared" si="4"/>
        <v>80004033</v>
      </c>
      <c r="L29" s="7" t="s">
        <v>21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74</v>
      </c>
      <c r="B30" s="14">
        <v>3.0</v>
      </c>
      <c r="C30" s="6" t="s">
        <v>56</v>
      </c>
      <c r="D30" s="6">
        <v>0.0</v>
      </c>
      <c r="E30" s="6">
        <v>101.0</v>
      </c>
      <c r="F30" s="6">
        <v>110011.0</v>
      </c>
      <c r="G30" s="7">
        <f t="shared" si="6"/>
        <v>-33525633</v>
      </c>
      <c r="H30" s="7">
        <f t="shared" si="7"/>
        <v>20531</v>
      </c>
      <c r="I30" s="3" t="s">
        <v>75</v>
      </c>
      <c r="J30" s="7">
        <f t="shared" si="3"/>
        <v>-2147463117</v>
      </c>
      <c r="K30" s="7" t="str">
        <f t="shared" si="4"/>
        <v>80005033</v>
      </c>
      <c r="L30" s="7" t="s">
        <v>21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76</v>
      </c>
      <c r="B31" s="14">
        <v>3.0</v>
      </c>
      <c r="C31" s="6" t="s">
        <v>56</v>
      </c>
      <c r="D31" s="6">
        <v>100000.0</v>
      </c>
      <c r="E31" s="6">
        <v>101.0</v>
      </c>
      <c r="F31" s="6">
        <v>110011.0</v>
      </c>
      <c r="G31" s="7">
        <f t="shared" si="6"/>
        <v>-33525633</v>
      </c>
      <c r="H31" s="7">
        <f t="shared" si="7"/>
        <v>1073762355</v>
      </c>
      <c r="I31" s="3" t="s">
        <v>77</v>
      </c>
      <c r="J31" s="7">
        <f t="shared" si="3"/>
        <v>-1073721293</v>
      </c>
      <c r="K31" s="7" t="str">
        <f t="shared" si="4"/>
        <v>C0005033</v>
      </c>
      <c r="L31" s="7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78</v>
      </c>
      <c r="B32" s="14">
        <v>3.0</v>
      </c>
      <c r="C32" s="6" t="s">
        <v>56</v>
      </c>
      <c r="D32" s="6">
        <v>0.0</v>
      </c>
      <c r="E32" s="6">
        <v>110.0</v>
      </c>
      <c r="F32" s="6">
        <v>110011.0</v>
      </c>
      <c r="G32" s="7">
        <f t="shared" si="6"/>
        <v>-33525633</v>
      </c>
      <c r="H32" s="7">
        <f t="shared" si="7"/>
        <v>24627</v>
      </c>
      <c r="I32" s="3" t="s">
        <v>79</v>
      </c>
      <c r="J32" s="7">
        <f t="shared" si="3"/>
        <v>-2147459021</v>
      </c>
      <c r="K32" s="7" t="str">
        <f t="shared" si="4"/>
        <v>80006033</v>
      </c>
      <c r="L32" s="7" t="s">
        <v>21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 t="s">
        <v>80</v>
      </c>
      <c r="B33" s="19">
        <v>3.0</v>
      </c>
      <c r="C33" s="11" t="s">
        <v>56</v>
      </c>
      <c r="D33" s="11">
        <v>0.0</v>
      </c>
      <c r="E33" s="11">
        <v>111.0</v>
      </c>
      <c r="F33" s="11">
        <v>110011.0</v>
      </c>
      <c r="G33" s="12">
        <f t="shared" si="6"/>
        <v>-33525633</v>
      </c>
      <c r="H33" s="12">
        <f t="shared" si="7"/>
        <v>28723</v>
      </c>
      <c r="I33" s="13" t="s">
        <v>81</v>
      </c>
      <c r="J33" s="12">
        <f t="shared" si="3"/>
        <v>-2147454925</v>
      </c>
      <c r="K33" s="12" t="str">
        <f t="shared" si="4"/>
        <v>80007033</v>
      </c>
      <c r="L33" s="12" t="s">
        <v>21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82</v>
      </c>
      <c r="B34" s="14">
        <v>3.0</v>
      </c>
      <c r="C34" s="6" t="s">
        <v>83</v>
      </c>
      <c r="D34" s="6"/>
      <c r="E34" s="6">
        <v>0.0</v>
      </c>
      <c r="F34" s="6">
        <v>100011.0</v>
      </c>
      <c r="G34" s="7">
        <f t="shared" ref="G34:G36" si="8">G$59+G$60</f>
        <v>28799</v>
      </c>
      <c r="H34" s="7">
        <f t="shared" ref="H34:H36" si="9">BIN2DEC(F34)+BITLSHIFT(BIN2DEC(E34),12)</f>
        <v>35</v>
      </c>
      <c r="I34" s="3" t="s">
        <v>84</v>
      </c>
      <c r="J34" s="7">
        <f t="shared" si="3"/>
        <v>-2147483613</v>
      </c>
      <c r="K34" s="7" t="str">
        <f t="shared" si="4"/>
        <v>80000023</v>
      </c>
      <c r="L34" s="7" t="s">
        <v>14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85</v>
      </c>
      <c r="B35" s="14">
        <v>3.0</v>
      </c>
      <c r="C35" s="6" t="s">
        <v>83</v>
      </c>
      <c r="D35" s="6"/>
      <c r="E35" s="6">
        <v>1.0</v>
      </c>
      <c r="F35" s="6">
        <v>100011.0</v>
      </c>
      <c r="G35" s="7">
        <f t="shared" si="8"/>
        <v>28799</v>
      </c>
      <c r="H35" s="7">
        <f t="shared" si="9"/>
        <v>4131</v>
      </c>
      <c r="I35" s="3" t="s">
        <v>86</v>
      </c>
      <c r="J35" s="7">
        <f t="shared" si="3"/>
        <v>-2147479517</v>
      </c>
      <c r="K35" s="7" t="str">
        <f t="shared" si="4"/>
        <v>80001023</v>
      </c>
      <c r="L35" s="7" t="s">
        <v>14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9" t="s">
        <v>87</v>
      </c>
      <c r="B36" s="19">
        <v>3.0</v>
      </c>
      <c r="C36" s="11" t="s">
        <v>83</v>
      </c>
      <c r="D36" s="11"/>
      <c r="E36" s="11">
        <v>10.0</v>
      </c>
      <c r="F36" s="11">
        <v>100011.0</v>
      </c>
      <c r="G36" s="12">
        <f t="shared" si="8"/>
        <v>28799</v>
      </c>
      <c r="H36" s="12">
        <f t="shared" si="9"/>
        <v>8227</v>
      </c>
      <c r="I36" s="13" t="s">
        <v>88</v>
      </c>
      <c r="J36" s="12">
        <f t="shared" si="3"/>
        <v>-2147475421</v>
      </c>
      <c r="K36" s="12" t="str">
        <f t="shared" si="4"/>
        <v>80002023</v>
      </c>
      <c r="L36" s="12" t="s">
        <v>14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89</v>
      </c>
      <c r="B37" s="17">
        <v>2.0</v>
      </c>
      <c r="C37" s="6" t="s">
        <v>90</v>
      </c>
      <c r="D37" s="7"/>
      <c r="E37" s="7"/>
      <c r="F37" s="6">
        <v>110111.0</v>
      </c>
      <c r="G37" s="7">
        <f t="shared" ref="G37:G38" si="10">G$60</f>
        <v>127</v>
      </c>
      <c r="H37" s="7">
        <f t="shared" ref="H37:H38" si="11">BIN2DEC(F37)</f>
        <v>55</v>
      </c>
      <c r="I37" s="3" t="s">
        <v>91</v>
      </c>
      <c r="J37" s="7">
        <f t="shared" si="3"/>
        <v>-2147483593</v>
      </c>
      <c r="K37" s="7" t="str">
        <f t="shared" si="4"/>
        <v>80000037</v>
      </c>
      <c r="L37" s="7" t="s">
        <v>26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9" t="s">
        <v>92</v>
      </c>
      <c r="B38" s="18">
        <v>2.0</v>
      </c>
      <c r="C38" s="11" t="s">
        <v>90</v>
      </c>
      <c r="D38" s="12"/>
      <c r="E38" s="12"/>
      <c r="F38" s="11">
        <v>10111.0</v>
      </c>
      <c r="G38" s="12">
        <f t="shared" si="10"/>
        <v>127</v>
      </c>
      <c r="H38" s="12">
        <f t="shared" si="11"/>
        <v>23</v>
      </c>
      <c r="I38" s="13" t="s">
        <v>93</v>
      </c>
      <c r="J38" s="12">
        <f t="shared" si="3"/>
        <v>-2147483625</v>
      </c>
      <c r="K38" s="12" t="str">
        <f t="shared" si="4"/>
        <v>80000017</v>
      </c>
      <c r="L38" s="12" t="s">
        <v>26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5" t="s">
        <v>94</v>
      </c>
      <c r="B39" s="2"/>
      <c r="C39" s="2"/>
      <c r="D39" s="2"/>
      <c r="E39" s="3">
        <v>0.0</v>
      </c>
      <c r="F39" s="3">
        <v>1111.0</v>
      </c>
      <c r="G39" s="7">
        <f t="shared" ref="G39:G41" si="12">G$59+G$60</f>
        <v>28799</v>
      </c>
      <c r="H39" s="7">
        <f t="shared" ref="H39:H41" si="13">BIN2DEC(F39)+BITLSHIFT(BIN2DEC(E39),12)</f>
        <v>15</v>
      </c>
      <c r="I39" s="3" t="s">
        <v>95</v>
      </c>
      <c r="J39" s="7">
        <f t="shared" si="3"/>
        <v>-2147483633</v>
      </c>
      <c r="K39" s="7" t="str">
        <f t="shared" si="4"/>
        <v>8000000F</v>
      </c>
      <c r="L39" s="7" t="s">
        <v>14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5" t="s">
        <v>96</v>
      </c>
      <c r="B40" s="2"/>
      <c r="C40" s="2"/>
      <c r="D40" s="2"/>
      <c r="E40" s="3">
        <v>0.0</v>
      </c>
      <c r="F40" s="3">
        <v>1110011.0</v>
      </c>
      <c r="G40" s="7">
        <f t="shared" si="12"/>
        <v>28799</v>
      </c>
      <c r="H40" s="7">
        <f t="shared" si="13"/>
        <v>115</v>
      </c>
      <c r="I40" s="3" t="s">
        <v>97</v>
      </c>
      <c r="J40" s="7">
        <f t="shared" si="3"/>
        <v>-2147483533</v>
      </c>
      <c r="K40" s="7" t="str">
        <f t="shared" si="4"/>
        <v>80000073</v>
      </c>
      <c r="L40" s="7" t="s">
        <v>14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5" t="s">
        <v>98</v>
      </c>
      <c r="B41" s="2"/>
      <c r="C41" s="2"/>
      <c r="D41" s="2"/>
      <c r="E41" s="3">
        <v>0.0</v>
      </c>
      <c r="F41" s="3">
        <v>1110011.0</v>
      </c>
      <c r="G41" s="7">
        <f t="shared" si="12"/>
        <v>28799</v>
      </c>
      <c r="H41" s="7">
        <f t="shared" si="13"/>
        <v>115</v>
      </c>
      <c r="I41" s="3" t="s">
        <v>99</v>
      </c>
      <c r="J41" s="7">
        <f t="shared" si="3"/>
        <v>-2147483533</v>
      </c>
      <c r="K41" s="7" t="str">
        <f t="shared" si="4"/>
        <v>80000073</v>
      </c>
      <c r="L41" s="7" t="s">
        <v>14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6" t="s">
        <v>100</v>
      </c>
      <c r="B42" s="27">
        <v>3.0</v>
      </c>
      <c r="C42" s="28" t="s">
        <v>56</v>
      </c>
      <c r="D42" s="29">
        <v>1.0</v>
      </c>
      <c r="E42" s="29">
        <v>0.0</v>
      </c>
      <c r="F42" s="29">
        <v>110011.0</v>
      </c>
      <c r="G42" s="30">
        <f t="shared" ref="G42:G49" si="14">(G$59+G$60+G$58)-POWER(2,32)</f>
        <v>-33525633</v>
      </c>
      <c r="H42" s="30">
        <f t="shared" ref="H42:H49" si="15">BIN2DEC(F42)+BITLSHIFT(BIN2DEC(E42),12)+BITLSHIFT(BIN2DEC(D42),25)</f>
        <v>33554483</v>
      </c>
      <c r="I42" s="30" t="s">
        <v>101</v>
      </c>
      <c r="J42" s="30">
        <f t="shared" si="3"/>
        <v>-2113929165</v>
      </c>
      <c r="K42" s="30" t="str">
        <f t="shared" si="4"/>
        <v>82000033</v>
      </c>
      <c r="L42" s="30" t="s">
        <v>21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1" t="s">
        <v>102</v>
      </c>
      <c r="B43" s="15">
        <v>6.0</v>
      </c>
      <c r="C43" s="6" t="s">
        <v>56</v>
      </c>
      <c r="D43" s="3">
        <v>1.0</v>
      </c>
      <c r="E43" s="3">
        <v>1.0</v>
      </c>
      <c r="F43" s="3">
        <v>110011.0</v>
      </c>
      <c r="G43" s="7">
        <f t="shared" si="14"/>
        <v>-33525633</v>
      </c>
      <c r="H43" s="7">
        <f t="shared" si="15"/>
        <v>33558579</v>
      </c>
      <c r="I43" s="7" t="s">
        <v>103</v>
      </c>
      <c r="J43" s="7">
        <f t="shared" si="3"/>
        <v>-2113925069</v>
      </c>
      <c r="K43" s="7" t="str">
        <f t="shared" si="4"/>
        <v>82001033</v>
      </c>
      <c r="L43" s="7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1" t="s">
        <v>104</v>
      </c>
      <c r="B44" s="15">
        <v>6.0</v>
      </c>
      <c r="C44" s="6" t="s">
        <v>56</v>
      </c>
      <c r="D44" s="3">
        <v>1.0</v>
      </c>
      <c r="E44" s="3">
        <v>10.0</v>
      </c>
      <c r="F44" s="3">
        <v>110011.0</v>
      </c>
      <c r="G44" s="7">
        <f t="shared" si="14"/>
        <v>-33525633</v>
      </c>
      <c r="H44" s="7">
        <f t="shared" si="15"/>
        <v>33562675</v>
      </c>
      <c r="I44" s="7" t="s">
        <v>105</v>
      </c>
      <c r="J44" s="7">
        <f t="shared" si="3"/>
        <v>-2113920973</v>
      </c>
      <c r="K44" s="7" t="str">
        <f t="shared" si="4"/>
        <v>82002033</v>
      </c>
      <c r="L44" s="7" t="s">
        <v>21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1" t="s">
        <v>106</v>
      </c>
      <c r="B45" s="15">
        <v>6.0</v>
      </c>
      <c r="C45" s="6" t="s">
        <v>56</v>
      </c>
      <c r="D45" s="3">
        <v>1.0</v>
      </c>
      <c r="E45" s="3">
        <v>11.0</v>
      </c>
      <c r="F45" s="3">
        <v>110011.0</v>
      </c>
      <c r="G45" s="7">
        <f t="shared" si="14"/>
        <v>-33525633</v>
      </c>
      <c r="H45" s="7">
        <f t="shared" si="15"/>
        <v>33566771</v>
      </c>
      <c r="I45" s="7" t="s">
        <v>107</v>
      </c>
      <c r="J45" s="7">
        <f t="shared" si="3"/>
        <v>-2113916877</v>
      </c>
      <c r="K45" s="7" t="str">
        <f t="shared" si="4"/>
        <v>82003033</v>
      </c>
      <c r="L45" s="7" t="s">
        <v>21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1" t="s">
        <v>108</v>
      </c>
      <c r="B46" s="14">
        <v>3.0</v>
      </c>
      <c r="C46" s="6" t="s">
        <v>56</v>
      </c>
      <c r="D46" s="3">
        <v>1.0</v>
      </c>
      <c r="E46" s="3">
        <v>100.0</v>
      </c>
      <c r="F46" s="3">
        <v>110011.0</v>
      </c>
      <c r="G46" s="7">
        <f t="shared" si="14"/>
        <v>-33525633</v>
      </c>
      <c r="H46" s="7">
        <f t="shared" si="15"/>
        <v>33570867</v>
      </c>
      <c r="I46" s="7" t="s">
        <v>109</v>
      </c>
      <c r="J46" s="7">
        <f t="shared" si="3"/>
        <v>-2113912781</v>
      </c>
      <c r="K46" s="7" t="str">
        <f t="shared" si="4"/>
        <v>82004033</v>
      </c>
      <c r="L46" s="7" t="s">
        <v>21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1" t="s">
        <v>110</v>
      </c>
      <c r="B47" s="14">
        <v>3.0</v>
      </c>
      <c r="C47" s="6" t="s">
        <v>56</v>
      </c>
      <c r="D47" s="3">
        <v>1.0</v>
      </c>
      <c r="E47" s="3">
        <v>110.0</v>
      </c>
      <c r="F47" s="3">
        <v>110011.0</v>
      </c>
      <c r="G47" s="7">
        <f t="shared" si="14"/>
        <v>-33525633</v>
      </c>
      <c r="H47" s="7">
        <f t="shared" si="15"/>
        <v>33579059</v>
      </c>
      <c r="I47" s="7" t="s">
        <v>111</v>
      </c>
      <c r="J47" s="7">
        <f t="shared" si="3"/>
        <v>-2113904589</v>
      </c>
      <c r="K47" s="7" t="str">
        <f t="shared" si="4"/>
        <v>82006033</v>
      </c>
      <c r="L47" s="7" t="s">
        <v>21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1" t="s">
        <v>112</v>
      </c>
      <c r="B48" s="15">
        <v>6.0</v>
      </c>
      <c r="C48" s="6" t="s">
        <v>56</v>
      </c>
      <c r="D48" s="3">
        <v>1.0</v>
      </c>
      <c r="E48" s="3">
        <v>101.0</v>
      </c>
      <c r="F48" s="3">
        <v>110011.0</v>
      </c>
      <c r="G48" s="7">
        <f t="shared" si="14"/>
        <v>-33525633</v>
      </c>
      <c r="H48" s="7">
        <f t="shared" si="15"/>
        <v>33574963</v>
      </c>
      <c r="I48" s="7" t="s">
        <v>113</v>
      </c>
      <c r="J48" s="7">
        <f t="shared" si="3"/>
        <v>-2113908685</v>
      </c>
      <c r="K48" s="7" t="str">
        <f t="shared" si="4"/>
        <v>82005033</v>
      </c>
      <c r="L48" s="7" t="s">
        <v>21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1" t="s">
        <v>114</v>
      </c>
      <c r="B49" s="15">
        <v>6.0</v>
      </c>
      <c r="C49" s="6" t="s">
        <v>56</v>
      </c>
      <c r="D49" s="3">
        <v>1.0</v>
      </c>
      <c r="E49" s="3">
        <v>111.0</v>
      </c>
      <c r="F49" s="3">
        <v>110011.0</v>
      </c>
      <c r="G49" s="7">
        <f t="shared" si="14"/>
        <v>-33525633</v>
      </c>
      <c r="H49" s="7">
        <f t="shared" si="15"/>
        <v>33583155</v>
      </c>
      <c r="I49" s="7" t="s">
        <v>115</v>
      </c>
      <c r="J49" s="7">
        <f t="shared" si="3"/>
        <v>-2113900493</v>
      </c>
      <c r="K49" s="7" t="str">
        <f t="shared" si="4"/>
        <v>82007033</v>
      </c>
      <c r="L49" s="7" t="s">
        <v>21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>
        <v>-2.147483648E9</v>
      </c>
      <c r="P56" s="3">
        <v>2.147483646E9</v>
      </c>
      <c r="Q56" s="3">
        <v>1.0</v>
      </c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32" t="s">
        <v>116</v>
      </c>
      <c r="H57" s="2"/>
      <c r="I57" s="2"/>
      <c r="J57" s="2"/>
      <c r="K57" s="2"/>
      <c r="L57" s="2"/>
      <c r="M57" s="2"/>
      <c r="N57" s="2"/>
      <c r="O57" s="2">
        <f>O56+P56</f>
        <v>-2</v>
      </c>
      <c r="P57" s="2"/>
      <c r="Q57" s="2">
        <f>Q56+P56</f>
        <v>2147483647</v>
      </c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>
        <f>BITLSHIFT(BIN2DEC(1111111),25)</f>
        <v>4261412864</v>
      </c>
      <c r="H58" s="2"/>
      <c r="I58" s="2"/>
      <c r="J58" s="2"/>
      <c r="K58" s="2"/>
      <c r="L58" s="2"/>
      <c r="M58" s="2"/>
      <c r="N58" s="2"/>
      <c r="O58" s="2">
        <f>O56+Q56</f>
        <v>-2147483647</v>
      </c>
      <c r="P58" s="2">
        <f>O56+P56+Q56</f>
        <v>-1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>
        <f>BITLSHIFT(BIN2DEC(111),12)</f>
        <v>28672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>
        <f>BITLSHIFT(BIN2DEC(1111111),0)</f>
        <v>127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3" t="s">
        <v>117</v>
      </c>
      <c r="D62" s="3">
        <v>45089.0</v>
      </c>
      <c r="E62" s="2">
        <f t="shared" ref="E62:E65" si="16">D62/D$67</f>
        <v>0.2001269407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3" t="s">
        <v>118</v>
      </c>
      <c r="D63" s="3">
        <v>73468.0</v>
      </c>
      <c r="E63" s="2">
        <f t="shared" si="16"/>
        <v>0.3260867635</v>
      </c>
      <c r="F63" s="2">
        <f>E62+E63</f>
        <v>0.5262137043</v>
      </c>
      <c r="G63" s="32" t="s">
        <v>119</v>
      </c>
      <c r="H63" s="32" t="s">
        <v>120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3" t="s">
        <v>121</v>
      </c>
      <c r="D64" s="3">
        <v>48505.0</v>
      </c>
      <c r="E64" s="2">
        <f t="shared" si="16"/>
        <v>0.2152888123</v>
      </c>
      <c r="F64" s="2"/>
      <c r="G64" s="3">
        <v>7.0</v>
      </c>
      <c r="H64" s="3" t="s">
        <v>56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3" t="s">
        <v>122</v>
      </c>
      <c r="D65" s="3">
        <v>58240.0</v>
      </c>
      <c r="E65" s="2">
        <f t="shared" si="16"/>
        <v>0.2584974834</v>
      </c>
      <c r="F65" s="2"/>
      <c r="G65" s="3">
        <v>15.0</v>
      </c>
      <c r="H65" s="3" t="s">
        <v>123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3">
        <v>20.0</v>
      </c>
      <c r="H66" s="3" t="s">
        <v>12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>
        <f>SUM(D62:D65)</f>
        <v>225302</v>
      </c>
      <c r="E67" s="2"/>
      <c r="F67" s="2"/>
      <c r="G67" s="3">
        <v>20.0</v>
      </c>
      <c r="H67" s="3" t="s">
        <v>28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>
        <f>1</f>
        <v>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>
        <f t="shared" ref="D77:D107" si="17">D76*2</f>
        <v>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>
        <f t="shared" si="17"/>
        <v>4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>
        <f t="shared" si="17"/>
        <v>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>
        <f t="shared" si="17"/>
        <v>16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>
        <f t="shared" si="17"/>
        <v>32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>
        <f t="shared" si="17"/>
        <v>64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>
        <f t="shared" si="17"/>
        <v>128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>
        <f t="shared" si="17"/>
        <v>256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>
        <f t="shared" si="17"/>
        <v>512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>
        <f t="shared" si="17"/>
        <v>1024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>
        <f t="shared" si="17"/>
        <v>2048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>
        <f t="shared" si="17"/>
        <v>4096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>
        <f t="shared" si="17"/>
        <v>8192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>
        <f t="shared" si="17"/>
        <v>16384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>
        <f t="shared" si="17"/>
        <v>32768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>
        <f t="shared" si="17"/>
        <v>65536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>
        <f t="shared" si="17"/>
        <v>131072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>
        <f t="shared" si="17"/>
        <v>262144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>
        <f t="shared" si="17"/>
        <v>524288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>
        <f t="shared" si="17"/>
        <v>1048576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>
        <f t="shared" si="17"/>
        <v>2097152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>
        <f t="shared" si="17"/>
        <v>4194304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>
        <f t="shared" si="17"/>
        <v>8388608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>
        <f t="shared" si="17"/>
        <v>16777216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>
        <f t="shared" si="17"/>
        <v>33554432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>
        <f t="shared" si="17"/>
        <v>67108864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>
        <f t="shared" si="17"/>
        <v>134217728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>
        <f t="shared" si="17"/>
        <v>268435456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>
        <f t="shared" si="17"/>
        <v>536870912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>
        <f t="shared" si="17"/>
        <v>1073741824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>
        <f t="shared" si="17"/>
        <v>2147483648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3.43"/>
  </cols>
  <sheetData>
    <row r="1">
      <c r="A1" s="33" t="s">
        <v>124</v>
      </c>
      <c r="B1" s="33" t="s">
        <v>125</v>
      </c>
      <c r="C1" s="33" t="s">
        <v>126</v>
      </c>
      <c r="G1" s="33" t="s">
        <v>127</v>
      </c>
      <c r="H1" s="33" t="s">
        <v>128</v>
      </c>
      <c r="I1" s="33"/>
    </row>
    <row r="2">
      <c r="A2" s="34" t="s">
        <v>129</v>
      </c>
      <c r="B2" s="35">
        <v>1.3113296E7</v>
      </c>
      <c r="C2" s="35">
        <v>6.0864591E7</v>
      </c>
      <c r="D2" s="36">
        <f t="shared" ref="D2:D21" si="1">ROUND(C2/B2,3)</f>
        <v>4.641</v>
      </c>
      <c r="E2" s="37">
        <v>3.7165047E7</v>
      </c>
      <c r="F2" s="36">
        <f>ROUND(E2/$B2,3)</f>
        <v>2.834</v>
      </c>
      <c r="G2" s="8">
        <f>ROUND((1/E2-1/C2)/(1/C2)*100,1)</f>
        <v>63.8</v>
      </c>
      <c r="H2" s="35">
        <v>595870.0</v>
      </c>
      <c r="I2" s="36">
        <f>ROUND((B2-H2)/B2*100,2)</f>
        <v>95.46</v>
      </c>
    </row>
    <row r="3">
      <c r="A3" s="34" t="s">
        <v>130</v>
      </c>
      <c r="B3" s="35">
        <v>5109583.0</v>
      </c>
      <c r="C3" s="35">
        <v>2.5256785E7</v>
      </c>
      <c r="D3" s="36">
        <f t="shared" si="1"/>
        <v>4.943</v>
      </c>
      <c r="E3" s="38"/>
      <c r="F3" s="36"/>
      <c r="I3" s="36"/>
    </row>
    <row r="4">
      <c r="A4" s="34" t="s">
        <v>131</v>
      </c>
      <c r="B4" s="35">
        <v>4321841.0</v>
      </c>
      <c r="C4" s="35">
        <v>1.9888072E7</v>
      </c>
      <c r="D4" s="36">
        <f t="shared" si="1"/>
        <v>4.602</v>
      </c>
      <c r="E4" s="38"/>
      <c r="F4" s="36"/>
      <c r="I4" s="36"/>
    </row>
    <row r="5">
      <c r="A5" s="34" t="s">
        <v>132</v>
      </c>
      <c r="B5" s="35">
        <v>3064590.0</v>
      </c>
      <c r="C5" s="35">
        <v>1.4647531E7</v>
      </c>
      <c r="D5" s="36">
        <f t="shared" si="1"/>
        <v>4.78</v>
      </c>
      <c r="E5" s="38"/>
      <c r="F5" s="36"/>
      <c r="I5" s="36"/>
    </row>
    <row r="6">
      <c r="A6" s="34" t="s">
        <v>133</v>
      </c>
      <c r="B6" s="35">
        <v>2692346.0</v>
      </c>
      <c r="C6" s="35">
        <v>1.2498103E7</v>
      </c>
      <c r="D6" s="36">
        <f t="shared" si="1"/>
        <v>4.642</v>
      </c>
      <c r="E6" s="38"/>
      <c r="F6" s="36"/>
      <c r="I6" s="39"/>
    </row>
    <row r="7">
      <c r="A7" s="34" t="s">
        <v>134</v>
      </c>
      <c r="B7" s="35">
        <v>1251369.0</v>
      </c>
      <c r="C7" s="35">
        <v>5830378.0</v>
      </c>
      <c r="D7" s="36">
        <f t="shared" si="1"/>
        <v>4.659</v>
      </c>
      <c r="E7" s="38"/>
      <c r="F7" s="36"/>
      <c r="I7" s="36"/>
    </row>
    <row r="8">
      <c r="A8" s="34" t="s">
        <v>135</v>
      </c>
      <c r="B8" s="35">
        <v>1025041.0</v>
      </c>
      <c r="C8" s="35">
        <v>4881350.0</v>
      </c>
      <c r="D8" s="36">
        <f t="shared" si="1"/>
        <v>4.762</v>
      </c>
      <c r="E8" s="38"/>
      <c r="F8" s="36"/>
      <c r="I8" s="36"/>
    </row>
    <row r="9">
      <c r="A9" s="34" t="s">
        <v>136</v>
      </c>
      <c r="B9" s="35">
        <v>847449.0</v>
      </c>
      <c r="C9" s="35">
        <v>4003593.0</v>
      </c>
      <c r="D9" s="36">
        <f t="shared" si="1"/>
        <v>4.724</v>
      </c>
      <c r="E9" s="38"/>
      <c r="F9" s="36"/>
      <c r="I9" s="36"/>
    </row>
    <row r="10">
      <c r="A10" s="34" t="s">
        <v>137</v>
      </c>
      <c r="B10" s="35">
        <v>688261.0</v>
      </c>
      <c r="C10" s="35">
        <v>3274661.0</v>
      </c>
      <c r="D10" s="36">
        <f t="shared" si="1"/>
        <v>4.758</v>
      </c>
      <c r="E10" s="38"/>
      <c r="F10" s="36"/>
      <c r="I10" s="36"/>
    </row>
    <row r="11">
      <c r="A11" s="34" t="s">
        <v>138</v>
      </c>
      <c r="B11" s="35">
        <v>225303.0</v>
      </c>
      <c r="C11" s="35">
        <v>1120201.0</v>
      </c>
      <c r="D11" s="36">
        <f t="shared" si="1"/>
        <v>4.972</v>
      </c>
      <c r="E11" s="37">
        <v>734312.0</v>
      </c>
      <c r="F11" s="36">
        <f t="shared" ref="F11:F22" si="2">ROUND(E11/$B11,3)</f>
        <v>3.259</v>
      </c>
      <c r="G11" s="8">
        <f t="shared" ref="G11:G22" si="3">ROUND((1/E11-1/C11)/(1/C11)*100,1)</f>
        <v>52.6</v>
      </c>
      <c r="H11" s="35">
        <v>179.0</v>
      </c>
      <c r="I11" s="36">
        <f t="shared" ref="I11:I22" si="4">ROUND((B11-H11)/B11*100,2)</f>
        <v>99.92</v>
      </c>
    </row>
    <row r="12">
      <c r="A12" s="34" t="s">
        <v>139</v>
      </c>
      <c r="B12" s="35">
        <v>109507.0</v>
      </c>
      <c r="C12" s="35">
        <v>517446.0</v>
      </c>
      <c r="D12" s="36">
        <f t="shared" si="1"/>
        <v>4.725</v>
      </c>
      <c r="E12" s="40">
        <v>307515.0</v>
      </c>
      <c r="F12" s="41">
        <f t="shared" si="2"/>
        <v>2.808</v>
      </c>
      <c r="G12" s="8">
        <f t="shared" si="3"/>
        <v>68.3</v>
      </c>
      <c r="H12" s="35">
        <v>202.0</v>
      </c>
      <c r="I12" s="36">
        <f t="shared" si="4"/>
        <v>99.82</v>
      </c>
    </row>
    <row r="13">
      <c r="A13" s="34" t="s">
        <v>140</v>
      </c>
      <c r="B13" s="35">
        <v>99990.0</v>
      </c>
      <c r="C13" s="35">
        <v>517269.0</v>
      </c>
      <c r="D13" s="36">
        <f t="shared" si="1"/>
        <v>5.173</v>
      </c>
      <c r="E13" s="40">
        <v>332742.0</v>
      </c>
      <c r="F13" s="36">
        <f t="shared" si="2"/>
        <v>3.328</v>
      </c>
      <c r="G13" s="8">
        <f t="shared" si="3"/>
        <v>55.5</v>
      </c>
      <c r="H13" s="35">
        <v>635.0</v>
      </c>
      <c r="I13" s="36">
        <f t="shared" si="4"/>
        <v>99.36</v>
      </c>
    </row>
    <row r="14">
      <c r="A14" s="34" t="s">
        <v>141</v>
      </c>
      <c r="B14" s="35">
        <v>65612.0</v>
      </c>
      <c r="C14" s="35">
        <v>302723.0</v>
      </c>
      <c r="D14" s="36">
        <f t="shared" si="1"/>
        <v>4.614</v>
      </c>
      <c r="E14" s="40">
        <v>183782.0</v>
      </c>
      <c r="F14" s="41">
        <f t="shared" si="2"/>
        <v>2.801</v>
      </c>
      <c r="G14" s="8">
        <f t="shared" si="3"/>
        <v>64.7</v>
      </c>
      <c r="H14" s="35">
        <v>104.0</v>
      </c>
      <c r="I14" s="36">
        <f t="shared" si="4"/>
        <v>99.84</v>
      </c>
    </row>
    <row r="15">
      <c r="A15" s="34" t="s">
        <v>142</v>
      </c>
      <c r="B15" s="35">
        <v>33865.0</v>
      </c>
      <c r="C15" s="35">
        <v>145752.0</v>
      </c>
      <c r="D15" s="36">
        <f t="shared" si="1"/>
        <v>4.304</v>
      </c>
      <c r="E15" s="40">
        <v>81232.0</v>
      </c>
      <c r="F15" s="41">
        <f t="shared" si="2"/>
        <v>2.399</v>
      </c>
      <c r="G15" s="8">
        <f t="shared" si="3"/>
        <v>79.4</v>
      </c>
      <c r="H15" s="35">
        <v>43.0</v>
      </c>
      <c r="I15" s="36">
        <f t="shared" si="4"/>
        <v>99.87</v>
      </c>
    </row>
    <row r="16">
      <c r="A16" s="34" t="s">
        <v>143</v>
      </c>
      <c r="B16" s="35">
        <v>26567.0</v>
      </c>
      <c r="C16" s="35">
        <v>115223.0</v>
      </c>
      <c r="D16" s="36">
        <f t="shared" si="1"/>
        <v>4.337</v>
      </c>
      <c r="E16" s="40">
        <v>67613.0</v>
      </c>
      <c r="F16" s="41">
        <f t="shared" si="2"/>
        <v>2.545</v>
      </c>
      <c r="G16" s="8">
        <f t="shared" si="3"/>
        <v>70.4</v>
      </c>
      <c r="H16" s="35">
        <v>220.0</v>
      </c>
      <c r="I16" s="36">
        <f t="shared" si="4"/>
        <v>99.17</v>
      </c>
    </row>
    <row r="17">
      <c r="A17" s="34" t="s">
        <v>144</v>
      </c>
      <c r="B17" s="35">
        <v>26197.0</v>
      </c>
      <c r="C17" s="35">
        <v>123256.0</v>
      </c>
      <c r="D17" s="36">
        <f t="shared" si="1"/>
        <v>4.705</v>
      </c>
      <c r="E17" s="40">
        <v>80763.0</v>
      </c>
      <c r="F17" s="36">
        <f t="shared" si="2"/>
        <v>3.083</v>
      </c>
      <c r="G17" s="8">
        <f t="shared" si="3"/>
        <v>52.6</v>
      </c>
      <c r="H17" s="35">
        <v>2542.0</v>
      </c>
      <c r="I17" s="36">
        <f t="shared" si="4"/>
        <v>90.3</v>
      </c>
    </row>
    <row r="18">
      <c r="A18" s="34" t="s">
        <v>145</v>
      </c>
      <c r="B18" s="35">
        <v>24771.0</v>
      </c>
      <c r="C18" s="35">
        <v>123919.0</v>
      </c>
      <c r="D18" s="36">
        <f t="shared" si="1"/>
        <v>5.003</v>
      </c>
      <c r="E18" s="40">
        <v>84823.0</v>
      </c>
      <c r="F18" s="36">
        <f t="shared" si="2"/>
        <v>3.424</v>
      </c>
      <c r="G18" s="8">
        <f t="shared" si="3"/>
        <v>46.1</v>
      </c>
      <c r="H18" s="35">
        <v>2109.0</v>
      </c>
      <c r="I18" s="36">
        <f t="shared" si="4"/>
        <v>91.49</v>
      </c>
    </row>
    <row r="19">
      <c r="A19" s="34" t="s">
        <v>146</v>
      </c>
      <c r="B19" s="35">
        <v>8674.0</v>
      </c>
      <c r="C19" s="35">
        <v>37710.0</v>
      </c>
      <c r="D19" s="36">
        <f t="shared" si="1"/>
        <v>4.347</v>
      </c>
      <c r="E19" s="40">
        <v>24293.0</v>
      </c>
      <c r="F19" s="41">
        <f t="shared" si="2"/>
        <v>2.801</v>
      </c>
      <c r="G19" s="8">
        <f t="shared" si="3"/>
        <v>55.2</v>
      </c>
      <c r="H19" s="35">
        <v>125.0</v>
      </c>
      <c r="I19" s="36">
        <f t="shared" si="4"/>
        <v>98.56</v>
      </c>
    </row>
    <row r="20">
      <c r="A20" s="34" t="s">
        <v>147</v>
      </c>
      <c r="B20" s="35">
        <v>4388.0</v>
      </c>
      <c r="C20" s="35">
        <v>21070.0</v>
      </c>
      <c r="D20" s="36">
        <f t="shared" si="1"/>
        <v>4.802</v>
      </c>
      <c r="E20" s="40">
        <v>13111.0</v>
      </c>
      <c r="F20" s="41">
        <f t="shared" si="2"/>
        <v>2.988</v>
      </c>
      <c r="G20" s="8">
        <f t="shared" si="3"/>
        <v>60.7</v>
      </c>
      <c r="H20" s="35">
        <v>153.0</v>
      </c>
      <c r="I20" s="36">
        <f t="shared" si="4"/>
        <v>96.51</v>
      </c>
    </row>
    <row r="21">
      <c r="A21" s="34" t="s">
        <v>148</v>
      </c>
      <c r="B21" s="35">
        <v>1967.0</v>
      </c>
      <c r="C21" s="35">
        <v>12442.0</v>
      </c>
      <c r="D21" s="36">
        <f t="shared" si="1"/>
        <v>6.325</v>
      </c>
      <c r="E21" s="40">
        <v>10423.0</v>
      </c>
      <c r="F21" s="36">
        <f t="shared" si="2"/>
        <v>5.299</v>
      </c>
      <c r="G21" s="8">
        <f t="shared" si="3"/>
        <v>19.4</v>
      </c>
      <c r="H21" s="35">
        <v>632.0</v>
      </c>
      <c r="I21" s="36">
        <f t="shared" si="4"/>
        <v>67.87</v>
      </c>
    </row>
    <row r="22">
      <c r="A22" s="34" t="s">
        <v>149</v>
      </c>
      <c r="B22" s="35">
        <v>1121.0</v>
      </c>
      <c r="C22" s="35">
        <v>5977.0</v>
      </c>
      <c r="D22" s="36">
        <f>ROUND(C22/$B22,3)</f>
        <v>5.332</v>
      </c>
      <c r="E22" s="40">
        <v>4655.0</v>
      </c>
      <c r="F22" s="36">
        <f t="shared" si="2"/>
        <v>4.153</v>
      </c>
      <c r="G22" s="8">
        <f t="shared" si="3"/>
        <v>28.4</v>
      </c>
      <c r="H22" s="35">
        <v>110.0</v>
      </c>
      <c r="I22" s="36">
        <f t="shared" si="4"/>
        <v>90.19</v>
      </c>
    </row>
    <row r="23">
      <c r="B23" s="42">
        <f t="shared" ref="B23:C23" si="5">SUM(B2:B22)</f>
        <v>32741738</v>
      </c>
      <c r="C23" s="42">
        <f t="shared" si="5"/>
        <v>154188052</v>
      </c>
      <c r="D23" s="42">
        <f>AVERAGE(D2:D22)</f>
        <v>4.816666667</v>
      </c>
      <c r="F23" s="42">
        <f t="shared" ref="F23:G23" si="6">AVERAGE(F2:F22)</f>
        <v>3.209384615</v>
      </c>
      <c r="G23" s="42">
        <f t="shared" si="6"/>
        <v>55.16153846</v>
      </c>
      <c r="I23" s="42">
        <f>AVERAGE(I2:I22)</f>
        <v>94.48923077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hidden="1" min="2" max="2" width="14.43"/>
    <col customWidth="1" hidden="1" min="3" max="3" width="13.43"/>
    <col hidden="1" min="4" max="4" width="14.43"/>
    <col hidden="1" min="8" max="8" width="14.43"/>
  </cols>
  <sheetData>
    <row r="1">
      <c r="A1" s="33" t="s">
        <v>150</v>
      </c>
      <c r="B1" s="33" t="s">
        <v>125</v>
      </c>
      <c r="C1" s="33" t="s">
        <v>126</v>
      </c>
      <c r="D1" s="33" t="s">
        <v>151</v>
      </c>
      <c r="E1" s="33" t="s">
        <v>125</v>
      </c>
      <c r="F1" s="33" t="s">
        <v>126</v>
      </c>
      <c r="G1" s="33" t="s">
        <v>151</v>
      </c>
      <c r="H1" s="33" t="s">
        <v>152</v>
      </c>
    </row>
    <row r="2">
      <c r="A2" s="34" t="s">
        <v>131</v>
      </c>
      <c r="B2" s="35">
        <v>3705329.0</v>
      </c>
      <c r="C2" s="40">
        <v>1.124222E7</v>
      </c>
      <c r="D2" s="36">
        <f t="shared" ref="D2:D22" si="1">IF(B2&gt;0, ROUND(C2/B2,3),0)</f>
        <v>3.034</v>
      </c>
      <c r="E2" s="35">
        <v>3839249.0</v>
      </c>
      <c r="F2" s="40">
        <v>1.1544344E7</v>
      </c>
      <c r="G2" s="36">
        <f t="shared" ref="G2:G22" si="2">IF(E2&gt;0, ROUND(F2/E2,3),0)</f>
        <v>3.007</v>
      </c>
      <c r="H2" s="43">
        <f t="shared" ref="H2:H22" si="3">ROUND(E2/B2,3)</f>
        <v>1.036</v>
      </c>
    </row>
    <row r="3">
      <c r="A3" s="34" t="s">
        <v>129</v>
      </c>
      <c r="B3" s="35">
        <v>3152613.0</v>
      </c>
      <c r="C3" s="40">
        <v>8865795.0</v>
      </c>
      <c r="D3" s="36">
        <f t="shared" si="1"/>
        <v>2.812</v>
      </c>
      <c r="E3" s="35">
        <v>3226653.0</v>
      </c>
      <c r="F3" s="40">
        <v>9046915.0</v>
      </c>
      <c r="G3" s="36">
        <f t="shared" si="2"/>
        <v>2.804</v>
      </c>
      <c r="H3" s="43">
        <f t="shared" si="3"/>
        <v>1.023</v>
      </c>
    </row>
    <row r="4">
      <c r="A4" s="34" t="s">
        <v>130</v>
      </c>
      <c r="B4" s="35">
        <v>2112304.0</v>
      </c>
      <c r="C4" s="40">
        <v>7106855.0</v>
      </c>
      <c r="D4" s="36">
        <f t="shared" si="1"/>
        <v>3.365</v>
      </c>
      <c r="E4" s="35">
        <v>2112260.0</v>
      </c>
      <c r="F4" s="40">
        <v>7106643.0</v>
      </c>
      <c r="G4" s="36">
        <f t="shared" si="2"/>
        <v>3.364</v>
      </c>
      <c r="H4" s="43">
        <f t="shared" si="3"/>
        <v>1</v>
      </c>
    </row>
    <row r="5">
      <c r="A5" s="34" t="s">
        <v>132</v>
      </c>
      <c r="B5" s="35">
        <v>1236009.0</v>
      </c>
      <c r="C5" s="40">
        <v>4089093.0</v>
      </c>
      <c r="D5" s="36">
        <f t="shared" si="1"/>
        <v>3.308</v>
      </c>
      <c r="E5" s="35">
        <v>1269455.0</v>
      </c>
      <c r="F5" s="40">
        <v>4161610.0</v>
      </c>
      <c r="G5" s="36">
        <f t="shared" si="2"/>
        <v>3.278</v>
      </c>
      <c r="H5" s="43">
        <f t="shared" si="3"/>
        <v>1.027</v>
      </c>
    </row>
    <row r="6">
      <c r="A6" s="34" t="s">
        <v>133</v>
      </c>
      <c r="B6" s="35">
        <v>775839.0</v>
      </c>
      <c r="C6" s="40">
        <v>2328054.0</v>
      </c>
      <c r="D6" s="36">
        <f t="shared" si="1"/>
        <v>3.001</v>
      </c>
      <c r="E6" s="35">
        <v>788629.0</v>
      </c>
      <c r="F6" s="40">
        <v>2368798.0</v>
      </c>
      <c r="G6" s="36">
        <f t="shared" si="2"/>
        <v>3.004</v>
      </c>
      <c r="H6" s="43">
        <f t="shared" si="3"/>
        <v>1.016</v>
      </c>
    </row>
    <row r="7">
      <c r="A7" s="34" t="s">
        <v>135</v>
      </c>
      <c r="B7" s="35">
        <v>576416.0</v>
      </c>
      <c r="C7" s="40">
        <v>1764081.0</v>
      </c>
      <c r="D7" s="36">
        <f t="shared" si="1"/>
        <v>3.06</v>
      </c>
      <c r="E7" s="35">
        <v>568212.0</v>
      </c>
      <c r="F7" s="40">
        <v>1745094.0</v>
      </c>
      <c r="G7" s="36">
        <f t="shared" si="2"/>
        <v>3.071</v>
      </c>
      <c r="H7" s="43">
        <f t="shared" si="3"/>
        <v>0.986</v>
      </c>
    </row>
    <row r="8">
      <c r="A8" s="34" t="s">
        <v>134</v>
      </c>
      <c r="B8" s="35">
        <v>298514.0</v>
      </c>
      <c r="C8" s="40">
        <v>896873.0</v>
      </c>
      <c r="D8" s="36">
        <f t="shared" si="1"/>
        <v>3.004</v>
      </c>
      <c r="E8" s="35">
        <v>307496.0</v>
      </c>
      <c r="F8" s="40">
        <v>918027.0</v>
      </c>
      <c r="G8" s="36">
        <f t="shared" si="2"/>
        <v>2.985</v>
      </c>
      <c r="H8" s="43">
        <f t="shared" si="3"/>
        <v>1.03</v>
      </c>
    </row>
    <row r="9">
      <c r="A9" s="34" t="s">
        <v>138</v>
      </c>
      <c r="B9" s="35">
        <v>225303.0</v>
      </c>
      <c r="C9" s="40">
        <v>706141.0</v>
      </c>
      <c r="D9" s="36">
        <f t="shared" si="1"/>
        <v>3.134</v>
      </c>
      <c r="E9" s="35">
        <v>225479.0</v>
      </c>
      <c r="F9" s="40">
        <v>708031.0</v>
      </c>
      <c r="G9" s="36">
        <f t="shared" si="2"/>
        <v>3.14</v>
      </c>
      <c r="H9" s="43">
        <f t="shared" si="3"/>
        <v>1.001</v>
      </c>
    </row>
    <row r="10">
      <c r="A10" s="34" t="s">
        <v>140</v>
      </c>
      <c r="B10" s="35">
        <v>88812.0</v>
      </c>
      <c r="C10" s="40">
        <v>303314.0</v>
      </c>
      <c r="D10" s="36">
        <f t="shared" si="1"/>
        <v>3.415</v>
      </c>
      <c r="E10" s="35">
        <v>94209.0</v>
      </c>
      <c r="F10" s="40">
        <v>315711.0</v>
      </c>
      <c r="G10" s="36">
        <f t="shared" si="2"/>
        <v>3.351</v>
      </c>
      <c r="H10" s="43">
        <f t="shared" si="3"/>
        <v>1.061</v>
      </c>
    </row>
    <row r="11">
      <c r="A11" s="34" t="s">
        <v>137</v>
      </c>
      <c r="B11" s="35">
        <v>80171.0</v>
      </c>
      <c r="C11" s="40">
        <v>254374.0</v>
      </c>
      <c r="D11" s="36">
        <f t="shared" si="1"/>
        <v>3.173</v>
      </c>
      <c r="E11" s="35">
        <v>80269.0</v>
      </c>
      <c r="F11" s="40">
        <v>254568.0</v>
      </c>
      <c r="G11" s="36">
        <f t="shared" si="2"/>
        <v>3.171</v>
      </c>
      <c r="H11" s="43">
        <f t="shared" si="3"/>
        <v>1.001</v>
      </c>
    </row>
    <row r="12">
      <c r="A12" s="34" t="s">
        <v>141</v>
      </c>
      <c r="B12" s="35">
        <v>61422.0</v>
      </c>
      <c r="C12" s="40">
        <v>172338.0</v>
      </c>
      <c r="D12" s="36">
        <f t="shared" si="1"/>
        <v>2.806</v>
      </c>
      <c r="E12" s="35">
        <v>61007.0</v>
      </c>
      <c r="F12" s="40">
        <v>171435.0</v>
      </c>
      <c r="G12" s="36">
        <f t="shared" si="2"/>
        <v>2.81</v>
      </c>
      <c r="H12" s="43">
        <f t="shared" si="3"/>
        <v>0.993</v>
      </c>
    </row>
    <row r="13">
      <c r="A13" s="34" t="s">
        <v>136</v>
      </c>
      <c r="B13" s="35">
        <v>43028.0</v>
      </c>
      <c r="C13" s="40">
        <v>147420.0</v>
      </c>
      <c r="D13" s="36">
        <f t="shared" si="1"/>
        <v>3.426</v>
      </c>
      <c r="E13" s="35">
        <v>43267.0</v>
      </c>
      <c r="F13" s="40">
        <v>147979.0</v>
      </c>
      <c r="G13" s="36">
        <f t="shared" si="2"/>
        <v>3.42</v>
      </c>
      <c r="H13" s="43">
        <f t="shared" si="3"/>
        <v>1.006</v>
      </c>
    </row>
    <row r="14">
      <c r="A14" s="34" t="s">
        <v>145</v>
      </c>
      <c r="B14" s="35">
        <v>24771.0</v>
      </c>
      <c r="C14" s="40">
        <v>84823.0</v>
      </c>
      <c r="D14" s="36">
        <f t="shared" si="1"/>
        <v>3.424</v>
      </c>
      <c r="E14" s="35">
        <v>23323.0</v>
      </c>
      <c r="F14" s="40">
        <v>80686.0</v>
      </c>
      <c r="G14" s="36">
        <f t="shared" si="2"/>
        <v>3.46</v>
      </c>
      <c r="H14" s="43">
        <f t="shared" si="3"/>
        <v>0.942</v>
      </c>
    </row>
    <row r="15">
      <c r="A15" s="34" t="s">
        <v>142</v>
      </c>
      <c r="B15" s="35">
        <v>22601.0</v>
      </c>
      <c r="C15" s="40">
        <v>59728.0</v>
      </c>
      <c r="D15" s="36">
        <f t="shared" si="1"/>
        <v>2.643</v>
      </c>
      <c r="E15" s="35">
        <v>22609.0</v>
      </c>
      <c r="F15" s="40">
        <v>59753.0</v>
      </c>
      <c r="G15" s="36">
        <f t="shared" si="2"/>
        <v>2.643</v>
      </c>
      <c r="H15" s="43">
        <f t="shared" si="3"/>
        <v>1</v>
      </c>
    </row>
    <row r="16">
      <c r="A16" s="34" t="s">
        <v>139</v>
      </c>
      <c r="B16" s="35">
        <v>21314.0</v>
      </c>
      <c r="C16" s="40">
        <v>58797.0</v>
      </c>
      <c r="D16" s="36">
        <f t="shared" si="1"/>
        <v>2.759</v>
      </c>
      <c r="E16" s="35">
        <v>21685.0</v>
      </c>
      <c r="F16" s="40">
        <v>59905.0</v>
      </c>
      <c r="G16" s="36">
        <f t="shared" si="2"/>
        <v>2.763</v>
      </c>
      <c r="H16" s="43">
        <f t="shared" si="3"/>
        <v>1.017</v>
      </c>
    </row>
    <row r="17">
      <c r="A17" s="34" t="s">
        <v>144</v>
      </c>
      <c r="B17" s="35">
        <v>11654.0</v>
      </c>
      <c r="C17" s="40">
        <v>37476.0</v>
      </c>
      <c r="D17" s="36">
        <f t="shared" si="1"/>
        <v>3.216</v>
      </c>
      <c r="E17" s="35">
        <v>11765.0</v>
      </c>
      <c r="F17" s="40">
        <v>36859.0</v>
      </c>
      <c r="G17" s="36">
        <f t="shared" si="2"/>
        <v>3.133</v>
      </c>
      <c r="H17" s="43">
        <f t="shared" si="3"/>
        <v>1.01</v>
      </c>
    </row>
    <row r="18">
      <c r="A18" s="34" t="s">
        <v>143</v>
      </c>
      <c r="B18" s="35">
        <v>10824.0</v>
      </c>
      <c r="C18" s="40">
        <v>27343.0</v>
      </c>
      <c r="D18" s="36">
        <f t="shared" si="1"/>
        <v>2.526</v>
      </c>
      <c r="E18" s="35">
        <v>10847.0</v>
      </c>
      <c r="F18" s="40">
        <v>27425.0</v>
      </c>
      <c r="G18" s="36">
        <f t="shared" si="2"/>
        <v>2.528</v>
      </c>
      <c r="H18" s="43">
        <f t="shared" si="3"/>
        <v>1.002</v>
      </c>
    </row>
    <row r="19">
      <c r="A19" s="34" t="s">
        <v>146</v>
      </c>
      <c r="B19" s="35">
        <v>8674.0</v>
      </c>
      <c r="C19" s="40">
        <v>24293.0</v>
      </c>
      <c r="D19" s="36">
        <f t="shared" si="1"/>
        <v>2.801</v>
      </c>
      <c r="E19" s="35">
        <v>8671.0</v>
      </c>
      <c r="F19" s="40">
        <v>24219.0</v>
      </c>
      <c r="G19" s="36">
        <f t="shared" si="2"/>
        <v>2.793</v>
      </c>
      <c r="H19" s="43">
        <f t="shared" si="3"/>
        <v>1</v>
      </c>
    </row>
    <row r="20">
      <c r="A20" s="34" t="s">
        <v>147</v>
      </c>
      <c r="B20" s="35">
        <v>2562.0</v>
      </c>
      <c r="C20" s="40">
        <v>7902.0</v>
      </c>
      <c r="D20" s="36">
        <f t="shared" si="1"/>
        <v>3.084</v>
      </c>
      <c r="E20" s="35">
        <v>2597.0</v>
      </c>
      <c r="F20" s="40">
        <v>7961.0</v>
      </c>
      <c r="G20" s="36">
        <f t="shared" si="2"/>
        <v>3.065</v>
      </c>
      <c r="H20" s="43">
        <f t="shared" si="3"/>
        <v>1.014</v>
      </c>
    </row>
    <row r="21">
      <c r="A21" s="34" t="s">
        <v>148</v>
      </c>
      <c r="B21" s="35">
        <v>1967.0</v>
      </c>
      <c r="C21" s="40">
        <v>10423.0</v>
      </c>
      <c r="D21" s="36">
        <f t="shared" si="1"/>
        <v>5.299</v>
      </c>
      <c r="E21" s="35">
        <v>1943.0</v>
      </c>
      <c r="F21" s="40">
        <v>10361.0</v>
      </c>
      <c r="G21" s="36">
        <f t="shared" si="2"/>
        <v>5.332</v>
      </c>
      <c r="H21" s="43">
        <f t="shared" si="3"/>
        <v>0.988</v>
      </c>
    </row>
    <row r="22">
      <c r="A22" s="34" t="s">
        <v>149</v>
      </c>
      <c r="B22" s="35">
        <v>1121.0</v>
      </c>
      <c r="C22" s="40">
        <v>4655.0</v>
      </c>
      <c r="D22" s="36">
        <f t="shared" si="1"/>
        <v>4.153</v>
      </c>
      <c r="E22" s="35">
        <v>1095.0</v>
      </c>
      <c r="F22" s="40">
        <v>4527.0</v>
      </c>
      <c r="G22" s="36">
        <f t="shared" si="2"/>
        <v>4.134</v>
      </c>
      <c r="H22" s="43">
        <f t="shared" si="3"/>
        <v>0.977</v>
      </c>
    </row>
    <row r="23">
      <c r="B23" s="38"/>
      <c r="D23" s="42">
        <f>AVERAGE(D2:D22)</f>
        <v>3.211571429</v>
      </c>
      <c r="G23" s="42">
        <f t="shared" ref="G23:H23" si="4">AVERAGE(G2:G22)</f>
        <v>3.202666667</v>
      </c>
      <c r="H23" s="42">
        <f t="shared" si="4"/>
        <v>1.006190476</v>
      </c>
    </row>
  </sheetData>
  <conditionalFormatting sqref="D2:D22 G2:G22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E1" s="35">
        <v>4.294757563E9</v>
      </c>
    </row>
    <row r="3">
      <c r="C3" s="35">
        <v>4.294967287E9</v>
      </c>
      <c r="D3" s="44">
        <v>-9.0</v>
      </c>
    </row>
    <row r="4">
      <c r="C4" s="42">
        <f>BITAND(C3,65535)</f>
        <v>65527</v>
      </c>
      <c r="D4" s="36">
        <f>BITRSHIFT(C3,16)</f>
        <v>65535</v>
      </c>
    </row>
    <row r="5">
      <c r="A5" s="35">
        <v>4.294757572E9</v>
      </c>
      <c r="B5" s="36">
        <f>BITRSHIFT(A5,16)</f>
        <v>65532</v>
      </c>
      <c r="C5" s="45">
        <f>B5*C4</f>
        <v>4294115364</v>
      </c>
      <c r="D5" s="46">
        <f>B5*D4</f>
        <v>4294639620</v>
      </c>
      <c r="F5" s="42">
        <f>BITRSHIFT(C6,16)+BITAND(C5,65535)+BITAND(D6,65535)</f>
        <v>65564</v>
      </c>
      <c r="G5" s="36">
        <f>BITRSHIFT(F5,16)</f>
        <v>1</v>
      </c>
      <c r="H5" s="8">
        <f>G5+G6</f>
        <v>4294757563</v>
      </c>
    </row>
    <row r="6">
      <c r="A6" s="47">
        <v>-209724.0</v>
      </c>
      <c r="B6" s="42">
        <f>BITAND(A5,65535)</f>
        <v>52420</v>
      </c>
      <c r="C6" s="48">
        <f>C4*B6</f>
        <v>3434925340</v>
      </c>
      <c r="D6" s="49">
        <f>B6*D4</f>
        <v>3435344700</v>
      </c>
      <c r="G6" s="36">
        <f>D5+BITRSHIFT(C5,16)+BITRSHIFT(D6,16)</f>
        <v>4294757562</v>
      </c>
    </row>
    <row r="9">
      <c r="B9" s="50" t="s">
        <v>153</v>
      </c>
    </row>
    <row r="10">
      <c r="B10" s="37" t="s">
        <v>14</v>
      </c>
    </row>
    <row r="11">
      <c r="B11" s="51" t="s">
        <v>154</v>
      </c>
    </row>
    <row r="19">
      <c r="L19" s="35">
        <f>HEX2DEC("FFFF")</f>
        <v>65535</v>
      </c>
    </row>
    <row r="23">
      <c r="D23" s="37">
        <v>65535.0</v>
      </c>
      <c r="E23" s="52">
        <f t="shared" ref="E23:E26" si="1">D23*E$27</f>
        <v>1694472960</v>
      </c>
      <c r="M23" s="8">
        <f t="shared" ref="M23:M25" si="2">$L$19</f>
        <v>65535</v>
      </c>
      <c r="N23" s="53"/>
      <c r="Q23" s="54">
        <f>M23*N27</f>
        <v>1694472960</v>
      </c>
    </row>
    <row r="24">
      <c r="D24" s="37">
        <v>65535.0</v>
      </c>
      <c r="E24" s="55">
        <f t="shared" si="1"/>
        <v>1694472960</v>
      </c>
      <c r="F24" s="54">
        <f>D24*F$27</f>
        <v>499966515</v>
      </c>
      <c r="M24" s="8">
        <f t="shared" si="2"/>
        <v>65535</v>
      </c>
      <c r="N24" s="53"/>
      <c r="P24" s="56">
        <f>M24*N27</f>
        <v>1694472960</v>
      </c>
      <c r="Q24" s="54">
        <f>M24*O27</f>
        <v>499966515</v>
      </c>
    </row>
    <row r="25">
      <c r="D25" s="35">
        <v>65535.0</v>
      </c>
      <c r="E25" s="57">
        <f t="shared" si="1"/>
        <v>1694472960</v>
      </c>
      <c r="F25" s="56">
        <f t="shared" ref="F25:F26" si="3">$M25*F$27</f>
        <v>499966515</v>
      </c>
      <c r="G25" s="54">
        <f t="shared" ref="G25:G26" si="4">F25*G$27</f>
        <v>0</v>
      </c>
      <c r="M25" s="8">
        <f t="shared" si="2"/>
        <v>65535</v>
      </c>
      <c r="N25" s="53"/>
      <c r="O25" s="58">
        <f>M25*N27</f>
        <v>1694472960</v>
      </c>
      <c r="P25" s="56">
        <f>M25*O27</f>
        <v>499966515</v>
      </c>
      <c r="Q25" s="54">
        <f>M25*P27</f>
        <v>0</v>
      </c>
    </row>
    <row r="26">
      <c r="C26" s="33">
        <v>-1000.0</v>
      </c>
      <c r="D26" s="35">
        <v>64536.0</v>
      </c>
      <c r="E26" s="59">
        <f t="shared" si="1"/>
        <v>1668642816</v>
      </c>
      <c r="F26" s="60">
        <f t="shared" si="3"/>
        <v>492345144</v>
      </c>
      <c r="G26" s="61">
        <f t="shared" si="4"/>
        <v>0</v>
      </c>
      <c r="H26" s="62">
        <f>G26*H$27</f>
        <v>0</v>
      </c>
      <c r="L26" s="33">
        <v>-1000.0</v>
      </c>
      <c r="M26" s="35">
        <v>64536.0</v>
      </c>
      <c r="N26" s="59">
        <f>M26*N27</f>
        <v>1668642816</v>
      </c>
      <c r="O26" s="60">
        <f>O27*M26</f>
        <v>492345144</v>
      </c>
      <c r="P26" s="61">
        <f>P27*M26</f>
        <v>0</v>
      </c>
      <c r="Q26" s="62">
        <f>$M26*Q$27</f>
        <v>0</v>
      </c>
    </row>
    <row r="27">
      <c r="E27" s="35">
        <v>25856.0</v>
      </c>
      <c r="F27" s="35">
        <v>7629.0</v>
      </c>
      <c r="G27" s="37">
        <v>0.0</v>
      </c>
      <c r="H27" s="37">
        <v>0.0</v>
      </c>
      <c r="N27" s="35">
        <f>BITAND(N28,L19)</f>
        <v>25856</v>
      </c>
      <c r="O27" s="35">
        <f>BITRSHIFT(N28,16)</f>
        <v>7629</v>
      </c>
      <c r="P27" s="37">
        <v>0.0</v>
      </c>
      <c r="Q27" s="37">
        <v>0.0</v>
      </c>
    </row>
    <row r="28">
      <c r="E28" s="33">
        <v>5.0E8</v>
      </c>
      <c r="N28" s="33">
        <v>5.0E8</v>
      </c>
    </row>
    <row r="32">
      <c r="D32" s="63"/>
      <c r="N32" s="33" t="s">
        <v>154</v>
      </c>
      <c r="O32" s="53"/>
      <c r="R32" s="64">
        <f>BITRSHIFT(Q23,16)</f>
        <v>25855</v>
      </c>
    </row>
    <row r="33">
      <c r="D33" s="37" t="s">
        <v>155</v>
      </c>
      <c r="E33" s="52" t="s">
        <v>156</v>
      </c>
      <c r="O33" s="53"/>
      <c r="Q33" s="56">
        <f t="shared" ref="Q33:R33" si="5">BITRSHIFT(P24,16)</f>
        <v>25855</v>
      </c>
      <c r="R33" s="64">
        <f t="shared" si="5"/>
        <v>7628</v>
      </c>
    </row>
    <row r="34">
      <c r="D34" s="37" t="s">
        <v>155</v>
      </c>
      <c r="E34" s="55" t="s">
        <v>156</v>
      </c>
      <c r="F34" s="54" t="s">
        <v>154</v>
      </c>
      <c r="O34" s="53"/>
      <c r="P34" s="58">
        <f t="shared" ref="P34:R34" si="6">BITRSHIFT(O25,16)</f>
        <v>25855</v>
      </c>
      <c r="Q34" s="56">
        <f t="shared" si="6"/>
        <v>7628</v>
      </c>
      <c r="R34" s="64">
        <f t="shared" si="6"/>
        <v>0</v>
      </c>
    </row>
    <row r="35">
      <c r="D35" s="35" t="s">
        <v>12</v>
      </c>
      <c r="E35" s="57" t="s">
        <v>155</v>
      </c>
      <c r="F35" s="56" t="s">
        <v>157</v>
      </c>
      <c r="G35" s="54" t="s">
        <v>158</v>
      </c>
      <c r="O35" s="59">
        <f t="shared" ref="O35:R35" si="7">BITRSHIFT(N26,16)</f>
        <v>25461</v>
      </c>
      <c r="P35" s="60">
        <f t="shared" si="7"/>
        <v>7512</v>
      </c>
      <c r="Q35" s="61">
        <f t="shared" si="7"/>
        <v>0</v>
      </c>
      <c r="R35" s="65">
        <f t="shared" si="7"/>
        <v>0</v>
      </c>
    </row>
    <row r="36">
      <c r="C36" s="33" t="s">
        <v>123</v>
      </c>
      <c r="D36" s="35" t="s">
        <v>123</v>
      </c>
      <c r="E36" s="59" t="s">
        <v>123</v>
      </c>
      <c r="F36" s="60" t="s">
        <v>12</v>
      </c>
      <c r="G36" s="61" t="s">
        <v>159</v>
      </c>
      <c r="H36" s="62" t="s">
        <v>159</v>
      </c>
    </row>
    <row r="37">
      <c r="E37" s="35" t="s">
        <v>159</v>
      </c>
      <c r="F37" s="35" t="s">
        <v>157</v>
      </c>
      <c r="G37" s="37" t="s">
        <v>156</v>
      </c>
      <c r="H37" s="37" t="s">
        <v>156</v>
      </c>
      <c r="M37" s="33" t="s">
        <v>153</v>
      </c>
      <c r="N37" s="53"/>
      <c r="Q37" s="54">
        <f>BITAND(Q23,$L$19)</f>
        <v>39680</v>
      </c>
    </row>
    <row r="38">
      <c r="E38" s="33" t="s">
        <v>12</v>
      </c>
      <c r="N38" s="53"/>
      <c r="P38" s="56">
        <f t="shared" ref="P38:Q38" si="8">BITAND(P24,$L$19)</f>
        <v>39680</v>
      </c>
      <c r="Q38" s="54">
        <f t="shared" si="8"/>
        <v>57907</v>
      </c>
    </row>
    <row r="39">
      <c r="N39" s="53"/>
      <c r="O39" s="58">
        <f t="shared" ref="O39:Q39" si="9">BITAND(O25,$L$19)</f>
        <v>39680</v>
      </c>
      <c r="P39" s="56">
        <f t="shared" si="9"/>
        <v>57907</v>
      </c>
      <c r="Q39" s="54">
        <f t="shared" si="9"/>
        <v>0</v>
      </c>
    </row>
    <row r="40">
      <c r="N40" s="66">
        <f t="shared" ref="N40:Q40" si="10">BITAND(N26,$L$19)</f>
        <v>30720</v>
      </c>
      <c r="O40" s="60">
        <f t="shared" si="10"/>
        <v>38712</v>
      </c>
      <c r="P40" s="61">
        <f t="shared" si="10"/>
        <v>0</v>
      </c>
      <c r="Q40" s="62">
        <f t="shared" si="10"/>
        <v>0</v>
      </c>
    </row>
    <row r="42">
      <c r="E42" s="33" t="s">
        <v>154</v>
      </c>
      <c r="F42" s="53"/>
      <c r="I42" s="64"/>
      <c r="O42" s="8">
        <f t="shared" ref="O42:Q42" si="11">SUM(O33:O40)</f>
        <v>103853</v>
      </c>
      <c r="P42" s="8">
        <f t="shared" si="11"/>
        <v>130954</v>
      </c>
      <c r="Q42" s="8">
        <f t="shared" si="11"/>
        <v>131070</v>
      </c>
    </row>
    <row r="43">
      <c r="F43" s="53"/>
      <c r="H43" s="67" t="s">
        <v>156</v>
      </c>
      <c r="I43" s="64"/>
      <c r="O43" s="38">
        <f>BITRSHIFT(O42,16)</f>
        <v>1</v>
      </c>
      <c r="P43" s="38">
        <f>P42</f>
        <v>130954</v>
      </c>
      <c r="Q43" s="38">
        <f>BITLSHIFT(Q42,16)</f>
        <v>8589803520</v>
      </c>
      <c r="R43" s="38"/>
      <c r="S43" s="8">
        <f>BITAND(SUM(O43:Q43),HEX2DEC("FFFFFFFF"))</f>
        <v>4294967179</v>
      </c>
    </row>
    <row r="44">
      <c r="F44" s="53"/>
      <c r="G44" s="68" t="s">
        <v>155</v>
      </c>
      <c r="H44" s="67" t="s">
        <v>157</v>
      </c>
      <c r="I44" s="64"/>
      <c r="O44" s="38"/>
      <c r="P44" s="38"/>
      <c r="Q44" s="38"/>
      <c r="R44" s="38"/>
    </row>
    <row r="45">
      <c r="F45" s="69" t="s">
        <v>123</v>
      </c>
      <c r="G45" s="70" t="s">
        <v>12</v>
      </c>
      <c r="H45" s="71" t="s">
        <v>159</v>
      </c>
      <c r="I45" s="65"/>
      <c r="O45" s="38"/>
      <c r="P45" s="38"/>
      <c r="Q45" s="38"/>
      <c r="R45" s="38"/>
    </row>
    <row r="47">
      <c r="C47" s="33"/>
      <c r="D47" s="33" t="s">
        <v>153</v>
      </c>
      <c r="E47" s="53"/>
      <c r="H47" s="72" t="s">
        <v>156</v>
      </c>
    </row>
    <row r="48">
      <c r="E48" s="53"/>
      <c r="G48" s="67" t="s">
        <v>156</v>
      </c>
      <c r="H48" s="72" t="s">
        <v>154</v>
      </c>
    </row>
    <row r="49">
      <c r="E49" s="53"/>
      <c r="F49" s="68" t="s">
        <v>155</v>
      </c>
      <c r="G49" s="67" t="s">
        <v>157</v>
      </c>
      <c r="H49" s="72" t="s">
        <v>158</v>
      </c>
    </row>
    <row r="50">
      <c r="E50" s="66"/>
      <c r="F50" s="70" t="s">
        <v>12</v>
      </c>
      <c r="G50" s="71" t="s">
        <v>159</v>
      </c>
      <c r="H50" s="73" t="s">
        <v>159</v>
      </c>
    </row>
    <row r="52">
      <c r="F52" s="35" t="s">
        <v>123</v>
      </c>
      <c r="G52" s="35" t="s">
        <v>12</v>
      </c>
      <c r="H52" s="35" t="s">
        <v>155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45.43"/>
  </cols>
  <sheetData>
    <row r="1">
      <c r="A1" s="74" t="s">
        <v>8</v>
      </c>
      <c r="B1" s="74" t="s">
        <v>160</v>
      </c>
      <c r="C1" s="74" t="s">
        <v>161</v>
      </c>
      <c r="D1" s="74" t="s">
        <v>162</v>
      </c>
      <c r="E1" s="74" t="s">
        <v>6</v>
      </c>
      <c r="F1" s="74" t="s">
        <v>163</v>
      </c>
    </row>
    <row r="2">
      <c r="A2" s="75" t="s">
        <v>164</v>
      </c>
      <c r="B2" s="75"/>
      <c r="C2" s="75"/>
      <c r="D2" s="75"/>
      <c r="E2" s="76"/>
      <c r="F2" s="76"/>
    </row>
    <row r="3">
      <c r="A3" s="74"/>
      <c r="B3" s="77" t="s">
        <v>4</v>
      </c>
      <c r="C3" s="77">
        <v>3.0</v>
      </c>
      <c r="D3" s="77">
        <v>12.0</v>
      </c>
      <c r="E3" s="78">
        <f>BITLSHIFT( POWER(2,C3)-1,D3)</f>
        <v>28672</v>
      </c>
      <c r="F3" s="78"/>
    </row>
    <row r="4">
      <c r="A4" s="74"/>
      <c r="B4" s="77" t="s">
        <v>3</v>
      </c>
      <c r="C4" s="77">
        <v>7.0</v>
      </c>
      <c r="D4" s="77">
        <v>25.0</v>
      </c>
      <c r="E4" s="78">
        <f>BITLSHIFT(POWER(2,C4-1)-1,D4)</f>
        <v>2113929216</v>
      </c>
      <c r="F4" s="78">
        <f>BITLSHIFT(POWER(2,C4)-1,D4)-POWER(2,32)</f>
        <v>-33554432</v>
      </c>
    </row>
    <row r="5">
      <c r="A5" s="74"/>
      <c r="B5" s="77" t="s">
        <v>165</v>
      </c>
      <c r="C5" s="77"/>
      <c r="D5" s="77"/>
      <c r="E5" s="79"/>
      <c r="F5" s="78">
        <f>F4+E3</f>
        <v>-33525760</v>
      </c>
    </row>
    <row r="6">
      <c r="A6" s="74" t="s">
        <v>26</v>
      </c>
      <c r="B6" s="75" t="s">
        <v>166</v>
      </c>
      <c r="C6" s="75">
        <v>7.0</v>
      </c>
      <c r="D6" s="75">
        <v>0.0</v>
      </c>
      <c r="E6" s="76">
        <f>BITLSHIFT( POWER(2,C6)-1,D6)</f>
        <v>127</v>
      </c>
      <c r="F6" s="76"/>
    </row>
    <row r="7">
      <c r="A7" s="80" t="s">
        <v>14</v>
      </c>
      <c r="B7" s="75" t="s">
        <v>167</v>
      </c>
      <c r="C7" s="76"/>
      <c r="D7" s="76"/>
      <c r="E7" s="76">
        <f>E6+E3</f>
        <v>28799</v>
      </c>
      <c r="F7" s="76"/>
    </row>
    <row r="8">
      <c r="A8" s="80" t="s">
        <v>21</v>
      </c>
      <c r="B8" s="75" t="s">
        <v>168</v>
      </c>
      <c r="C8" s="76"/>
      <c r="D8" s="76"/>
      <c r="E8" s="76">
        <f>E3+E4+E6</f>
        <v>2113958015</v>
      </c>
      <c r="F8" s="76"/>
    </row>
    <row r="9">
      <c r="A9" s="81" t="s">
        <v>169</v>
      </c>
      <c r="B9" s="75" t="s">
        <v>170</v>
      </c>
      <c r="C9" s="75"/>
      <c r="D9" s="75"/>
      <c r="E9" s="76"/>
      <c r="F9" s="76"/>
    </row>
    <row r="10">
      <c r="A10" s="74" t="s">
        <v>28</v>
      </c>
      <c r="B10" s="75" t="s">
        <v>171</v>
      </c>
      <c r="C10" s="75">
        <v>12.0</v>
      </c>
      <c r="D10" s="75">
        <v>20.0</v>
      </c>
      <c r="E10" s="76">
        <f>BITLSHIFT( POWER(2,C10)-1,D10)-POWER(2,31)</f>
        <v>2146435072</v>
      </c>
      <c r="F10" s="76"/>
    </row>
    <row r="11">
      <c r="A11" s="74" t="s">
        <v>123</v>
      </c>
      <c r="B11" s="75" t="s">
        <v>172</v>
      </c>
      <c r="C11" s="75">
        <v>5.0</v>
      </c>
      <c r="D11" s="75">
        <v>15.0</v>
      </c>
      <c r="E11" s="76">
        <f t="shared" ref="E11:E16" si="1">BITLSHIFT( POWER(2,C11)-1,D11)</f>
        <v>1015808</v>
      </c>
      <c r="F11" s="76"/>
    </row>
    <row r="12">
      <c r="A12" s="74" t="s">
        <v>12</v>
      </c>
      <c r="B12" s="75" t="s">
        <v>173</v>
      </c>
      <c r="C12" s="75">
        <v>5.0</v>
      </c>
      <c r="D12" s="75">
        <v>20.0</v>
      </c>
      <c r="E12" s="76">
        <f t="shared" si="1"/>
        <v>32505856</v>
      </c>
      <c r="F12" s="76"/>
    </row>
    <row r="13">
      <c r="A13" s="74" t="s">
        <v>56</v>
      </c>
      <c r="B13" s="75" t="s">
        <v>174</v>
      </c>
      <c r="C13" s="75">
        <v>5.0</v>
      </c>
      <c r="D13" s="75">
        <v>7.0</v>
      </c>
      <c r="E13" s="76">
        <f t="shared" si="1"/>
        <v>3968</v>
      </c>
      <c r="F13" s="76"/>
    </row>
    <row r="14">
      <c r="A14" s="74" t="s">
        <v>53</v>
      </c>
      <c r="B14" s="75" t="s">
        <v>175</v>
      </c>
      <c r="C14" s="75">
        <v>1.0</v>
      </c>
      <c r="D14" s="75">
        <v>20.0</v>
      </c>
      <c r="E14" s="76">
        <f t="shared" si="1"/>
        <v>1048576</v>
      </c>
      <c r="F14" s="76"/>
    </row>
    <row r="15">
      <c r="A15" s="82" t="s">
        <v>158</v>
      </c>
      <c r="B15" s="83" t="s">
        <v>176</v>
      </c>
      <c r="C15" s="83">
        <v>4.0</v>
      </c>
      <c r="D15" s="83">
        <v>8.0</v>
      </c>
      <c r="E15" s="84">
        <f t="shared" si="1"/>
        <v>3840</v>
      </c>
      <c r="F15" s="76"/>
    </row>
    <row r="16">
      <c r="A16" s="82" t="s">
        <v>154</v>
      </c>
      <c r="B16" s="83" t="s">
        <v>177</v>
      </c>
      <c r="C16" s="83">
        <v>1.0</v>
      </c>
      <c r="D16" s="83">
        <v>7.0</v>
      </c>
      <c r="E16" s="84">
        <f t="shared" si="1"/>
        <v>128</v>
      </c>
      <c r="F16" s="76"/>
    </row>
    <row r="17">
      <c r="A17" s="85" t="s">
        <v>178</v>
      </c>
      <c r="B17" s="86" t="s">
        <v>179</v>
      </c>
    </row>
    <row r="19">
      <c r="A19" s="35" t="s">
        <v>180</v>
      </c>
    </row>
    <row r="20">
      <c r="A20" s="33" t="s">
        <v>169</v>
      </c>
      <c r="B20" s="35" t="s">
        <v>181</v>
      </c>
    </row>
    <row r="26">
      <c r="A26" s="33"/>
    </row>
    <row r="27">
      <c r="A27" s="33"/>
    </row>
    <row r="28">
      <c r="A28" s="33"/>
    </row>
    <row r="30">
      <c r="A30" s="33"/>
    </row>
  </sheetData>
  <drawing r:id="rId1"/>
</worksheet>
</file>