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Tracy\Documents\fusion\_Very Cold Fusion\Calculations\"/>
    </mc:Choice>
  </mc:AlternateContent>
  <xr:revisionPtr revIDLastSave="0" documentId="13_ncr:1_{5CA4EC33-CC6A-44A0-82C1-22BF37EF7D54}" xr6:coauthVersionLast="47" xr6:coauthVersionMax="47" xr10:uidLastSave="{00000000-0000-0000-0000-000000000000}"/>
  <bookViews>
    <workbookView xWindow="-108" yWindow="-108" windowWidth="23256" windowHeight="13176" xr2:uid="{7390A52A-9C45-4961-8808-977CA087CA29}"/>
    <workbookView xWindow="-108" yWindow="-108" windowWidth="23256" windowHeight="13176" xr2:uid="{7587DC63-9961-43A2-8257-06FDB7CD2EC4}"/>
  </bookViews>
  <sheets>
    <sheet name="Calculations" sheetId="1" r:id="rId1"/>
    <sheet name="rCav .025" sheetId="7" r:id="rId2"/>
    <sheet name="Optimize Rcav = .025" sheetId="2" r:id="rId3"/>
    <sheet name="rCav .05" sheetId="6" r:id="rId4"/>
    <sheet name="Optimize Rcav=.05" sheetId="3" r:id="rId5"/>
    <sheet name="Copper tubing sizes" sheetId="4" r:id="rId6"/>
  </sheets>
  <definedNames>
    <definedName name="\L">Calculations!$B$167</definedName>
    <definedName name="\LM">Calculations!$B$164</definedName>
    <definedName name="\r1">Calculations!$F$5</definedName>
    <definedName name="\r2">Calculations!$E$4</definedName>
    <definedName name="_c">Calculations!$P$89</definedName>
    <definedName name="_C0">Calculations!$B$166</definedName>
    <definedName name="_C1">Calculations!$B$165</definedName>
    <definedName name="_d">Calculations!$B$159</definedName>
    <definedName name="_deg">Calculations!$B$160</definedName>
    <definedName name="_f0">Calculations!$B$168</definedName>
    <definedName name="_l">Calculations!$B$157</definedName>
    <definedName name="_r0">Calculations!$B$163</definedName>
    <definedName name="_r1">Calculations!$B$158</definedName>
    <definedName name="_r2">Calculations!$B$156</definedName>
    <definedName name="_rb0">Calculations!$B$162</definedName>
    <definedName name="alpha">Calculations!$B$161</definedName>
    <definedName name="deg">Calculations!$B$160</definedName>
    <definedName name="Dline">Calculations!$P$91</definedName>
    <definedName name="dmult">Calculations!$R$5</definedName>
    <definedName name="epsilon0">Calculations!$P$87</definedName>
    <definedName name="lambda">Calculations!$B$170</definedName>
    <definedName name="Mu0">Calculations!$P$85</definedName>
    <definedName name="S_Ag">Calculations!$F$74</definedName>
    <definedName name="S_Al">Calculations!$O$74</definedName>
    <definedName name="S_Au">Calculations!$L$74</definedName>
    <definedName name="S_brass">Calculations!$R$74</definedName>
    <definedName name="S_Cu">Calculations!$I$74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10" i="1"/>
  <c r="I9" i="1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M12" i="2"/>
  <c r="I199" i="1"/>
  <c r="H199" i="1"/>
  <c r="G199" i="1"/>
  <c r="F199" i="1"/>
  <c r="E199" i="1"/>
  <c r="D199" i="1"/>
  <c r="C199" i="1"/>
  <c r="B199" i="1"/>
  <c r="I185" i="1"/>
  <c r="I186" i="1" s="1"/>
  <c r="H185" i="1"/>
  <c r="H186" i="1" s="1"/>
  <c r="H190" i="1" s="1"/>
  <c r="G185" i="1"/>
  <c r="G186" i="1" s="1"/>
  <c r="G187" i="1" s="1"/>
  <c r="I181" i="1"/>
  <c r="H181" i="1"/>
  <c r="G181" i="1"/>
  <c r="C185" i="1"/>
  <c r="C186" i="1" s="1"/>
  <c r="C187" i="1" s="1"/>
  <c r="B185" i="1"/>
  <c r="B186" i="1" s="1"/>
  <c r="B187" i="1" s="1"/>
  <c r="C181" i="1"/>
  <c r="B181" i="1"/>
  <c r="R178" i="1"/>
  <c r="D185" i="1"/>
  <c r="D186" i="1" s="1"/>
  <c r="E185" i="1"/>
  <c r="E186" i="1" s="1"/>
  <c r="D181" i="1"/>
  <c r="E181" i="1"/>
  <c r="F185" i="1"/>
  <c r="B97" i="1"/>
  <c r="B94" i="1"/>
  <c r="I12" i="1"/>
  <c r="B95" i="1"/>
  <c r="H187" i="1" l="1"/>
  <c r="H188" i="1" s="1"/>
  <c r="I190" i="1"/>
  <c r="I187" i="1"/>
  <c r="G188" i="1"/>
  <c r="G189" i="1" s="1"/>
  <c r="G190" i="1"/>
  <c r="B188" i="1"/>
  <c r="B189" i="1" s="1"/>
  <c r="C188" i="1"/>
  <c r="C189" i="1" s="1"/>
  <c r="B190" i="1"/>
  <c r="C190" i="1"/>
  <c r="E190" i="1"/>
  <c r="E187" i="1"/>
  <c r="D190" i="1"/>
  <c r="D187" i="1"/>
  <c r="F186" i="1"/>
  <c r="F181" i="1"/>
  <c r="B96" i="1"/>
  <c r="B138" i="1" s="1"/>
  <c r="C95" i="1"/>
  <c r="D95" i="1" s="1"/>
  <c r="E95" i="1" s="1"/>
  <c r="F95" i="1" s="1"/>
  <c r="G95" i="1" s="1"/>
  <c r="H95" i="1" s="1"/>
  <c r="I95" i="1" s="1"/>
  <c r="J95" i="1" s="1"/>
  <c r="K95" i="1" s="1"/>
  <c r="L95" i="1" s="1"/>
  <c r="M95" i="1" s="1"/>
  <c r="N95" i="1" s="1"/>
  <c r="O95" i="1" s="1"/>
  <c r="P95" i="1" s="1"/>
  <c r="Q95" i="1" s="1"/>
  <c r="R95" i="1" s="1"/>
  <c r="S95" i="1" s="1"/>
  <c r="T95" i="1" s="1"/>
  <c r="U95" i="1" s="1"/>
  <c r="B137" i="1"/>
  <c r="C94" i="1"/>
  <c r="D94" i="1" s="1"/>
  <c r="E94" i="1" s="1"/>
  <c r="E137" i="1" s="1"/>
  <c r="C97" i="1"/>
  <c r="D97" i="1" s="1"/>
  <c r="E97" i="1" s="1"/>
  <c r="F97" i="1" s="1"/>
  <c r="G97" i="1" s="1"/>
  <c r="H97" i="1" s="1"/>
  <c r="I97" i="1" s="1"/>
  <c r="J97" i="1" s="1"/>
  <c r="K97" i="1" s="1"/>
  <c r="L97" i="1" s="1"/>
  <c r="M97" i="1" s="1"/>
  <c r="N97" i="1" s="1"/>
  <c r="O97" i="1" s="1"/>
  <c r="P97" i="1" s="1"/>
  <c r="Q97" i="1" s="1"/>
  <c r="R97" i="1" s="1"/>
  <c r="S97" i="1" s="1"/>
  <c r="T97" i="1" s="1"/>
  <c r="U97" i="1" s="1"/>
  <c r="U140" i="1" s="1"/>
  <c r="R100" i="1"/>
  <c r="N100" i="1"/>
  <c r="J100" i="1"/>
  <c r="F100" i="1"/>
  <c r="U100" i="1"/>
  <c r="T100" i="1"/>
  <c r="B139" i="1"/>
  <c r="S100" i="1"/>
  <c r="Q100" i="1"/>
  <c r="P100" i="1"/>
  <c r="O100" i="1"/>
  <c r="M100" i="1"/>
  <c r="L100" i="1"/>
  <c r="K100" i="1"/>
  <c r="I100" i="1"/>
  <c r="H100" i="1"/>
  <c r="G100" i="1"/>
  <c r="E100" i="1"/>
  <c r="D100" i="1"/>
  <c r="C100" i="1"/>
  <c r="B100" i="1"/>
  <c r="L161" i="1"/>
  <c r="L162" i="1" s="1"/>
  <c r="S161" i="1"/>
  <c r="S162" i="1" s="1"/>
  <c r="R161" i="1"/>
  <c r="R162" i="1" s="1"/>
  <c r="Q161" i="1"/>
  <c r="Q162" i="1" s="1"/>
  <c r="P161" i="1"/>
  <c r="P162" i="1" s="1"/>
  <c r="O161" i="1"/>
  <c r="O162" i="1" s="1"/>
  <c r="O163" i="1" s="1"/>
  <c r="N161" i="1"/>
  <c r="N162" i="1" s="1"/>
  <c r="M161" i="1"/>
  <c r="M162" i="1" s="1"/>
  <c r="M166" i="1" s="1"/>
  <c r="K161" i="1"/>
  <c r="K162" i="1" s="1"/>
  <c r="K166" i="1" s="1"/>
  <c r="J161" i="1"/>
  <c r="J162" i="1" s="1"/>
  <c r="I161" i="1"/>
  <c r="I162" i="1" s="1"/>
  <c r="H161" i="1"/>
  <c r="H162" i="1" s="1"/>
  <c r="H166" i="1" s="1"/>
  <c r="G161" i="1"/>
  <c r="G162" i="1" s="1"/>
  <c r="G166" i="1" s="1"/>
  <c r="F161" i="1"/>
  <c r="F162" i="1" s="1"/>
  <c r="E161" i="1"/>
  <c r="E162" i="1" s="1"/>
  <c r="E166" i="1" s="1"/>
  <c r="D161" i="1"/>
  <c r="D162" i="1" s="1"/>
  <c r="C161" i="1"/>
  <c r="B161" i="1"/>
  <c r="B162" i="1" s="1"/>
  <c r="P85" i="1"/>
  <c r="C96" i="1" l="1"/>
  <c r="D96" i="1" s="1"/>
  <c r="E96" i="1" s="1"/>
  <c r="F96" i="1" s="1"/>
  <c r="G96" i="1" s="1"/>
  <c r="H96" i="1" s="1"/>
  <c r="I96" i="1" s="1"/>
  <c r="J96" i="1" s="1"/>
  <c r="K96" i="1" s="1"/>
  <c r="L96" i="1" s="1"/>
  <c r="M96" i="1" s="1"/>
  <c r="N96" i="1" s="1"/>
  <c r="O96" i="1" s="1"/>
  <c r="P96" i="1" s="1"/>
  <c r="Q96" i="1" s="1"/>
  <c r="R96" i="1" s="1"/>
  <c r="S96" i="1" s="1"/>
  <c r="T96" i="1" s="1"/>
  <c r="U96" i="1" s="1"/>
  <c r="U138" i="1" s="1"/>
  <c r="I191" i="1"/>
  <c r="H191" i="1"/>
  <c r="G191" i="1"/>
  <c r="G192" i="1" s="1"/>
  <c r="G200" i="1" s="1"/>
  <c r="C191" i="1"/>
  <c r="C192" i="1" s="1"/>
  <c r="C200" i="1" s="1"/>
  <c r="B191" i="1"/>
  <c r="B192" i="1" s="1"/>
  <c r="B200" i="1" s="1"/>
  <c r="H189" i="1"/>
  <c r="H192" i="1" s="1"/>
  <c r="I188" i="1"/>
  <c r="I189" i="1" s="1"/>
  <c r="I192" i="1" s="1"/>
  <c r="I200" i="1" s="1"/>
  <c r="I167" i="1"/>
  <c r="D191" i="1"/>
  <c r="E191" i="1"/>
  <c r="E188" i="1"/>
  <c r="E189" i="1" s="1"/>
  <c r="D188" i="1"/>
  <c r="D189" i="1" s="1"/>
  <c r="F191" i="1"/>
  <c r="F187" i="1"/>
  <c r="F190" i="1"/>
  <c r="C137" i="1"/>
  <c r="D140" i="1"/>
  <c r="L140" i="1"/>
  <c r="H140" i="1"/>
  <c r="P140" i="1"/>
  <c r="T140" i="1"/>
  <c r="B140" i="1"/>
  <c r="B144" i="1" s="1"/>
  <c r="F140" i="1"/>
  <c r="J140" i="1"/>
  <c r="N140" i="1"/>
  <c r="R140" i="1"/>
  <c r="D137" i="1"/>
  <c r="C140" i="1"/>
  <c r="G140" i="1"/>
  <c r="K140" i="1"/>
  <c r="O140" i="1"/>
  <c r="S140" i="1"/>
  <c r="E140" i="1"/>
  <c r="I140" i="1"/>
  <c r="M140" i="1"/>
  <c r="Q140" i="1"/>
  <c r="D139" i="1"/>
  <c r="F94" i="1"/>
  <c r="B106" i="1"/>
  <c r="D106" i="1"/>
  <c r="E167" i="1"/>
  <c r="M167" i="1"/>
  <c r="F167" i="1"/>
  <c r="J167" i="1"/>
  <c r="N167" i="1"/>
  <c r="Q167" i="1"/>
  <c r="G167" i="1"/>
  <c r="K167" i="1"/>
  <c r="R167" i="1"/>
  <c r="C167" i="1"/>
  <c r="D167" i="1"/>
  <c r="H167" i="1"/>
  <c r="L167" i="1"/>
  <c r="O167" i="1"/>
  <c r="S167" i="1"/>
  <c r="P167" i="1"/>
  <c r="E163" i="1"/>
  <c r="E164" i="1" s="1"/>
  <c r="E165" i="1" s="1"/>
  <c r="P166" i="1"/>
  <c r="P163" i="1"/>
  <c r="Q166" i="1"/>
  <c r="Q163" i="1"/>
  <c r="R166" i="1"/>
  <c r="R163" i="1"/>
  <c r="S166" i="1"/>
  <c r="S163" i="1"/>
  <c r="O164" i="1"/>
  <c r="O165" i="1" s="1"/>
  <c r="O166" i="1"/>
  <c r="M163" i="1"/>
  <c r="L166" i="1"/>
  <c r="L163" i="1"/>
  <c r="L164" i="1" s="1"/>
  <c r="I166" i="1"/>
  <c r="I163" i="1"/>
  <c r="H163" i="1"/>
  <c r="H164" i="1" s="1"/>
  <c r="D166" i="1"/>
  <c r="D163" i="1"/>
  <c r="D164" i="1" s="1"/>
  <c r="D165" i="1" s="1"/>
  <c r="F166" i="1"/>
  <c r="F163" i="1"/>
  <c r="J166" i="1"/>
  <c r="J163" i="1"/>
  <c r="N166" i="1"/>
  <c r="N163" i="1"/>
  <c r="G163" i="1"/>
  <c r="K163" i="1"/>
  <c r="C162" i="1"/>
  <c r="B163" i="1"/>
  <c r="B166" i="1"/>
  <c r="F138" i="1" l="1"/>
  <c r="E138" i="1"/>
  <c r="L138" i="1"/>
  <c r="G138" i="1"/>
  <c r="J138" i="1"/>
  <c r="R138" i="1"/>
  <c r="Q138" i="1"/>
  <c r="H138" i="1"/>
  <c r="S138" i="1"/>
  <c r="C138" i="1"/>
  <c r="I138" i="1"/>
  <c r="P138" i="1"/>
  <c r="K138" i="1"/>
  <c r="N138" i="1"/>
  <c r="M138" i="1"/>
  <c r="T138" i="1"/>
  <c r="D138" i="1"/>
  <c r="O138" i="1"/>
  <c r="H193" i="1"/>
  <c r="H200" i="1"/>
  <c r="E192" i="1"/>
  <c r="E200" i="1" s="1"/>
  <c r="H194" i="1"/>
  <c r="H195" i="1"/>
  <c r="H196" i="1" s="1"/>
  <c r="I193" i="1"/>
  <c r="I194" i="1"/>
  <c r="I195" i="1"/>
  <c r="I196" i="1" s="1"/>
  <c r="G195" i="1"/>
  <c r="G196" i="1" s="1"/>
  <c r="G194" i="1"/>
  <c r="G193" i="1"/>
  <c r="B195" i="1"/>
  <c r="B196" i="1" s="1"/>
  <c r="B193" i="1"/>
  <c r="B194" i="1"/>
  <c r="C195" i="1"/>
  <c r="C196" i="1" s="1"/>
  <c r="C193" i="1"/>
  <c r="C194" i="1"/>
  <c r="E195" i="1"/>
  <c r="E196" i="1" s="1"/>
  <c r="E194" i="1"/>
  <c r="D192" i="1"/>
  <c r="D200" i="1" s="1"/>
  <c r="F188" i="1"/>
  <c r="F189" i="1" s="1"/>
  <c r="F192" i="1" s="1"/>
  <c r="F200" i="1" s="1"/>
  <c r="E168" i="1"/>
  <c r="E170" i="1" s="1"/>
  <c r="E106" i="1"/>
  <c r="E139" i="1"/>
  <c r="C139" i="1"/>
  <c r="C106" i="1"/>
  <c r="G94" i="1"/>
  <c r="F137" i="1"/>
  <c r="F139" i="1"/>
  <c r="B167" i="1"/>
  <c r="O168" i="1"/>
  <c r="O170" i="1" s="1"/>
  <c r="R164" i="1"/>
  <c r="R165" i="1" s="1"/>
  <c r="R168" i="1" s="1"/>
  <c r="R170" i="1" s="1"/>
  <c r="P164" i="1"/>
  <c r="P165" i="1" s="1"/>
  <c r="P168" i="1" s="1"/>
  <c r="P170" i="1" s="1"/>
  <c r="S164" i="1"/>
  <c r="S165" i="1" s="1"/>
  <c r="S168" i="1" s="1"/>
  <c r="S170" i="1" s="1"/>
  <c r="Q164" i="1"/>
  <c r="Q165" i="1" s="1"/>
  <c r="Q168" i="1" s="1"/>
  <c r="Q170" i="1" s="1"/>
  <c r="D168" i="1"/>
  <c r="D170" i="1" s="1"/>
  <c r="H165" i="1"/>
  <c r="H168" i="1" s="1"/>
  <c r="H170" i="1" s="1"/>
  <c r="M164" i="1"/>
  <c r="M165" i="1" s="1"/>
  <c r="M168" i="1" s="1"/>
  <c r="M170" i="1" s="1"/>
  <c r="L165" i="1"/>
  <c r="I164" i="1"/>
  <c r="I165" i="1" s="1"/>
  <c r="I168" i="1" s="1"/>
  <c r="I170" i="1" s="1"/>
  <c r="N164" i="1"/>
  <c r="N165" i="1" s="1"/>
  <c r="N168" i="1" s="1"/>
  <c r="N170" i="1" s="1"/>
  <c r="F164" i="1"/>
  <c r="F165" i="1" s="1"/>
  <c r="F168" i="1" s="1"/>
  <c r="F170" i="1" s="1"/>
  <c r="K164" i="1"/>
  <c r="K165" i="1" s="1"/>
  <c r="J164" i="1"/>
  <c r="J165" i="1" s="1"/>
  <c r="J168" i="1" s="1"/>
  <c r="J170" i="1" s="1"/>
  <c r="G164" i="1"/>
  <c r="G165" i="1" s="1"/>
  <c r="G168" i="1" s="1"/>
  <c r="G170" i="1" s="1"/>
  <c r="C163" i="1"/>
  <c r="C166" i="1"/>
  <c r="B164" i="1"/>
  <c r="E193" i="1" l="1"/>
  <c r="H197" i="1"/>
  <c r="H201" i="1" s="1"/>
  <c r="B197" i="1"/>
  <c r="B201" i="1" s="1"/>
  <c r="I197" i="1"/>
  <c r="I201" i="1" s="1"/>
  <c r="G197" i="1"/>
  <c r="G201" i="1" s="1"/>
  <c r="E197" i="1"/>
  <c r="E201" i="1" s="1"/>
  <c r="C197" i="1"/>
  <c r="C201" i="1" s="1"/>
  <c r="D193" i="1"/>
  <c r="D194" i="1"/>
  <c r="D195" i="1"/>
  <c r="D196" i="1" s="1"/>
  <c r="F195" i="1"/>
  <c r="F196" i="1" s="1"/>
  <c r="F194" i="1"/>
  <c r="F193" i="1"/>
  <c r="H94" i="1"/>
  <c r="G137" i="1"/>
  <c r="D144" i="1"/>
  <c r="E144" i="1"/>
  <c r="C144" i="1"/>
  <c r="F144" i="1"/>
  <c r="G139" i="1"/>
  <c r="F106" i="1"/>
  <c r="K168" i="1"/>
  <c r="K170" i="1" s="1"/>
  <c r="L168" i="1"/>
  <c r="L170" i="1" s="1"/>
  <c r="C164" i="1"/>
  <c r="B165" i="1"/>
  <c r="B168" i="1" s="1"/>
  <c r="B170" i="1" s="1"/>
  <c r="D197" i="1" l="1"/>
  <c r="D201" i="1" s="1"/>
  <c r="F197" i="1"/>
  <c r="F201" i="1" s="1"/>
  <c r="G144" i="1"/>
  <c r="I94" i="1"/>
  <c r="H137" i="1"/>
  <c r="G106" i="1"/>
  <c r="H139" i="1"/>
  <c r="C165" i="1"/>
  <c r="C168" i="1" s="1"/>
  <c r="C170" i="1" s="1"/>
  <c r="H144" i="1" l="1"/>
  <c r="J94" i="1"/>
  <c r="I137" i="1"/>
  <c r="H106" i="1"/>
  <c r="I139" i="1"/>
  <c r="K94" i="1" l="1"/>
  <c r="J137" i="1"/>
  <c r="I144" i="1"/>
  <c r="J139" i="1"/>
  <c r="I106" i="1"/>
  <c r="J144" i="1" l="1"/>
  <c r="L94" i="1"/>
  <c r="K137" i="1"/>
  <c r="J106" i="1"/>
  <c r="K139" i="1"/>
  <c r="K144" i="1" l="1"/>
  <c r="M94" i="1"/>
  <c r="L137" i="1"/>
  <c r="L139" i="1"/>
  <c r="K106" i="1"/>
  <c r="L144" i="1" l="1"/>
  <c r="N94" i="1"/>
  <c r="M137" i="1"/>
  <c r="L106" i="1"/>
  <c r="M139" i="1"/>
  <c r="O94" i="1" l="1"/>
  <c r="N137" i="1"/>
  <c r="M144" i="1"/>
  <c r="M106" i="1"/>
  <c r="N139" i="1"/>
  <c r="N144" i="1" l="1"/>
  <c r="P94" i="1"/>
  <c r="O137" i="1"/>
  <c r="N106" i="1"/>
  <c r="O139" i="1"/>
  <c r="Q94" i="1" l="1"/>
  <c r="P137" i="1"/>
  <c r="O144" i="1"/>
  <c r="O106" i="1"/>
  <c r="P139" i="1"/>
  <c r="P144" i="1" l="1"/>
  <c r="R94" i="1"/>
  <c r="Q137" i="1"/>
  <c r="P106" i="1"/>
  <c r="Q139" i="1"/>
  <c r="Q144" i="1" l="1"/>
  <c r="S94" i="1"/>
  <c r="R137" i="1"/>
  <c r="Q106" i="1"/>
  <c r="R139" i="1"/>
  <c r="T94" i="1" l="1"/>
  <c r="S137" i="1"/>
  <c r="R144" i="1"/>
  <c r="R106" i="1"/>
  <c r="S139" i="1"/>
  <c r="S144" i="1" l="1"/>
  <c r="U94" i="1"/>
  <c r="U137" i="1" s="1"/>
  <c r="T137" i="1"/>
  <c r="T139" i="1"/>
  <c r="S106" i="1"/>
  <c r="T144" i="1" l="1"/>
  <c r="U139" i="1"/>
  <c r="T106" i="1"/>
  <c r="U106" i="1" l="1"/>
  <c r="U144" i="1"/>
  <c r="B98" i="1"/>
  <c r="B13" i="1"/>
  <c r="R5" i="1" s="1"/>
  <c r="C98" i="1" l="1"/>
  <c r="B101" i="1"/>
  <c r="B141" i="1"/>
  <c r="B143" i="1" l="1"/>
  <c r="B142" i="1"/>
  <c r="B105" i="1"/>
  <c r="B102" i="1"/>
  <c r="C13" i="1"/>
  <c r="D98" i="1"/>
  <c r="C101" i="1"/>
  <c r="C141" i="1"/>
  <c r="B145" i="1" l="1"/>
  <c r="B147" i="1" s="1"/>
  <c r="B148" i="1" s="1"/>
  <c r="C143" i="1"/>
  <c r="C142" i="1"/>
  <c r="B103" i="1"/>
  <c r="B104" i="1" s="1"/>
  <c r="B107" i="1" s="1"/>
  <c r="C102" i="1"/>
  <c r="C105" i="1"/>
  <c r="D141" i="1"/>
  <c r="E98" i="1"/>
  <c r="D101" i="1"/>
  <c r="D13" i="1"/>
  <c r="B149" i="1" l="1"/>
  <c r="B150" i="1" s="1"/>
  <c r="B17" i="1" s="1"/>
  <c r="B146" i="1"/>
  <c r="B15" i="1"/>
  <c r="B19" i="1" s="1"/>
  <c r="B109" i="1"/>
  <c r="B110" i="1" s="1"/>
  <c r="B111" i="1"/>
  <c r="B14" i="1"/>
  <c r="B108" i="1"/>
  <c r="B18" i="1" s="1"/>
  <c r="D105" i="1"/>
  <c r="D102" i="1"/>
  <c r="C103" i="1"/>
  <c r="C104" i="1" s="1"/>
  <c r="C107" i="1" s="1"/>
  <c r="C145" i="1"/>
  <c r="D142" i="1"/>
  <c r="D143" i="1"/>
  <c r="E141" i="1"/>
  <c r="E101" i="1"/>
  <c r="E13" i="1"/>
  <c r="F98" i="1"/>
  <c r="B112" i="1" l="1"/>
  <c r="B16" i="1" s="1"/>
  <c r="C14" i="1"/>
  <c r="B20" i="1" s="1"/>
  <c r="C108" i="1"/>
  <c r="C18" i="1" s="1"/>
  <c r="C109" i="1"/>
  <c r="C110" i="1" s="1"/>
  <c r="C111" i="1"/>
  <c r="C149" i="1"/>
  <c r="C146" i="1"/>
  <c r="C147" i="1"/>
  <c r="C148" i="1" s="1"/>
  <c r="C15" i="1"/>
  <c r="E143" i="1"/>
  <c r="E142" i="1"/>
  <c r="D103" i="1"/>
  <c r="D104" i="1" s="1"/>
  <c r="D107" i="1" s="1"/>
  <c r="E105" i="1"/>
  <c r="E102" i="1"/>
  <c r="F101" i="1"/>
  <c r="F13" i="1"/>
  <c r="F141" i="1"/>
  <c r="G98" i="1"/>
  <c r="D145" i="1"/>
  <c r="E145" i="1" l="1"/>
  <c r="E15" i="1" s="1"/>
  <c r="C112" i="1"/>
  <c r="C16" i="1" s="1"/>
  <c r="C150" i="1"/>
  <c r="C17" i="1" s="1"/>
  <c r="D111" i="1"/>
  <c r="D108" i="1"/>
  <c r="D18" i="1" s="1"/>
  <c r="D109" i="1"/>
  <c r="D110" i="1" s="1"/>
  <c r="D14" i="1"/>
  <c r="C20" i="1" s="1"/>
  <c r="B21" i="1"/>
  <c r="C19" i="1"/>
  <c r="H98" i="1"/>
  <c r="G13" i="1"/>
  <c r="G101" i="1"/>
  <c r="G141" i="1"/>
  <c r="D149" i="1"/>
  <c r="D15" i="1"/>
  <c r="D147" i="1"/>
  <c r="D148" i="1" s="1"/>
  <c r="D146" i="1"/>
  <c r="F105" i="1"/>
  <c r="F102" i="1"/>
  <c r="F143" i="1"/>
  <c r="F142" i="1"/>
  <c r="E103" i="1"/>
  <c r="E104" i="1" s="1"/>
  <c r="E107" i="1" s="1"/>
  <c r="E146" i="1" l="1"/>
  <c r="E147" i="1"/>
  <c r="E148" i="1" s="1"/>
  <c r="E149" i="1"/>
  <c r="D150" i="1"/>
  <c r="D17" i="1" s="1"/>
  <c r="E14" i="1"/>
  <c r="D20" i="1" s="1"/>
  <c r="E111" i="1"/>
  <c r="E108" i="1"/>
  <c r="E18" i="1" s="1"/>
  <c r="E109" i="1"/>
  <c r="E110" i="1" s="1"/>
  <c r="H101" i="1"/>
  <c r="I98" i="1"/>
  <c r="H13" i="1"/>
  <c r="H141" i="1"/>
  <c r="G143" i="1"/>
  <c r="G142" i="1"/>
  <c r="E19" i="1"/>
  <c r="D21" i="1"/>
  <c r="F145" i="1"/>
  <c r="F103" i="1"/>
  <c r="F104" i="1" s="1"/>
  <c r="F107" i="1" s="1"/>
  <c r="D19" i="1"/>
  <c r="C21" i="1"/>
  <c r="G105" i="1"/>
  <c r="G102" i="1"/>
  <c r="D112" i="1"/>
  <c r="D16" i="1" s="1"/>
  <c r="E150" i="1" l="1"/>
  <c r="E17" i="1" s="1"/>
  <c r="F111" i="1"/>
  <c r="F14" i="1"/>
  <c r="E20" i="1" s="1"/>
  <c r="F108" i="1"/>
  <c r="F18" i="1" s="1"/>
  <c r="F109" i="1"/>
  <c r="F110" i="1" s="1"/>
  <c r="G103" i="1"/>
  <c r="G104" i="1" s="1"/>
  <c r="G107" i="1" s="1"/>
  <c r="H143" i="1"/>
  <c r="H142" i="1"/>
  <c r="F149" i="1"/>
  <c r="F15" i="1"/>
  <c r="F147" i="1"/>
  <c r="F148" i="1" s="1"/>
  <c r="F146" i="1"/>
  <c r="I141" i="1"/>
  <c r="I13" i="1"/>
  <c r="I101" i="1"/>
  <c r="J98" i="1"/>
  <c r="E112" i="1"/>
  <c r="E16" i="1" s="1"/>
  <c r="G145" i="1"/>
  <c r="H105" i="1"/>
  <c r="H102" i="1"/>
  <c r="G111" i="1" l="1"/>
  <c r="G108" i="1"/>
  <c r="G18" i="1" s="1"/>
  <c r="G109" i="1"/>
  <c r="G110" i="1" s="1"/>
  <c r="G14" i="1"/>
  <c r="F20" i="1" s="1"/>
  <c r="G15" i="1"/>
  <c r="G149" i="1"/>
  <c r="G147" i="1"/>
  <c r="G148" i="1" s="1"/>
  <c r="G146" i="1"/>
  <c r="F19" i="1"/>
  <c r="E21" i="1"/>
  <c r="H145" i="1"/>
  <c r="I105" i="1"/>
  <c r="I102" i="1"/>
  <c r="F150" i="1"/>
  <c r="F17" i="1" s="1"/>
  <c r="I142" i="1"/>
  <c r="I143" i="1"/>
  <c r="H103" i="1"/>
  <c r="H104" i="1" s="1"/>
  <c r="H107" i="1" s="1"/>
  <c r="J101" i="1"/>
  <c r="J141" i="1"/>
  <c r="J13" i="1"/>
  <c r="K98" i="1"/>
  <c r="F112" i="1"/>
  <c r="F16" i="1" s="1"/>
  <c r="H14" i="1" l="1"/>
  <c r="G20" i="1" s="1"/>
  <c r="H109" i="1"/>
  <c r="H110" i="1" s="1"/>
  <c r="H108" i="1"/>
  <c r="H18" i="1" s="1"/>
  <c r="H111" i="1"/>
  <c r="J105" i="1"/>
  <c r="J102" i="1"/>
  <c r="H149" i="1"/>
  <c r="H146" i="1"/>
  <c r="H147" i="1"/>
  <c r="H148" i="1" s="1"/>
  <c r="H15" i="1"/>
  <c r="K141" i="1"/>
  <c r="K13" i="1"/>
  <c r="L98" i="1"/>
  <c r="K101" i="1"/>
  <c r="I103" i="1"/>
  <c r="I104" i="1" s="1"/>
  <c r="I107" i="1" s="1"/>
  <c r="F21" i="1"/>
  <c r="G19" i="1"/>
  <c r="G150" i="1"/>
  <c r="G17" i="1" s="1"/>
  <c r="J143" i="1"/>
  <c r="J142" i="1"/>
  <c r="I145" i="1"/>
  <c r="G112" i="1"/>
  <c r="G16" i="1" s="1"/>
  <c r="H112" i="1" l="1"/>
  <c r="H16" i="1" s="1"/>
  <c r="H150" i="1"/>
  <c r="H17" i="1" s="1"/>
  <c r="J145" i="1"/>
  <c r="J149" i="1" s="1"/>
  <c r="I14" i="1"/>
  <c r="H20" i="1" s="1"/>
  <c r="I109" i="1"/>
  <c r="I110" i="1" s="1"/>
  <c r="I111" i="1"/>
  <c r="I108" i="1"/>
  <c r="I18" i="1" s="1"/>
  <c r="K142" i="1"/>
  <c r="K143" i="1"/>
  <c r="I149" i="1"/>
  <c r="I15" i="1"/>
  <c r="I146" i="1"/>
  <c r="I147" i="1"/>
  <c r="I148" i="1" s="1"/>
  <c r="J103" i="1"/>
  <c r="J104" i="1" s="1"/>
  <c r="J107" i="1" s="1"/>
  <c r="K105" i="1"/>
  <c r="K102" i="1"/>
  <c r="G21" i="1"/>
  <c r="H19" i="1"/>
  <c r="M98" i="1"/>
  <c r="L101" i="1"/>
  <c r="L141" i="1"/>
  <c r="L13" i="1"/>
  <c r="J15" i="1" l="1"/>
  <c r="I21" i="1" s="1"/>
  <c r="J146" i="1"/>
  <c r="J147" i="1"/>
  <c r="J148" i="1" s="1"/>
  <c r="J150" i="1" s="1"/>
  <c r="J17" i="1" s="1"/>
  <c r="I112" i="1"/>
  <c r="I16" i="1" s="1"/>
  <c r="I150" i="1"/>
  <c r="I17" i="1" s="1"/>
  <c r="J111" i="1"/>
  <c r="J109" i="1"/>
  <c r="J110" i="1" s="1"/>
  <c r="J108" i="1"/>
  <c r="J18" i="1" s="1"/>
  <c r="J14" i="1"/>
  <c r="I20" i="1" s="1"/>
  <c r="L143" i="1"/>
  <c r="L142" i="1"/>
  <c r="I19" i="1"/>
  <c r="H21" i="1"/>
  <c r="L105" i="1"/>
  <c r="L102" i="1"/>
  <c r="K103" i="1"/>
  <c r="K104" i="1" s="1"/>
  <c r="K107" i="1" s="1"/>
  <c r="K145" i="1"/>
  <c r="M101" i="1"/>
  <c r="M141" i="1"/>
  <c r="N98" i="1"/>
  <c r="M13" i="1"/>
  <c r="J19" i="1" l="1"/>
  <c r="K111" i="1"/>
  <c r="K108" i="1"/>
  <c r="K18" i="1" s="1"/>
  <c r="K109" i="1"/>
  <c r="K110" i="1" s="1"/>
  <c r="K14" i="1"/>
  <c r="J20" i="1" s="1"/>
  <c r="N101" i="1"/>
  <c r="O98" i="1"/>
  <c r="N13" i="1"/>
  <c r="N141" i="1"/>
  <c r="M143" i="1"/>
  <c r="M142" i="1"/>
  <c r="M105" i="1"/>
  <c r="M102" i="1"/>
  <c r="L103" i="1"/>
  <c r="L104" i="1" s="1"/>
  <c r="L107" i="1" s="1"/>
  <c r="K15" i="1"/>
  <c r="K149" i="1"/>
  <c r="K146" i="1"/>
  <c r="K147" i="1"/>
  <c r="K148" i="1" s="1"/>
  <c r="L145" i="1"/>
  <c r="J112" i="1"/>
  <c r="J16" i="1" s="1"/>
  <c r="M145" i="1" l="1"/>
  <c r="M147" i="1" s="1"/>
  <c r="M148" i="1" s="1"/>
  <c r="K150" i="1"/>
  <c r="K17" i="1" s="1"/>
  <c r="K112" i="1"/>
  <c r="K16" i="1" s="1"/>
  <c r="L111" i="1"/>
  <c r="L14" i="1"/>
  <c r="K20" i="1" s="1"/>
  <c r="L108" i="1"/>
  <c r="L18" i="1" s="1"/>
  <c r="L109" i="1"/>
  <c r="L110" i="1" s="1"/>
  <c r="L149" i="1"/>
  <c r="L15" i="1"/>
  <c r="L146" i="1"/>
  <c r="L147" i="1"/>
  <c r="L148" i="1" s="1"/>
  <c r="M103" i="1"/>
  <c r="M104" i="1" s="1"/>
  <c r="M107" i="1" s="1"/>
  <c r="N143" i="1"/>
  <c r="N142" i="1"/>
  <c r="J21" i="1"/>
  <c r="K19" i="1"/>
  <c r="O141" i="1"/>
  <c r="O101" i="1"/>
  <c r="O13" i="1"/>
  <c r="P98" i="1"/>
  <c r="N105" i="1"/>
  <c r="N102" i="1"/>
  <c r="M149" i="1" l="1"/>
  <c r="M150" i="1" s="1"/>
  <c r="M17" i="1" s="1"/>
  <c r="M146" i="1"/>
  <c r="M15" i="1"/>
  <c r="L21" i="1" s="1"/>
  <c r="M111" i="1"/>
  <c r="M109" i="1"/>
  <c r="M110" i="1" s="1"/>
  <c r="M108" i="1"/>
  <c r="M18" i="1" s="1"/>
  <c r="M14" i="1"/>
  <c r="L20" i="1" s="1"/>
  <c r="O142" i="1"/>
  <c r="O143" i="1"/>
  <c r="N145" i="1"/>
  <c r="Q98" i="1"/>
  <c r="P13" i="1"/>
  <c r="P141" i="1"/>
  <c r="P101" i="1"/>
  <c r="L19" i="1"/>
  <c r="K21" i="1"/>
  <c r="N103" i="1"/>
  <c r="N104" i="1" s="1"/>
  <c r="N107" i="1" s="1"/>
  <c r="O102" i="1"/>
  <c r="O105" i="1"/>
  <c r="L150" i="1"/>
  <c r="L17" i="1" s="1"/>
  <c r="L112" i="1"/>
  <c r="L16" i="1" s="1"/>
  <c r="M19" i="1" l="1"/>
  <c r="M112" i="1"/>
  <c r="M16" i="1" s="1"/>
  <c r="N14" i="1"/>
  <c r="M20" i="1" s="1"/>
  <c r="N108" i="1"/>
  <c r="N18" i="1" s="1"/>
  <c r="N109" i="1"/>
  <c r="N110" i="1" s="1"/>
  <c r="N111" i="1"/>
  <c r="O103" i="1"/>
  <c r="O104" i="1" s="1"/>
  <c r="O107" i="1" s="1"/>
  <c r="P105" i="1"/>
  <c r="P102" i="1"/>
  <c r="N15" i="1"/>
  <c r="N149" i="1"/>
  <c r="N146" i="1"/>
  <c r="N147" i="1"/>
  <c r="N148" i="1" s="1"/>
  <c r="Q141" i="1"/>
  <c r="R98" i="1"/>
  <c r="Q101" i="1"/>
  <c r="Q13" i="1"/>
  <c r="P143" i="1"/>
  <c r="P142" i="1"/>
  <c r="O145" i="1"/>
  <c r="N150" i="1" l="1"/>
  <c r="N17" i="1" s="1"/>
  <c r="N112" i="1"/>
  <c r="N16" i="1" s="1"/>
  <c r="O108" i="1"/>
  <c r="O18" i="1" s="1"/>
  <c r="O109" i="1"/>
  <c r="O110" i="1" s="1"/>
  <c r="O14" i="1"/>
  <c r="N20" i="1" s="1"/>
  <c r="O111" i="1"/>
  <c r="O149" i="1"/>
  <c r="O15" i="1"/>
  <c r="O146" i="1"/>
  <c r="O147" i="1"/>
  <c r="O148" i="1" s="1"/>
  <c r="R101" i="1"/>
  <c r="R13" i="1"/>
  <c r="R141" i="1"/>
  <c r="S98" i="1"/>
  <c r="Q105" i="1"/>
  <c r="Q102" i="1"/>
  <c r="P145" i="1"/>
  <c r="Q143" i="1"/>
  <c r="Q142" i="1"/>
  <c r="N19" i="1"/>
  <c r="M21" i="1"/>
  <c r="P103" i="1"/>
  <c r="P104" i="1" s="1"/>
  <c r="P107" i="1" s="1"/>
  <c r="Q145" i="1" l="1"/>
  <c r="Q149" i="1" s="1"/>
  <c r="O112" i="1"/>
  <c r="O16" i="1" s="1"/>
  <c r="P111" i="1"/>
  <c r="P14" i="1"/>
  <c r="O20" i="1" s="1"/>
  <c r="P109" i="1"/>
  <c r="P110" i="1" s="1"/>
  <c r="P108" i="1"/>
  <c r="P18" i="1" s="1"/>
  <c r="Q103" i="1"/>
  <c r="Q104" i="1" s="1"/>
  <c r="Q107" i="1" s="1"/>
  <c r="R105" i="1"/>
  <c r="R102" i="1"/>
  <c r="O19" i="1"/>
  <c r="N21" i="1"/>
  <c r="P15" i="1"/>
  <c r="P149" i="1"/>
  <c r="P146" i="1"/>
  <c r="P147" i="1"/>
  <c r="P148" i="1" s="1"/>
  <c r="R143" i="1"/>
  <c r="R142" i="1"/>
  <c r="S101" i="1"/>
  <c r="S13" i="1"/>
  <c r="S141" i="1"/>
  <c r="T98" i="1"/>
  <c r="O150" i="1"/>
  <c r="O17" i="1" s="1"/>
  <c r="Q147" i="1" l="1"/>
  <c r="Q148" i="1" s="1"/>
  <c r="Q150" i="1" s="1"/>
  <c r="Q17" i="1" s="1"/>
  <c r="Q15" i="1"/>
  <c r="Q19" i="1" s="1"/>
  <c r="Q146" i="1"/>
  <c r="R145" i="1"/>
  <c r="R15" i="1" s="1"/>
  <c r="Q109" i="1"/>
  <c r="Q110" i="1" s="1"/>
  <c r="Q108" i="1"/>
  <c r="Q18" i="1" s="1"/>
  <c r="Q111" i="1"/>
  <c r="Q14" i="1"/>
  <c r="P20" i="1" s="1"/>
  <c r="T101" i="1"/>
  <c r="U98" i="1"/>
  <c r="T141" i="1"/>
  <c r="T13" i="1"/>
  <c r="O21" i="1"/>
  <c r="P19" i="1"/>
  <c r="S143" i="1"/>
  <c r="S142" i="1"/>
  <c r="S105" i="1"/>
  <c r="S102" i="1"/>
  <c r="P150" i="1"/>
  <c r="P17" i="1" s="1"/>
  <c r="R103" i="1"/>
  <c r="R104" i="1" s="1"/>
  <c r="R107" i="1" s="1"/>
  <c r="P112" i="1"/>
  <c r="P16" i="1" s="1"/>
  <c r="P21" i="1" l="1"/>
  <c r="R147" i="1"/>
  <c r="R148" i="1" s="1"/>
  <c r="R149" i="1"/>
  <c r="R146" i="1"/>
  <c r="Q112" i="1"/>
  <c r="Q16" i="1" s="1"/>
  <c r="R109" i="1"/>
  <c r="R110" i="1" s="1"/>
  <c r="R108" i="1"/>
  <c r="R18" i="1" s="1"/>
  <c r="R111" i="1"/>
  <c r="R14" i="1"/>
  <c r="Q20" i="1" s="1"/>
  <c r="S145" i="1"/>
  <c r="Q21" i="1"/>
  <c r="R19" i="1"/>
  <c r="T142" i="1"/>
  <c r="T143" i="1"/>
  <c r="U141" i="1"/>
  <c r="U101" i="1"/>
  <c r="U13" i="1"/>
  <c r="S103" i="1"/>
  <c r="S104" i="1" s="1"/>
  <c r="S107" i="1" s="1"/>
  <c r="T102" i="1"/>
  <c r="T105" i="1"/>
  <c r="R150" i="1" l="1"/>
  <c r="R17" i="1" s="1"/>
  <c r="R112" i="1"/>
  <c r="R16" i="1" s="1"/>
  <c r="S109" i="1"/>
  <c r="S110" i="1" s="1"/>
  <c r="S111" i="1"/>
  <c r="S108" i="1"/>
  <c r="S18" i="1" s="1"/>
  <c r="S14" i="1"/>
  <c r="R20" i="1" s="1"/>
  <c r="U105" i="1"/>
  <c r="U102" i="1"/>
  <c r="T103" i="1"/>
  <c r="T104" i="1" s="1"/>
  <c r="T107" i="1" s="1"/>
  <c r="U143" i="1"/>
  <c r="U142" i="1"/>
  <c r="T145" i="1"/>
  <c r="S146" i="1"/>
  <c r="S147" i="1"/>
  <c r="S148" i="1" s="1"/>
  <c r="S149" i="1"/>
  <c r="S15" i="1"/>
  <c r="S112" i="1" l="1"/>
  <c r="S16" i="1" s="1"/>
  <c r="S150" i="1"/>
  <c r="S17" i="1" s="1"/>
  <c r="T14" i="1"/>
  <c r="S20" i="1" s="1"/>
  <c r="T108" i="1"/>
  <c r="T18" i="1" s="1"/>
  <c r="T109" i="1"/>
  <c r="T110" i="1" s="1"/>
  <c r="T111" i="1"/>
  <c r="S19" i="1"/>
  <c r="R21" i="1"/>
  <c r="T15" i="1"/>
  <c r="T149" i="1"/>
  <c r="T146" i="1"/>
  <c r="T147" i="1"/>
  <c r="T148" i="1" s="1"/>
  <c r="U103" i="1"/>
  <c r="U104" i="1" s="1"/>
  <c r="U107" i="1" s="1"/>
  <c r="U145" i="1"/>
  <c r="T150" i="1" l="1"/>
  <c r="T17" i="1" s="1"/>
  <c r="T112" i="1"/>
  <c r="T16" i="1" s="1"/>
  <c r="U14" i="1"/>
  <c r="T20" i="1" s="1"/>
  <c r="U111" i="1"/>
  <c r="U109" i="1"/>
  <c r="U110" i="1" s="1"/>
  <c r="U108" i="1"/>
  <c r="U18" i="1" s="1"/>
  <c r="S21" i="1"/>
  <c r="T19" i="1"/>
  <c r="U147" i="1"/>
  <c r="U148" i="1" s="1"/>
  <c r="U149" i="1"/>
  <c r="U15" i="1"/>
  <c r="U146" i="1"/>
  <c r="U150" i="1" l="1"/>
  <c r="U17" i="1" s="1"/>
  <c r="U112" i="1"/>
  <c r="U16" i="1" s="1"/>
  <c r="T21" i="1"/>
  <c r="U19" i="1"/>
</calcChain>
</file>

<file path=xl/sharedStrings.xml><?xml version="1.0" encoding="utf-8"?>
<sst xmlns="http://schemas.openxmlformats.org/spreadsheetml/2006/main" count="376" uniqueCount="214">
  <si>
    <t>Source: J J Barroso et al, "Reentrant Klystron Cavity as an electromechanical transducer," 2004.</t>
  </si>
  <si>
    <t>http://mtc-m16.sid.inpe.br/col/sid.inpe.br/marciana/2004/01.16.14.41/doc/JJBarroso_Proc_IMOC2003.pdf</t>
  </si>
  <si>
    <t>l</t>
  </si>
  <si>
    <t>d</t>
  </si>
  <si>
    <t>Farad/meter</t>
  </si>
  <si>
    <t>Henry/meter</t>
  </si>
  <si>
    <t>α, rad</t>
  </si>
  <si>
    <t>α, deg</t>
  </si>
  <si>
    <r>
      <t>r</t>
    </r>
    <r>
      <rPr>
        <b/>
        <vertAlign val="subscript"/>
        <sz val="12"/>
        <color theme="5" tint="-0.499984740745262"/>
        <rFont val="Calibri"/>
        <family val="2"/>
        <scheme val="minor"/>
      </rPr>
      <t>2</t>
    </r>
  </si>
  <si>
    <r>
      <t>r</t>
    </r>
    <r>
      <rPr>
        <b/>
        <vertAlign val="subscript"/>
        <sz val="12"/>
        <color theme="5" tint="-0.499984740745262"/>
        <rFont val="Calibri"/>
        <family val="2"/>
        <scheme val="minor"/>
      </rPr>
      <t>1</t>
    </r>
  </si>
  <si>
    <r>
      <t>r</t>
    </r>
    <r>
      <rPr>
        <vertAlign val="subscript"/>
        <sz val="12"/>
        <color theme="5" tint="0.39997558519241921"/>
        <rFont val="Calibri"/>
        <family val="2"/>
      </rPr>
      <t>0</t>
    </r>
  </si>
  <si>
    <r>
      <t>l</t>
    </r>
    <r>
      <rPr>
        <vertAlign val="subscript"/>
        <sz val="12"/>
        <color theme="5" tint="0.39997558519241921"/>
        <rFont val="Calibri"/>
        <family val="2"/>
        <scheme val="minor"/>
      </rPr>
      <t>M</t>
    </r>
  </si>
  <si>
    <r>
      <t>C</t>
    </r>
    <r>
      <rPr>
        <vertAlign val="subscript"/>
        <sz val="12"/>
        <color theme="2" tint="-9.9978637043366805E-2"/>
        <rFont val="Calibri"/>
        <family val="2"/>
        <scheme val="minor"/>
      </rPr>
      <t>1</t>
    </r>
    <r>
      <rPr>
        <sz val="12"/>
        <color theme="2" tint="-9.9978637043366805E-2"/>
        <rFont val="Calibri"/>
        <family val="2"/>
        <scheme val="minor"/>
      </rPr>
      <t>, Farad</t>
    </r>
  </si>
  <si>
    <r>
      <t>C</t>
    </r>
    <r>
      <rPr>
        <vertAlign val="subscript"/>
        <sz val="12"/>
        <color theme="2" tint="-9.9978637043366805E-2"/>
        <rFont val="Calibri"/>
        <family val="2"/>
        <scheme val="minor"/>
      </rPr>
      <t>0</t>
    </r>
    <r>
      <rPr>
        <sz val="12"/>
        <color theme="2" tint="-9.9978637043366805E-2"/>
        <rFont val="Calibri"/>
        <family val="2"/>
        <scheme val="minor"/>
      </rPr>
      <t>, Farad</t>
    </r>
  </si>
  <si>
    <t>L, Henry</t>
  </si>
  <si>
    <r>
      <t>͞͞r</t>
    </r>
    <r>
      <rPr>
        <b/>
        <vertAlign val="subscript"/>
        <sz val="12"/>
        <color theme="5" tint="0.39997558519241921"/>
        <rFont val="Calibri"/>
        <family val="2"/>
      </rPr>
      <t>0</t>
    </r>
  </si>
  <si>
    <t>https://ur.booksc.me/book/18439819/414edd</t>
  </si>
  <si>
    <t>λ, meter</t>
  </si>
  <si>
    <r>
      <t xml:space="preserve">Permeability of free space </t>
    </r>
    <r>
      <rPr>
        <b/>
        <sz val="12"/>
        <color theme="1"/>
        <rFont val="Calibri"/>
        <family val="2"/>
        <scheme val="minor"/>
      </rPr>
      <t>µ</t>
    </r>
    <r>
      <rPr>
        <b/>
        <vertAlign val="subscript"/>
        <sz val="12"/>
        <color theme="1"/>
        <rFont val="Calibri"/>
        <family val="2"/>
        <scheme val="minor"/>
      </rPr>
      <t>0</t>
    </r>
  </si>
  <si>
    <r>
      <t>Permittivity of free space</t>
    </r>
    <r>
      <rPr>
        <b/>
        <sz val="12"/>
        <color theme="1"/>
        <rFont val="Calibri"/>
        <family val="2"/>
        <scheme val="minor"/>
      </rPr>
      <t xml:space="preserve"> ε</t>
    </r>
    <r>
      <rPr>
        <b/>
        <vertAlign val="subscript"/>
        <sz val="12"/>
        <color theme="1"/>
        <rFont val="Calibri"/>
        <family val="2"/>
        <scheme val="minor"/>
      </rPr>
      <t>0</t>
    </r>
  </si>
  <si>
    <r>
      <t xml:space="preserve">Speed of light </t>
    </r>
    <r>
      <rPr>
        <b/>
        <sz val="12"/>
        <color theme="1"/>
        <rFont val="Calibri"/>
        <family val="2"/>
        <scheme val="minor"/>
      </rPr>
      <t>c</t>
    </r>
  </si>
  <si>
    <t>meter/sec</t>
  </si>
  <si>
    <t xml:space="preserve">  Based upon K. Fujisawa, "General Treatment of Klystron Resonant Cavities," IRE Transactions on Microwave Theory &amp; Techniques, Oct. 1958, pp 344-358</t>
  </si>
  <si>
    <t>f0, GHz</t>
  </si>
  <si>
    <t>`</t>
  </si>
  <si>
    <r>
      <rPr>
        <b/>
        <sz val="12"/>
        <color theme="7" tint="-0.499984740745262"/>
        <rFont val="Calibri"/>
        <family val="2"/>
        <scheme val="minor"/>
      </rPr>
      <t>Compare f</t>
    </r>
    <r>
      <rPr>
        <b/>
        <vertAlign val="subscript"/>
        <sz val="12"/>
        <color theme="7" tint="-0.499984740745262"/>
        <rFont val="Calibri"/>
        <family val="2"/>
        <scheme val="minor"/>
      </rPr>
      <t>0</t>
    </r>
    <r>
      <rPr>
        <b/>
        <sz val="12"/>
        <color theme="7" tint="-0.499984740745262"/>
        <rFont val="Calibri"/>
        <family val="2"/>
        <scheme val="minor"/>
      </rPr>
      <t>, this calc, with</t>
    </r>
    <r>
      <rPr>
        <b/>
        <sz val="12"/>
        <color rgb="FF0070C0"/>
        <rFont val="Calibri"/>
        <family val="2"/>
        <scheme val="minor"/>
      </rPr>
      <t xml:space="preserve"> </t>
    </r>
    <r>
      <rPr>
        <b/>
        <sz val="12"/>
        <color rgb="FFFF0000"/>
        <rFont val="Calibri"/>
        <family val="2"/>
        <scheme val="minor"/>
      </rPr>
      <t>Fujisawa's measurements, truncated cones, Fig 15, p 355</t>
    </r>
  </si>
  <si>
    <r>
      <rPr>
        <b/>
        <sz val="12"/>
        <color theme="7" tint="-0.499984740745262"/>
        <rFont val="Calibri"/>
        <family val="2"/>
        <scheme val="minor"/>
      </rPr>
      <t>Compare f</t>
    </r>
    <r>
      <rPr>
        <b/>
        <vertAlign val="subscript"/>
        <sz val="12"/>
        <color theme="7" tint="-0.499984740745262"/>
        <rFont val="Calibri"/>
        <family val="2"/>
        <scheme val="minor"/>
      </rPr>
      <t>0</t>
    </r>
    <r>
      <rPr>
        <b/>
        <sz val="12"/>
        <color theme="7" tint="-0.499984740745262"/>
        <rFont val="Calibri"/>
        <family val="2"/>
        <scheme val="minor"/>
      </rPr>
      <t>, this calc, with</t>
    </r>
    <r>
      <rPr>
        <b/>
        <sz val="12"/>
        <color rgb="FFFF0000"/>
        <rFont val="Calibri"/>
        <family val="2"/>
        <scheme val="minor"/>
      </rPr>
      <t xml:space="preserve"> Fujisawa's measurements, cylindrical posts, Fig 13, p 354</t>
    </r>
  </si>
  <si>
    <r>
      <t>Fujisawa f</t>
    </r>
    <r>
      <rPr>
        <b/>
        <vertAlign val="subscript"/>
        <sz val="11"/>
        <color rgb="FFFF0000"/>
        <rFont val="Calibri"/>
        <family val="2"/>
        <scheme val="minor"/>
      </rPr>
      <t>0</t>
    </r>
  </si>
  <si>
    <t>Example</t>
  </si>
  <si>
    <t>Note: Fujisawa's example 90 is ~3 times too high, and examples 95 &amp; 96 cause div/0, although all have consistent geometry, with rbar0 =  .0055m</t>
  </si>
  <si>
    <t>f0, MHz</t>
  </si>
  <si>
    <t>r1/r2</t>
  </si>
  <si>
    <t>If the length is decreased, decreasing the gap by the same fraction keeps the frequency approximately the same (for l/2; 50 becomes 50.03, 3000 becomes 3610)</t>
  </si>
  <si>
    <t>Calculations with a right cylindrical post are in much better agreement with experiment than those for the truncated cylinder. A right cylindrical post is also easier to work with.</t>
  </si>
  <si>
    <t>https://publications.drdo.gov.in/ojs/index.php/dsj/article/view/16814/7540</t>
  </si>
  <si>
    <r>
      <t xml:space="preserve">Cg = </t>
    </r>
    <r>
      <rPr>
        <b/>
        <sz val="12"/>
        <color theme="1"/>
        <rFont val="Calibri"/>
        <family val="2"/>
      </rPr>
      <t>ε</t>
    </r>
    <r>
      <rPr>
        <b/>
        <vertAlign val="subscript"/>
        <sz val="12"/>
        <color theme="1"/>
        <rFont val="Calibri"/>
        <family val="2"/>
      </rPr>
      <t>0</t>
    </r>
    <r>
      <rPr>
        <b/>
        <sz val="12"/>
        <color theme="1"/>
        <rFont val="Calibri"/>
        <family val="2"/>
        <scheme val="minor"/>
      </rPr>
      <t xml:space="preserve"> * </t>
    </r>
    <r>
      <rPr>
        <b/>
        <sz val="12"/>
        <color theme="1"/>
        <rFont val="Calibri"/>
        <family val="2"/>
      </rPr>
      <t>π *</t>
    </r>
    <r>
      <rPr>
        <b/>
        <sz val="12"/>
        <color theme="1"/>
        <rFont val="Calibri"/>
        <family val="2"/>
        <scheme val="minor"/>
      </rPr>
      <t xml:space="preserve"> r</t>
    </r>
    <r>
      <rPr>
        <b/>
        <vertAlign val="subscript"/>
        <sz val="12"/>
        <color theme="1"/>
        <rFont val="Calibri"/>
        <family val="2"/>
        <scheme val="minor"/>
      </rPr>
      <t>0</t>
    </r>
    <r>
      <rPr>
        <b/>
        <vertAlign val="super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 xml:space="preserve"> / d</t>
    </r>
  </si>
  <si>
    <t>h</t>
  </si>
  <si>
    <t>Cg, Farad</t>
  </si>
  <si>
    <t>Cr, Farad</t>
  </si>
  <si>
    <r>
      <t>r</t>
    </r>
    <r>
      <rPr>
        <b/>
        <vertAlign val="subscript"/>
        <sz val="12"/>
        <color theme="1"/>
        <rFont val="Calibri"/>
        <family val="2"/>
        <scheme val="minor"/>
      </rPr>
      <t>1</t>
    </r>
  </si>
  <si>
    <r>
      <t>r</t>
    </r>
    <r>
      <rPr>
        <b/>
        <vertAlign val="subscript"/>
        <sz val="12"/>
        <color theme="1"/>
        <rFont val="Calibri"/>
        <family val="2"/>
        <scheme val="minor"/>
      </rPr>
      <t>0</t>
    </r>
    <r>
      <rPr>
        <b/>
        <sz val="12"/>
        <color theme="1"/>
        <rFont val="Calibri"/>
        <family val="2"/>
        <scheme val="minor"/>
      </rPr>
      <t>/r</t>
    </r>
    <r>
      <rPr>
        <b/>
        <vertAlign val="subscript"/>
        <sz val="12"/>
        <color theme="1"/>
        <rFont val="Calibri"/>
        <family val="2"/>
        <scheme val="minor"/>
      </rPr>
      <t>1</t>
    </r>
  </si>
  <si>
    <r>
      <t>r</t>
    </r>
    <r>
      <rPr>
        <b/>
        <vertAlign val="subscript"/>
        <sz val="12"/>
        <color theme="1"/>
        <rFont val="Calibri"/>
        <family val="2"/>
        <scheme val="minor"/>
      </rPr>
      <t>0</t>
    </r>
  </si>
  <si>
    <t>"Effect of Beam-tunnels on Resonant Frequency of Cylindrical Reentrant Cavity," Baniswal et al, Defence Science Journal, Vol. 71, No. 3, May 2021, pp. 332-336</t>
  </si>
  <si>
    <t xml:space="preserve">set N=1, rb=0, then </t>
  </si>
  <si>
    <t>(Use same values as for single re-entrant cavity)</t>
  </si>
  <si>
    <t>MHz</t>
  </si>
  <si>
    <t xml:space="preserve"> </t>
  </si>
  <si>
    <t>Single: Calculations for a re-entrant cylindrical cavity with cylindrical post or truncated conical post.</t>
  </si>
  <si>
    <t>Double: Calculations for a symmetric, doubly re-entrant cylindrical cavity with gap centered in cavity</t>
  </si>
  <si>
    <t>Check formulas for single reentrant cavity</t>
  </si>
  <si>
    <t>radius of post</t>
  </si>
  <si>
    <t>(r1/r2) =</t>
  </si>
  <si>
    <t>Obtain minimum d by goal seek so f0=100 MHz. Geometrically progress d by dmult so dmax = length</t>
  </si>
  <si>
    <t>Deuterium hyperfine line</t>
  </si>
  <si>
    <t>Cu</t>
  </si>
  <si>
    <t>Ag</t>
  </si>
  <si>
    <t>σ, Conductivity, Siemens/meter</t>
  </si>
  <si>
    <t>yellow brass</t>
  </si>
  <si>
    <t>Al</t>
  </si>
  <si>
    <t>Au</t>
  </si>
  <si>
    <t>https://en.wikipedia.org/wiki/Skin_effect#Cause</t>
  </si>
  <si>
    <t>https://en.wikipedia.org/wiki/Electrical_resistivity_and_conductivity#Resistivity_and_conductivity_of_various_materials</t>
  </si>
  <si>
    <t>https://arxiv.org/ftp/arxiv/papers/1308/1308.2755.pdf</t>
  </si>
  <si>
    <t>Geom Factor</t>
  </si>
  <si>
    <t>Q</t>
  </si>
  <si>
    <r>
      <t xml:space="preserve">R(surface), </t>
    </r>
    <r>
      <rPr>
        <sz val="12"/>
        <color theme="1"/>
        <rFont val="Calibri"/>
        <family val="2"/>
      </rPr>
      <t>Ω</t>
    </r>
  </si>
  <si>
    <t>Skin effect formula; 4 skin depths carries 98% of the current:</t>
  </si>
  <si>
    <t>2013 Le Floch et al_LCR &amp; finite element calc tunable (2-22 GHz) re-entrant microwave cavity</t>
  </si>
  <si>
    <r>
      <t xml:space="preserve">Geometric Factor and Q for single re-entrant cavity,  practical smallest gap 3 </t>
    </r>
    <r>
      <rPr>
        <sz val="12"/>
        <color theme="1"/>
        <rFont val="Calibri"/>
        <family val="2"/>
      </rPr>
      <t>µm:</t>
    </r>
  </si>
  <si>
    <t>gap</t>
  </si>
  <si>
    <t>Q (LCR)</t>
  </si>
  <si>
    <t>f (LCR), GHz</t>
  </si>
  <si>
    <t>Geometric Factor GF</t>
  </si>
  <si>
    <t>Q = GF / Rsurface</t>
  </si>
  <si>
    <r>
      <t>r</t>
    </r>
    <r>
      <rPr>
        <b/>
        <vertAlign val="subscript"/>
        <sz val="12"/>
        <color theme="5" tint="-0.499984740745262"/>
        <rFont val="Calibri"/>
        <family val="2"/>
        <scheme val="minor"/>
      </rPr>
      <t>2</t>
    </r>
    <r>
      <rPr>
        <b/>
        <sz val="12"/>
        <color theme="5" tint="-0.499984740745262"/>
        <rFont val="Calibri"/>
        <family val="2"/>
        <scheme val="minor"/>
      </rPr>
      <t xml:space="preserve"> = Rcav</t>
    </r>
  </si>
  <si>
    <r>
      <t>r</t>
    </r>
    <r>
      <rPr>
        <b/>
        <vertAlign val="subscript"/>
        <sz val="12"/>
        <color theme="5" tint="-0.499984740745262"/>
        <rFont val="Calibri"/>
        <family val="2"/>
        <scheme val="minor"/>
      </rPr>
      <t>1</t>
    </r>
    <r>
      <rPr>
        <b/>
        <sz val="12"/>
        <color theme="5" tint="-0.499984740745262"/>
        <rFont val="Calibri"/>
        <family val="2"/>
        <scheme val="minor"/>
      </rPr>
      <t xml:space="preserve"> = Rpost</t>
    </r>
  </si>
  <si>
    <t>l = height</t>
  </si>
  <si>
    <t>skin depth δ</t>
  </si>
  <si>
    <t>R surface, Ω</t>
  </si>
  <si>
    <t>OK</t>
  </si>
  <si>
    <t xml:space="preserve">that persist in the cavity until the stored energy drops to 1/e = </t>
  </si>
  <si>
    <t xml:space="preserve">The Quality Factor Q is the number of cycles, in radians/sec </t>
  </si>
  <si>
    <t>Geometric Fctr</t>
  </si>
  <si>
    <r>
      <t xml:space="preserve">Check against 2013 Le Floch et al_LCR &amp; finite element calc tunable (2-22 GHz) re-entrant microwave cavity: Rcav =4.97 mm, Rpost=0.5mm, height =1.4mm, </t>
    </r>
    <r>
      <rPr>
        <b/>
        <sz val="12"/>
        <color theme="1"/>
        <rFont val="Calibri"/>
        <family val="2"/>
      </rPr>
      <t>σ Cu = 3.3E7 Seimens/m</t>
    </r>
  </si>
  <si>
    <r>
      <t xml:space="preserve">Cu Skin </t>
    </r>
    <r>
      <rPr>
        <sz val="12"/>
        <color theme="1"/>
        <rFont val="Calibri"/>
        <family val="2"/>
      </rPr>
      <t>δ</t>
    </r>
    <r>
      <rPr>
        <sz val="12"/>
        <color theme="1"/>
        <rFont val="Calibri"/>
        <family val="2"/>
        <scheme val="minor"/>
      </rPr>
      <t>, m</t>
    </r>
  </si>
  <si>
    <t>Post radius</t>
  </si>
  <si>
    <t>Q at 100 MHz</t>
  </si>
  <si>
    <t>Inside height</t>
  </si>
  <si>
    <t>f when gap = height</t>
  </si>
  <si>
    <t>Q when gap - height</t>
  </si>
  <si>
    <t>Optimize for maximum gap and maximum Q at 100 MHz, using goal seek on f = 100 with gap as variable, symmetric double-post re-entrant cavity with gap centered in middle</t>
  </si>
  <si>
    <t>Q when gap = height</t>
  </si>
  <si>
    <r>
      <t xml:space="preserve">gap for 100 MHz, </t>
    </r>
    <r>
      <rPr>
        <sz val="10"/>
        <color theme="0" tint="-0.249977111117893"/>
        <rFont val="Calibri"/>
        <family val="2"/>
      </rPr>
      <t>µm</t>
    </r>
  </si>
  <si>
    <t>inside height of cavity</t>
  </si>
  <si>
    <t>Q single</t>
  </si>
  <si>
    <t>Q double</t>
  </si>
  <si>
    <r>
      <t>dbl MHz/</t>
    </r>
    <r>
      <rPr>
        <b/>
        <sz val="11"/>
        <color theme="7" tint="-0.499984740745262"/>
        <rFont val="Calibri"/>
        <family val="2"/>
      </rPr>
      <t>µm</t>
    </r>
  </si>
  <si>
    <t>dble λ , m</t>
  </si>
  <si>
    <t>single λ , m</t>
  </si>
  <si>
    <r>
      <t>sngl MHz/</t>
    </r>
    <r>
      <rPr>
        <b/>
        <sz val="11"/>
        <color theme="7" tint="-0.499984740745262"/>
        <rFont val="Calibri"/>
        <family val="2"/>
      </rPr>
      <t>µm</t>
    </r>
  </si>
  <si>
    <t>For constant gap and any length, minimum frequency is found when r1/r2 ~0.6</t>
  </si>
  <si>
    <t>Summary of Results</t>
  </si>
  <si>
    <t>Inside radius of cavity</t>
  </si>
  <si>
    <r>
      <t>r</t>
    </r>
    <r>
      <rPr>
        <b/>
        <vertAlign val="subscript"/>
        <sz val="12"/>
        <color theme="5" tint="-0.499984740745262"/>
        <rFont val="Calibri"/>
        <family val="2"/>
        <scheme val="minor"/>
      </rPr>
      <t xml:space="preserve">2 </t>
    </r>
  </si>
  <si>
    <t>gap for 100 MHz</t>
  </si>
  <si>
    <t>full range chart left</t>
  </si>
  <si>
    <t>full range chart right</t>
  </si>
  <si>
    <t>full range chart x</t>
  </si>
  <si>
    <t>low range chart left</t>
  </si>
  <si>
    <t>low range chart right</t>
  </si>
  <si>
    <t>low range chart x</t>
  </si>
  <si>
    <t>size</t>
  </si>
  <si>
    <t>Outside diameter</t>
  </si>
  <si>
    <t>(OD)</t>
  </si>
  <si>
    <t>[in (mm)]</t>
  </si>
  <si>
    <t>Inside diameter (ID)</t>
  </si>
  <si>
    <t>Type K</t>
  </si>
  <si>
    <t>Type L</t>
  </si>
  <si>
    <t>Type M</t>
  </si>
  <si>
    <r>
      <t>1</t>
    </r>
    <r>
      <rPr>
        <sz val="10"/>
        <color rgb="FF202122"/>
        <rFont val="Arial"/>
        <family val="2"/>
      </rPr>
      <t>⁄</t>
    </r>
    <r>
      <rPr>
        <vertAlign val="subscript"/>
        <sz val="8"/>
        <color rgb="FF202122"/>
        <rFont val="Arial"/>
        <family val="2"/>
      </rPr>
      <t>4</t>
    </r>
  </si>
  <si>
    <r>
      <t>3</t>
    </r>
    <r>
      <rPr>
        <sz val="10"/>
        <color rgb="FF202122"/>
        <rFont val="Arial"/>
        <family val="2"/>
      </rPr>
      <t>⁄</t>
    </r>
    <r>
      <rPr>
        <vertAlign val="subscript"/>
        <sz val="8"/>
        <color rgb="FF202122"/>
        <rFont val="Arial"/>
        <family val="2"/>
      </rPr>
      <t>8</t>
    </r>
    <r>
      <rPr>
        <sz val="10"/>
        <color rgb="FF202122"/>
        <rFont val="Arial"/>
        <family val="2"/>
      </rPr>
      <t> (9.5)</t>
    </r>
  </si>
  <si>
    <t>0.305 (7.747)</t>
  </si>
  <si>
    <t>0.315 (8.001)</t>
  </si>
  <si>
    <r>
      <t>3</t>
    </r>
    <r>
      <rPr>
        <sz val="10"/>
        <color rgb="FF202122"/>
        <rFont val="Arial"/>
        <family val="2"/>
      </rPr>
      <t>⁄</t>
    </r>
    <r>
      <rPr>
        <vertAlign val="subscript"/>
        <sz val="8"/>
        <color rgb="FF202122"/>
        <rFont val="Arial"/>
        <family val="2"/>
      </rPr>
      <t>8</t>
    </r>
  </si>
  <si>
    <r>
      <t>1</t>
    </r>
    <r>
      <rPr>
        <sz val="10"/>
        <color rgb="FF202122"/>
        <rFont val="Arial"/>
        <family val="2"/>
      </rPr>
      <t>⁄</t>
    </r>
    <r>
      <rPr>
        <vertAlign val="subscript"/>
        <sz val="8"/>
        <color rgb="FF202122"/>
        <rFont val="Arial"/>
        <family val="2"/>
      </rPr>
      <t>2</t>
    </r>
    <r>
      <rPr>
        <sz val="10"/>
        <color rgb="FF202122"/>
        <rFont val="Arial"/>
        <family val="2"/>
      </rPr>
      <t> (12.7)</t>
    </r>
  </si>
  <si>
    <t>0.402 (10.211)</t>
  </si>
  <si>
    <t>0.430 (10.922)</t>
  </si>
  <si>
    <t>0.450 (11.430)</t>
  </si>
  <si>
    <r>
      <t>1</t>
    </r>
    <r>
      <rPr>
        <sz val="10"/>
        <color rgb="FF202122"/>
        <rFont val="Arial"/>
        <family val="2"/>
      </rPr>
      <t>⁄</t>
    </r>
    <r>
      <rPr>
        <vertAlign val="subscript"/>
        <sz val="8"/>
        <color rgb="FF202122"/>
        <rFont val="Arial"/>
        <family val="2"/>
      </rPr>
      <t>2</t>
    </r>
  </si>
  <si>
    <r>
      <t>5</t>
    </r>
    <r>
      <rPr>
        <sz val="10"/>
        <color rgb="FF202122"/>
        <rFont val="Arial"/>
        <family val="2"/>
      </rPr>
      <t>⁄</t>
    </r>
    <r>
      <rPr>
        <vertAlign val="subscript"/>
        <sz val="8"/>
        <color rgb="FF202122"/>
        <rFont val="Arial"/>
        <family val="2"/>
      </rPr>
      <t>8</t>
    </r>
    <r>
      <rPr>
        <sz val="10"/>
        <color rgb="FF202122"/>
        <rFont val="Arial"/>
        <family val="2"/>
      </rPr>
      <t> (15.875)</t>
    </r>
  </si>
  <si>
    <t>0.528 (13.411)</t>
  </si>
  <si>
    <t>0.545 (13.843)</t>
  </si>
  <si>
    <t>0.569 (14.453)</t>
  </si>
  <si>
    <r>
      <t>5</t>
    </r>
    <r>
      <rPr>
        <sz val="10"/>
        <color rgb="FF202122"/>
        <rFont val="Arial"/>
        <family val="2"/>
      </rPr>
      <t>⁄</t>
    </r>
    <r>
      <rPr>
        <vertAlign val="subscript"/>
        <sz val="8"/>
        <color rgb="FF202122"/>
        <rFont val="Arial"/>
        <family val="2"/>
      </rPr>
      <t>8</t>
    </r>
  </si>
  <si>
    <r>
      <t>3</t>
    </r>
    <r>
      <rPr>
        <sz val="10"/>
        <color rgb="FF202122"/>
        <rFont val="Arial"/>
        <family val="2"/>
      </rPr>
      <t>⁄</t>
    </r>
    <r>
      <rPr>
        <vertAlign val="subscript"/>
        <sz val="8"/>
        <color rgb="FF202122"/>
        <rFont val="Arial"/>
        <family val="2"/>
      </rPr>
      <t>4</t>
    </r>
    <r>
      <rPr>
        <sz val="10"/>
        <color rgb="FF202122"/>
        <rFont val="Arial"/>
        <family val="2"/>
      </rPr>
      <t> (19.05)</t>
    </r>
  </si>
  <si>
    <t>0.652 (16.561)</t>
  </si>
  <si>
    <t>0.668 (16.967)</t>
  </si>
  <si>
    <t>0.690 (17.526)</t>
  </si>
  <si>
    <r>
      <t>3</t>
    </r>
    <r>
      <rPr>
        <sz val="10"/>
        <color rgb="FF202122"/>
        <rFont val="Arial"/>
        <family val="2"/>
      </rPr>
      <t>⁄</t>
    </r>
    <r>
      <rPr>
        <vertAlign val="subscript"/>
        <sz val="8"/>
        <color rgb="FF202122"/>
        <rFont val="Arial"/>
        <family val="2"/>
      </rPr>
      <t>4</t>
    </r>
  </si>
  <si>
    <r>
      <t>7</t>
    </r>
    <r>
      <rPr>
        <sz val="10"/>
        <color rgb="FF202122"/>
        <rFont val="Arial"/>
        <family val="2"/>
      </rPr>
      <t>⁄</t>
    </r>
    <r>
      <rPr>
        <vertAlign val="subscript"/>
        <sz val="8"/>
        <color rgb="FF202122"/>
        <rFont val="Arial"/>
        <family val="2"/>
      </rPr>
      <t>8</t>
    </r>
    <r>
      <rPr>
        <sz val="10"/>
        <color rgb="FF202122"/>
        <rFont val="Arial"/>
        <family val="2"/>
      </rPr>
      <t> (22.225)</t>
    </r>
  </si>
  <si>
    <t>0.745 (18.923)</t>
  </si>
  <si>
    <t>0.785 (19.939)</t>
  </si>
  <si>
    <t>0.811 (20.599)</t>
  </si>
  <si>
    <r>
      <t>1+</t>
    </r>
    <r>
      <rPr>
        <vertAlign val="superscript"/>
        <sz val="8"/>
        <color rgb="FF202122"/>
        <rFont val="Arial"/>
        <family val="2"/>
      </rPr>
      <t>1</t>
    </r>
    <r>
      <rPr>
        <sz val="10"/>
        <color rgb="FF202122"/>
        <rFont val="Arial"/>
        <family val="2"/>
      </rPr>
      <t>⁄</t>
    </r>
    <r>
      <rPr>
        <vertAlign val="subscript"/>
        <sz val="8"/>
        <color rgb="FF202122"/>
        <rFont val="Arial"/>
        <family val="2"/>
      </rPr>
      <t>8</t>
    </r>
    <r>
      <rPr>
        <sz val="10"/>
        <color rgb="FF202122"/>
        <rFont val="Arial"/>
        <family val="2"/>
      </rPr>
      <t> (28.575)</t>
    </r>
  </si>
  <si>
    <t>0.995 (25.273)</t>
  </si>
  <si>
    <t>1.025 (26.035)</t>
  </si>
  <si>
    <t>1.055 (26.797)</t>
  </si>
  <si>
    <r>
      <t>1</t>
    </r>
    <r>
      <rPr>
        <vertAlign val="superscript"/>
        <sz val="8"/>
        <color rgb="FF202122"/>
        <rFont val="Arial"/>
        <family val="2"/>
      </rPr>
      <t>1</t>
    </r>
    <r>
      <rPr>
        <sz val="10"/>
        <color rgb="FF202122"/>
        <rFont val="Arial"/>
        <family val="2"/>
      </rPr>
      <t>⁄</t>
    </r>
    <r>
      <rPr>
        <vertAlign val="subscript"/>
        <sz val="8"/>
        <color rgb="FF202122"/>
        <rFont val="Arial"/>
        <family val="2"/>
      </rPr>
      <t>4</t>
    </r>
  </si>
  <si>
    <r>
      <t>1+</t>
    </r>
    <r>
      <rPr>
        <vertAlign val="superscript"/>
        <sz val="8"/>
        <color rgb="FF202122"/>
        <rFont val="Arial"/>
        <family val="2"/>
      </rPr>
      <t>3</t>
    </r>
    <r>
      <rPr>
        <sz val="10"/>
        <color rgb="FF202122"/>
        <rFont val="Arial"/>
        <family val="2"/>
      </rPr>
      <t>⁄</t>
    </r>
    <r>
      <rPr>
        <vertAlign val="subscript"/>
        <sz val="8"/>
        <color rgb="FF202122"/>
        <rFont val="Arial"/>
        <family val="2"/>
      </rPr>
      <t>8</t>
    </r>
    <r>
      <rPr>
        <sz val="10"/>
        <color rgb="FF202122"/>
        <rFont val="Arial"/>
        <family val="2"/>
      </rPr>
      <t> (34.925)</t>
    </r>
  </si>
  <si>
    <t>1.245 (31.623)</t>
  </si>
  <si>
    <t>1.265 (32.131)</t>
  </si>
  <si>
    <t>1.291 (32.791)</t>
  </si>
  <si>
    <r>
      <t>1</t>
    </r>
    <r>
      <rPr>
        <vertAlign val="superscript"/>
        <sz val="8"/>
        <color rgb="FF202122"/>
        <rFont val="Arial"/>
        <family val="2"/>
      </rPr>
      <t>1</t>
    </r>
    <r>
      <rPr>
        <sz val="10"/>
        <color rgb="FF202122"/>
        <rFont val="Arial"/>
        <family val="2"/>
      </rPr>
      <t>⁄</t>
    </r>
    <r>
      <rPr>
        <vertAlign val="subscript"/>
        <sz val="8"/>
        <color rgb="FF202122"/>
        <rFont val="Arial"/>
        <family val="2"/>
      </rPr>
      <t>2</t>
    </r>
  </si>
  <si>
    <r>
      <t>1+</t>
    </r>
    <r>
      <rPr>
        <vertAlign val="superscript"/>
        <sz val="8"/>
        <color rgb="FF202122"/>
        <rFont val="Arial"/>
        <family val="2"/>
      </rPr>
      <t>5</t>
    </r>
    <r>
      <rPr>
        <sz val="10"/>
        <color rgb="FF202122"/>
        <rFont val="Arial"/>
        <family val="2"/>
      </rPr>
      <t>⁄</t>
    </r>
    <r>
      <rPr>
        <vertAlign val="subscript"/>
        <sz val="8"/>
        <color rgb="FF202122"/>
        <rFont val="Arial"/>
        <family val="2"/>
      </rPr>
      <t>8</t>
    </r>
    <r>
      <rPr>
        <sz val="10"/>
        <color rgb="FF202122"/>
        <rFont val="Arial"/>
        <family val="2"/>
      </rPr>
      <t> (41.275)</t>
    </r>
  </si>
  <si>
    <t>1.481 (37.617)</t>
  </si>
  <si>
    <t>1.505 (38.227)</t>
  </si>
  <si>
    <t>1.527 (38.786)</t>
  </si>
  <si>
    <r>
      <t>2+</t>
    </r>
    <r>
      <rPr>
        <vertAlign val="superscript"/>
        <sz val="8"/>
        <color rgb="FF202122"/>
        <rFont val="Arial"/>
        <family val="2"/>
      </rPr>
      <t>1</t>
    </r>
    <r>
      <rPr>
        <sz val="10"/>
        <color rgb="FF202122"/>
        <rFont val="Arial"/>
        <family val="2"/>
      </rPr>
      <t>⁄</t>
    </r>
    <r>
      <rPr>
        <vertAlign val="subscript"/>
        <sz val="8"/>
        <color rgb="FF202122"/>
        <rFont val="Arial"/>
        <family val="2"/>
      </rPr>
      <t>8</t>
    </r>
    <r>
      <rPr>
        <sz val="10"/>
        <color rgb="FF202122"/>
        <rFont val="Arial"/>
        <family val="2"/>
      </rPr>
      <t> (53.975)</t>
    </r>
  </si>
  <si>
    <t>1.959 (49.759)</t>
  </si>
  <si>
    <t>1.985 (50.419)</t>
  </si>
  <si>
    <t>2.009 (51.029)</t>
  </si>
  <si>
    <r>
      <t>2</t>
    </r>
    <r>
      <rPr>
        <vertAlign val="superscript"/>
        <sz val="8"/>
        <color rgb="FF202122"/>
        <rFont val="Arial"/>
        <family val="2"/>
      </rPr>
      <t>1</t>
    </r>
    <r>
      <rPr>
        <sz val="10"/>
        <color rgb="FF202122"/>
        <rFont val="Arial"/>
        <family val="2"/>
      </rPr>
      <t>⁄</t>
    </r>
    <r>
      <rPr>
        <vertAlign val="subscript"/>
        <sz val="8"/>
        <color rgb="FF202122"/>
        <rFont val="Arial"/>
        <family val="2"/>
      </rPr>
      <t>2</t>
    </r>
  </si>
  <si>
    <r>
      <t>2+</t>
    </r>
    <r>
      <rPr>
        <vertAlign val="superscript"/>
        <sz val="8"/>
        <color rgb="FF202122"/>
        <rFont val="Arial"/>
        <family val="2"/>
      </rPr>
      <t>5</t>
    </r>
    <r>
      <rPr>
        <sz val="10"/>
        <color rgb="FF202122"/>
        <rFont val="Arial"/>
        <family val="2"/>
      </rPr>
      <t>⁄</t>
    </r>
    <r>
      <rPr>
        <vertAlign val="subscript"/>
        <sz val="8"/>
        <color rgb="FF202122"/>
        <rFont val="Arial"/>
        <family val="2"/>
      </rPr>
      <t>8</t>
    </r>
    <r>
      <rPr>
        <sz val="10"/>
        <color rgb="FF202122"/>
        <rFont val="Arial"/>
        <family val="2"/>
      </rPr>
      <t> (66.675)</t>
    </r>
  </si>
  <si>
    <t>2.435 (61.849)</t>
  </si>
  <si>
    <t>2.465 (62.611)</t>
  </si>
  <si>
    <t>2.495 (63.373)</t>
  </si>
  <si>
    <r>
      <t>3+</t>
    </r>
    <r>
      <rPr>
        <vertAlign val="superscript"/>
        <sz val="8"/>
        <color rgb="FF202122"/>
        <rFont val="Arial"/>
        <family val="2"/>
      </rPr>
      <t>1</t>
    </r>
    <r>
      <rPr>
        <sz val="10"/>
        <color rgb="FF202122"/>
        <rFont val="Arial"/>
        <family val="2"/>
      </rPr>
      <t>⁄</t>
    </r>
    <r>
      <rPr>
        <vertAlign val="subscript"/>
        <sz val="8"/>
        <color rgb="FF202122"/>
        <rFont val="Arial"/>
        <family val="2"/>
      </rPr>
      <t>8</t>
    </r>
    <r>
      <rPr>
        <sz val="10"/>
        <color rgb="FF202122"/>
        <rFont val="Arial"/>
        <family val="2"/>
      </rPr>
      <t> (79.375)</t>
    </r>
  </si>
  <si>
    <t>2.907 (73.838)</t>
  </si>
  <si>
    <t>2.945 (74.803)</t>
  </si>
  <si>
    <t>2.981 (75.717)</t>
  </si>
  <si>
    <t>Standard Copper Tube sizes</t>
  </si>
  <si>
    <t>https://en.wikipedia.org/wiki/Copper_tubing#United_States,_Canada,_and_Brazil</t>
  </si>
  <si>
    <t>Input parameters</t>
  </si>
  <si>
    <t>gap geo-metric spacer</t>
  </si>
  <si>
    <t xml:space="preserve"> dmult</t>
  </si>
  <si>
    <t>max d</t>
  </si>
  <si>
    <t xml:space="preserve">r2 </t>
  </si>
  <si>
    <t>r1</t>
  </si>
  <si>
    <t>f0 single</t>
  </si>
  <si>
    <t>f0 double</t>
  </si>
  <si>
    <t>sngl MHz/µm</t>
  </si>
  <si>
    <t>dbl MHz/µm</t>
  </si>
  <si>
    <r>
      <t>Re-entrant cylindrical</t>
    </r>
    <r>
      <rPr>
        <b/>
        <sz val="14"/>
        <color theme="1"/>
        <rFont val="Calibri"/>
        <family val="2"/>
        <scheme val="minor"/>
      </rPr>
      <t xml:space="preserve"> RESULTS (no formulas)</t>
    </r>
    <r>
      <rPr>
        <sz val="14"/>
        <color theme="1"/>
        <rFont val="Calibri"/>
        <family val="2"/>
        <scheme val="minor"/>
      </rPr>
      <t>. Single: one cylindrical post with gap at one end.  Double: two posts of equal length at each end with gap in middle.</t>
    </r>
  </si>
  <si>
    <t>r2</t>
  </si>
  <si>
    <t>͞͞r0</t>
  </si>
  <si>
    <t>r0</t>
  </si>
  <si>
    <t>lM</t>
  </si>
  <si>
    <t>C1, Farad</t>
  </si>
  <si>
    <t>C0, Farad</t>
  </si>
  <si>
    <t>Cu Skin δ, m</t>
  </si>
  <si>
    <t>R(surface), Ω</t>
  </si>
  <si>
    <t>SINGLE post</t>
  </si>
  <si>
    <t>r0/r1</t>
  </si>
  <si>
    <t>DOUBLE post with gap centered</t>
  </si>
  <si>
    <t>Re-entrant cylindrical cavity caculations. Single: one cylindrical post with gap at one end.  Double: two posts of equal length at each end with gap in middle. Tracy Hall Jr, Hall Labs, October 2022</t>
  </si>
  <si>
    <t>Fix cavity radius at .025 and vary both the post radius and cavity height</t>
  </si>
  <si>
    <t>Saved inputs</t>
  </si>
  <si>
    <r>
      <t xml:space="preserve">Fix cavity radius at .025 and cavity height at </t>
    </r>
    <r>
      <rPr>
        <b/>
        <sz val="11"/>
        <color rgb="FFFF0000"/>
        <rFont val="Calibri"/>
        <family val="2"/>
        <scheme val="minor"/>
      </rPr>
      <t>.01 m</t>
    </r>
    <r>
      <rPr>
        <b/>
        <sz val="11"/>
        <color theme="1"/>
        <rFont val="Calibri"/>
        <family val="2"/>
        <scheme val="minor"/>
      </rPr>
      <t xml:space="preserve"> and vary the post radius</t>
    </r>
  </si>
  <si>
    <r>
      <t xml:space="preserve">gap for 100 MHz, </t>
    </r>
    <r>
      <rPr>
        <sz val="10"/>
        <color rgb="FF0070C0"/>
        <rFont val="Calibri"/>
        <family val="2"/>
      </rPr>
      <t>µm</t>
    </r>
  </si>
  <si>
    <t>Best compromise between maximum gap &amp; maximum Q at 100 MHz for post radius is about .010 m</t>
  </si>
  <si>
    <t>rPost/rCav=</t>
  </si>
  <si>
    <t>rPost/rCavity</t>
  </si>
  <si>
    <r>
      <t xml:space="preserve">Use goal seek to find the </t>
    </r>
    <r>
      <rPr>
        <b/>
        <sz val="14"/>
        <color theme="1"/>
        <rFont val="Calibri"/>
        <family val="2"/>
        <scheme val="minor"/>
      </rPr>
      <t>gap d</t>
    </r>
    <r>
      <rPr>
        <sz val="14"/>
        <color theme="1"/>
        <rFont val="Calibri"/>
        <family val="2"/>
        <scheme val="minor"/>
      </rPr>
      <t>, in first column, that gives f0 = 100 MHz</t>
    </r>
  </si>
  <si>
    <t>rPost/ rCav</t>
  </si>
  <si>
    <t>geo metric gap factor</t>
  </si>
  <si>
    <r>
      <t>f</t>
    </r>
    <r>
      <rPr>
        <b/>
        <vertAlign val="subscript"/>
        <sz val="11"/>
        <color theme="7" tint="-0.499984740745262"/>
        <rFont val="Calibri"/>
        <family val="2"/>
        <scheme val="minor"/>
      </rPr>
      <t>0</t>
    </r>
    <r>
      <rPr>
        <b/>
        <sz val="11"/>
        <color theme="7" tint="-0.499984740745262"/>
        <rFont val="Calibri"/>
        <family val="2"/>
        <scheme val="minor"/>
      </rPr>
      <t xml:space="preserve"> single, MHz</t>
    </r>
  </si>
  <si>
    <r>
      <t>f</t>
    </r>
    <r>
      <rPr>
        <b/>
        <vertAlign val="subscript"/>
        <sz val="11"/>
        <color theme="7" tint="-0.499984740745262"/>
        <rFont val="Calibri"/>
        <family val="2"/>
        <scheme val="minor"/>
      </rPr>
      <t>0</t>
    </r>
    <r>
      <rPr>
        <b/>
        <sz val="11"/>
        <color theme="7" tint="-0.499984740745262"/>
        <rFont val="Calibri"/>
        <family val="2"/>
        <scheme val="minor"/>
      </rPr>
      <t xml:space="preserve"> double, MHz</t>
    </r>
  </si>
  <si>
    <r>
      <t xml:space="preserve">Fix cavity radius at .025 and cavity height at </t>
    </r>
    <r>
      <rPr>
        <b/>
        <sz val="11"/>
        <color rgb="FFFF0000"/>
        <rFont val="Calibri"/>
        <family val="2"/>
        <scheme val="minor"/>
      </rPr>
      <t>.075 m</t>
    </r>
    <r>
      <rPr>
        <b/>
        <sz val="11"/>
        <color theme="1"/>
        <rFont val="Calibri"/>
        <family val="2"/>
        <scheme val="minor"/>
      </rPr>
      <t xml:space="preserve"> and vary the post radius</t>
    </r>
  </si>
  <si>
    <t>full range gap chart x</t>
  </si>
  <si>
    <t>full range freq chart left</t>
  </si>
  <si>
    <t>full range Q chart right</t>
  </si>
  <si>
    <t>low range gap chart x</t>
  </si>
  <si>
    <t>low range freq chart left</t>
  </si>
  <si>
    <t>low range Q chart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</si>
</sst>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E+00"/>
    <numFmt numFmtId="166" formatCode="0.0000"/>
    <numFmt numFmtId="167" formatCode="0.0"/>
    <numFmt numFmtId="168" formatCode="0.0%"/>
    <numFmt numFmtId="169" formatCode="0.000000"/>
  </numFmts>
  <fonts count="6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12"/>
      <color theme="2" tint="-9.9978637043366805E-2"/>
      <name val="Calibri"/>
      <family val="2"/>
    </font>
    <font>
      <vertAlign val="subscript"/>
      <sz val="12"/>
      <color theme="2" tint="-9.9978637043366805E-2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vertAlign val="subscript"/>
      <sz val="12"/>
      <color theme="5" tint="-0.499984740745262"/>
      <name val="Calibri"/>
      <family val="2"/>
      <scheme val="minor"/>
    </font>
    <font>
      <b/>
      <sz val="12"/>
      <color theme="5" tint="-0.499984740745262"/>
      <name val="Script MT Bold"/>
      <family val="4"/>
    </font>
    <font>
      <sz val="12"/>
      <color theme="5" tint="0.39997558519241921"/>
      <name val="Calibri"/>
      <family val="2"/>
    </font>
    <font>
      <vertAlign val="subscript"/>
      <sz val="12"/>
      <color theme="5" tint="0.39997558519241921"/>
      <name val="Calibri"/>
      <family val="2"/>
    </font>
    <font>
      <b/>
      <sz val="12"/>
      <color theme="5" tint="0.39997558519241921"/>
      <name val="Script MT Bold"/>
      <family val="4"/>
    </font>
    <font>
      <vertAlign val="subscript"/>
      <sz val="12"/>
      <color theme="5" tint="0.39997558519241921"/>
      <name val="Calibri"/>
      <family val="2"/>
      <scheme val="minor"/>
    </font>
    <font>
      <b/>
      <sz val="12"/>
      <color theme="5" tint="0.39997558519241921"/>
      <name val="Calibri"/>
      <family val="2"/>
    </font>
    <font>
      <b/>
      <vertAlign val="subscript"/>
      <sz val="12"/>
      <color theme="5" tint="0.39997558519241921"/>
      <name val="Calibri"/>
      <family val="2"/>
    </font>
    <font>
      <sz val="12"/>
      <color theme="0" tint="-0.499984740745262"/>
      <name val="Calibri"/>
      <family val="2"/>
      <scheme val="minor"/>
    </font>
    <font>
      <b/>
      <sz val="12"/>
      <color theme="1" tint="4.9989318521683403E-2"/>
      <name val="Calibri"/>
      <family val="2"/>
    </font>
    <font>
      <b/>
      <vertAlign val="subscript"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5" tint="0.39997558519241921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vertAlign val="subscript"/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7" tint="-0.499984740745262"/>
      <name val="Calibri"/>
      <family val="2"/>
      <scheme val="minor"/>
    </font>
    <font>
      <b/>
      <vertAlign val="subscript"/>
      <sz val="12"/>
      <color theme="7" tint="-0.499984740745262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2"/>
      <name val="Calibri"/>
      <family val="2"/>
      <scheme val="minor"/>
    </font>
    <font>
      <b/>
      <vertAlign val="subscript"/>
      <sz val="12"/>
      <color theme="1"/>
      <name val="Calibri"/>
      <family val="2"/>
    </font>
    <font>
      <b/>
      <vertAlign val="superscript"/>
      <sz val="12"/>
      <color theme="1"/>
      <name val="Calibri"/>
      <family val="2"/>
      <scheme val="minor"/>
    </font>
    <font>
      <b/>
      <vertAlign val="subscript"/>
      <sz val="11"/>
      <color theme="7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2"/>
      <color theme="0" tint="-0.14999847407452621"/>
      <name val="Calibri"/>
      <family val="2"/>
      <scheme val="minor"/>
    </font>
    <font>
      <b/>
      <sz val="11"/>
      <color theme="7" tint="-0.499984740745262"/>
      <name val="Calibri"/>
      <family val="2"/>
    </font>
    <font>
      <sz val="11"/>
      <color theme="1"/>
      <name val="Calibri"/>
      <family val="2"/>
    </font>
    <font>
      <sz val="12"/>
      <color theme="1" tint="4.9989318521683403E-2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theme="0" tint="-0.249977111117893"/>
      <name val="Calibri"/>
      <family val="2"/>
    </font>
    <font>
      <b/>
      <sz val="10"/>
      <color theme="0" tint="-0.249977111117893"/>
      <name val="Calibri"/>
      <family val="2"/>
      <scheme val="minor"/>
    </font>
    <font>
      <b/>
      <sz val="10"/>
      <color rgb="FF202122"/>
      <name val="Arial"/>
      <family val="2"/>
    </font>
    <font>
      <b/>
      <sz val="9"/>
      <color rgb="FF202122"/>
      <name val="Arial"/>
      <family val="2"/>
    </font>
    <font>
      <sz val="10"/>
      <color rgb="FF202122"/>
      <name val="Arial"/>
      <family val="2"/>
    </font>
    <font>
      <vertAlign val="superscript"/>
      <sz val="8"/>
      <color rgb="FF202122"/>
      <name val="Arial"/>
      <family val="2"/>
    </font>
    <font>
      <vertAlign val="subscript"/>
      <sz val="8"/>
      <color rgb="FF202122"/>
      <name val="Arial"/>
      <family val="2"/>
    </font>
    <font>
      <sz val="14"/>
      <color theme="1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10"/>
      <color rgb="FF0070C0"/>
      <name val="Calibri"/>
      <family val="2"/>
    </font>
    <font>
      <sz val="10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/>
      <top style="medium">
        <color rgb="FFA2A9B1"/>
      </top>
      <bottom/>
      <diagonal/>
    </border>
    <border>
      <left/>
      <right/>
      <top style="medium">
        <color rgb="FFA2A9B1"/>
      </top>
      <bottom/>
      <diagonal/>
    </border>
    <border>
      <left/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/>
      <top/>
      <bottom style="medium">
        <color rgb="FFA2A9B1"/>
      </bottom>
      <diagonal/>
    </border>
    <border>
      <left/>
      <right/>
      <top/>
      <bottom style="medium">
        <color rgb="FFA2A9B1"/>
      </bottom>
      <diagonal/>
    </border>
    <border>
      <left/>
      <right style="medium">
        <color rgb="FFA2A9B1"/>
      </right>
      <top/>
      <bottom style="medium">
        <color rgb="FFA2A9B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39" fillId="0" borderId="0" applyFont="0" applyFill="0" applyBorder="0" applyAlignment="0" applyProtection="0"/>
  </cellStyleXfs>
  <cellXfs count="351">
    <xf numFmtId="0" fontId="0" fillId="0" borderId="0" xfId="0"/>
    <xf numFmtId="0" fontId="0" fillId="0" borderId="0" xfId="0" applyAlignment="1">
      <alignment readingOrder="1"/>
    </xf>
    <xf numFmtId="0" fontId="2" fillId="0" borderId="0" xfId="0" applyFont="1" applyAlignment="1"/>
    <xf numFmtId="0" fontId="0" fillId="0" borderId="0" xfId="0" applyAlignment="1"/>
    <xf numFmtId="0" fontId="3" fillId="0" borderId="0" xfId="0" applyFont="1" applyAlignment="1"/>
    <xf numFmtId="0" fontId="4" fillId="0" borderId="0" xfId="1" applyFont="1" applyAlignment="1"/>
    <xf numFmtId="0" fontId="10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65" fontId="7" fillId="2" borderId="1" xfId="0" applyNumberFormat="1" applyFont="1" applyFill="1" applyBorder="1" applyAlignment="1"/>
    <xf numFmtId="165" fontId="7" fillId="3" borderId="1" xfId="0" applyNumberFormat="1" applyFont="1" applyFill="1" applyBorder="1" applyAlignment="1"/>
    <xf numFmtId="0" fontId="23" fillId="0" borderId="1" xfId="0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11" fontId="7" fillId="2" borderId="1" xfId="0" applyNumberFormat="1" applyFont="1" applyFill="1" applyBorder="1" applyAlignment="1"/>
    <xf numFmtId="11" fontId="7" fillId="3" borderId="1" xfId="0" applyNumberFormat="1" applyFont="1" applyFill="1" applyBorder="1" applyAlignment="1"/>
    <xf numFmtId="11" fontId="6" fillId="2" borderId="1" xfId="0" applyNumberFormat="1" applyFont="1" applyFill="1" applyBorder="1" applyAlignment="1"/>
    <xf numFmtId="11" fontId="6" fillId="3" borderId="1" xfId="0" applyNumberFormat="1" applyFont="1" applyFill="1" applyBorder="1" applyAlignment="1"/>
    <xf numFmtId="0" fontId="0" fillId="0" borderId="0" xfId="0" applyFill="1" applyAlignment="1"/>
    <xf numFmtId="0" fontId="3" fillId="0" borderId="4" xfId="0" applyFont="1" applyBorder="1" applyAlignment="1"/>
    <xf numFmtId="0" fontId="0" fillId="0" borderId="5" xfId="0" applyBorder="1" applyAlignment="1"/>
    <xf numFmtId="0" fontId="0" fillId="0" borderId="4" xfId="0" applyBorder="1" applyAlignment="1"/>
    <xf numFmtId="0" fontId="0" fillId="0" borderId="9" xfId="0" applyBorder="1" applyAlignment="1"/>
    <xf numFmtId="11" fontId="6" fillId="2" borderId="13" xfId="0" applyNumberFormat="1" applyFont="1" applyFill="1" applyBorder="1" applyAlignment="1"/>
    <xf numFmtId="11" fontId="6" fillId="2" borderId="14" xfId="0" applyNumberFormat="1" applyFont="1" applyFill="1" applyBorder="1" applyAlignment="1"/>
    <xf numFmtId="165" fontId="7" fillId="2" borderId="13" xfId="0" applyNumberFormat="1" applyFont="1" applyFill="1" applyBorder="1" applyAlignment="1"/>
    <xf numFmtId="165" fontId="7" fillId="2" borderId="14" xfId="0" applyNumberFormat="1" applyFont="1" applyFill="1" applyBorder="1" applyAlignment="1"/>
    <xf numFmtId="11" fontId="7" fillId="2" borderId="13" xfId="0" applyNumberFormat="1" applyFont="1" applyFill="1" applyBorder="1" applyAlignment="1"/>
    <xf numFmtId="11" fontId="7" fillId="2" borderId="14" xfId="0" applyNumberFormat="1" applyFont="1" applyFill="1" applyBorder="1" applyAlignment="1"/>
    <xf numFmtId="11" fontId="6" fillId="3" borderId="8" xfId="0" applyNumberFormat="1" applyFont="1" applyFill="1" applyBorder="1" applyAlignment="1"/>
    <xf numFmtId="165" fontId="7" fillId="3" borderId="8" xfId="0" applyNumberFormat="1" applyFont="1" applyFill="1" applyBorder="1" applyAlignment="1"/>
    <xf numFmtId="11" fontId="7" fillId="3" borderId="8" xfId="0" applyNumberFormat="1" applyFont="1" applyFill="1" applyBorder="1" applyAlignment="1"/>
    <xf numFmtId="11" fontId="6" fillId="3" borderId="13" xfId="0" applyNumberFormat="1" applyFont="1" applyFill="1" applyBorder="1" applyAlignment="1"/>
    <xf numFmtId="11" fontId="6" fillId="3" borderId="14" xfId="0" applyNumberFormat="1" applyFont="1" applyFill="1" applyBorder="1" applyAlignment="1"/>
    <xf numFmtId="165" fontId="7" fillId="3" borderId="13" xfId="0" applyNumberFormat="1" applyFont="1" applyFill="1" applyBorder="1" applyAlignment="1"/>
    <xf numFmtId="165" fontId="7" fillId="3" borderId="14" xfId="0" applyNumberFormat="1" applyFont="1" applyFill="1" applyBorder="1" applyAlignment="1"/>
    <xf numFmtId="11" fontId="7" fillId="3" borderId="13" xfId="0" applyNumberFormat="1" applyFont="1" applyFill="1" applyBorder="1" applyAlignment="1"/>
    <xf numFmtId="11" fontId="7" fillId="3" borderId="14" xfId="0" applyNumberFormat="1" applyFont="1" applyFill="1" applyBorder="1" applyAlignment="1"/>
    <xf numFmtId="0" fontId="6" fillId="0" borderId="8" xfId="0" applyFont="1" applyFill="1" applyBorder="1" applyAlignment="1"/>
    <xf numFmtId="164" fontId="6" fillId="0" borderId="8" xfId="0" applyNumberFormat="1" applyFont="1" applyFill="1" applyBorder="1" applyAlignment="1"/>
    <xf numFmtId="11" fontId="6" fillId="0" borderId="8" xfId="0" applyNumberFormat="1" applyFont="1" applyFill="1" applyBorder="1" applyAlignment="1"/>
    <xf numFmtId="167" fontId="25" fillId="0" borderId="8" xfId="0" applyNumberFormat="1" applyFont="1" applyFill="1" applyBorder="1" applyAlignment="1"/>
    <xf numFmtId="2" fontId="7" fillId="0" borderId="8" xfId="0" applyNumberFormat="1" applyFont="1" applyFill="1" applyBorder="1" applyAlignment="1"/>
    <xf numFmtId="166" fontId="19" fillId="0" borderId="8" xfId="0" applyNumberFormat="1" applyFont="1" applyFill="1" applyBorder="1" applyAlignment="1"/>
    <xf numFmtId="166" fontId="7" fillId="0" borderId="8" xfId="0" applyNumberFormat="1" applyFont="1" applyFill="1" applyBorder="1" applyAlignment="1"/>
    <xf numFmtId="164" fontId="7" fillId="0" borderId="8" xfId="0" applyNumberFormat="1" applyFont="1" applyFill="1" applyBorder="1" applyAlignment="1"/>
    <xf numFmtId="165" fontId="7" fillId="0" borderId="8" xfId="0" applyNumberFormat="1" applyFont="1" applyFill="1" applyBorder="1" applyAlignment="1"/>
    <xf numFmtId="11" fontId="7" fillId="0" borderId="8" xfId="0" applyNumberFormat="1" applyFont="1" applyFill="1" applyBorder="1" applyAlignment="1"/>
    <xf numFmtId="2" fontId="6" fillId="0" borderId="8" xfId="0" applyNumberFormat="1" applyFont="1" applyFill="1" applyBorder="1" applyAlignment="1"/>
    <xf numFmtId="164" fontId="27" fillId="0" borderId="8" xfId="0" applyNumberFormat="1" applyFont="1" applyFill="1" applyBorder="1" applyAlignment="1"/>
    <xf numFmtId="0" fontId="5" fillId="0" borderId="4" xfId="0" applyFont="1" applyBorder="1" applyAlignment="1">
      <alignment horizontal="right"/>
    </xf>
    <xf numFmtId="0" fontId="27" fillId="0" borderId="4" xfId="0" applyFont="1" applyBorder="1" applyAlignment="1"/>
    <xf numFmtId="11" fontId="7" fillId="2" borderId="19" xfId="0" applyNumberFormat="1" applyFont="1" applyFill="1" applyBorder="1" applyAlignment="1"/>
    <xf numFmtId="11" fontId="7" fillId="2" borderId="18" xfId="0" applyNumberFormat="1" applyFont="1" applyFill="1" applyBorder="1" applyAlignment="1"/>
    <xf numFmtId="11" fontId="7" fillId="2" borderId="24" xfId="0" applyNumberFormat="1" applyFont="1" applyFill="1" applyBorder="1" applyAlignment="1"/>
    <xf numFmtId="11" fontId="7" fillId="3" borderId="19" xfId="0" applyNumberFormat="1" applyFont="1" applyFill="1" applyBorder="1" applyAlignment="1"/>
    <xf numFmtId="11" fontId="7" fillId="3" borderId="18" xfId="0" applyNumberFormat="1" applyFont="1" applyFill="1" applyBorder="1" applyAlignment="1"/>
    <xf numFmtId="11" fontId="7" fillId="3" borderId="24" xfId="0" applyNumberFormat="1" applyFont="1" applyFill="1" applyBorder="1" applyAlignment="1"/>
    <xf numFmtId="164" fontId="6" fillId="2" borderId="25" xfId="0" applyNumberFormat="1" applyFont="1" applyFill="1" applyBorder="1" applyAlignment="1"/>
    <xf numFmtId="164" fontId="6" fillId="2" borderId="26" xfId="0" applyNumberFormat="1" applyFont="1" applyFill="1" applyBorder="1" applyAlignment="1"/>
    <xf numFmtId="164" fontId="6" fillId="2" borderId="27" xfId="0" applyNumberFormat="1" applyFont="1" applyFill="1" applyBorder="1" applyAlignment="1"/>
    <xf numFmtId="164" fontId="6" fillId="3" borderId="25" xfId="0" applyNumberFormat="1" applyFont="1" applyFill="1" applyBorder="1" applyAlignment="1"/>
    <xf numFmtId="164" fontId="6" fillId="3" borderId="26" xfId="0" applyNumberFormat="1" applyFont="1" applyFill="1" applyBorder="1" applyAlignment="1"/>
    <xf numFmtId="164" fontId="6" fillId="3" borderId="27" xfId="0" applyNumberFormat="1" applyFont="1" applyFill="1" applyBorder="1" applyAlignment="1"/>
    <xf numFmtId="2" fontId="31" fillId="2" borderId="10" xfId="0" applyNumberFormat="1" applyFont="1" applyFill="1" applyBorder="1" applyAlignment="1"/>
    <xf numFmtId="2" fontId="31" fillId="2" borderId="11" xfId="0" applyNumberFormat="1" applyFont="1" applyFill="1" applyBorder="1" applyAlignment="1"/>
    <xf numFmtId="2" fontId="31" fillId="2" borderId="12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11" xfId="0" applyNumberFormat="1" applyFont="1" applyFill="1" applyBorder="1" applyAlignment="1"/>
    <xf numFmtId="2" fontId="31" fillId="3" borderId="12" xfId="0" applyNumberFormat="1" applyFont="1" applyFill="1" applyBorder="1" applyAlignment="1"/>
    <xf numFmtId="167" fontId="27" fillId="2" borderId="15" xfId="0" applyNumberFormat="1" applyFont="1" applyFill="1" applyBorder="1" applyAlignment="1"/>
    <xf numFmtId="167" fontId="27" fillId="2" borderId="16" xfId="0" applyNumberFormat="1" applyFont="1" applyFill="1" applyBorder="1" applyAlignment="1"/>
    <xf numFmtId="167" fontId="27" fillId="2" borderId="17" xfId="0" applyNumberFormat="1" applyFont="1" applyFill="1" applyBorder="1" applyAlignment="1"/>
    <xf numFmtId="167" fontId="27" fillId="3" borderId="15" xfId="0" applyNumberFormat="1" applyFont="1" applyFill="1" applyBorder="1" applyAlignment="1"/>
    <xf numFmtId="167" fontId="27" fillId="3" borderId="16" xfId="0" applyNumberFormat="1" applyFont="1" applyFill="1" applyBorder="1" applyAlignment="1"/>
    <xf numFmtId="167" fontId="27" fillId="3" borderId="17" xfId="0" applyNumberFormat="1" applyFont="1" applyFill="1" applyBorder="1" applyAlignment="1"/>
    <xf numFmtId="2" fontId="7" fillId="2" borderId="28" xfId="0" applyNumberFormat="1" applyFont="1" applyFill="1" applyBorder="1" applyAlignment="1"/>
    <xf numFmtId="2" fontId="7" fillId="2" borderId="9" xfId="0" applyNumberFormat="1" applyFont="1" applyFill="1" applyBorder="1" applyAlignment="1"/>
    <xf numFmtId="2" fontId="7" fillId="2" borderId="29" xfId="0" applyNumberFormat="1" applyFont="1" applyFill="1" applyBorder="1" applyAlignment="1"/>
    <xf numFmtId="2" fontId="7" fillId="3" borderId="28" xfId="0" applyNumberFormat="1" applyFont="1" applyFill="1" applyBorder="1" applyAlignment="1"/>
    <xf numFmtId="2" fontId="7" fillId="3" borderId="9" xfId="0" applyNumberFormat="1" applyFont="1" applyFill="1" applyBorder="1" applyAlignment="1"/>
    <xf numFmtId="2" fontId="7" fillId="3" borderId="29" xfId="0" applyNumberFormat="1" applyFont="1" applyFill="1" applyBorder="1" applyAlignment="1"/>
    <xf numFmtId="167" fontId="25" fillId="2" borderId="15" xfId="0" applyNumberFormat="1" applyFont="1" applyFill="1" applyBorder="1" applyAlignment="1"/>
    <xf numFmtId="167" fontId="25" fillId="2" borderId="16" xfId="0" applyNumberFormat="1" applyFont="1" applyFill="1" applyBorder="1" applyAlignment="1"/>
    <xf numFmtId="167" fontId="25" fillId="2" borderId="17" xfId="0" applyNumberFormat="1" applyFont="1" applyFill="1" applyBorder="1" applyAlignment="1"/>
    <xf numFmtId="167" fontId="25" fillId="3" borderId="15" xfId="0" applyNumberFormat="1" applyFont="1" applyFill="1" applyBorder="1" applyAlignment="1"/>
    <xf numFmtId="167" fontId="25" fillId="3" borderId="16" xfId="0" applyNumberFormat="1" applyFont="1" applyFill="1" applyBorder="1" applyAlignment="1"/>
    <xf numFmtId="167" fontId="25" fillId="3" borderId="17" xfId="0" applyNumberFormat="1" applyFont="1" applyFill="1" applyBorder="1" applyAlignment="1"/>
    <xf numFmtId="11" fontId="19" fillId="2" borderId="13" xfId="0" applyNumberFormat="1" applyFont="1" applyFill="1" applyBorder="1" applyAlignment="1"/>
    <xf numFmtId="11" fontId="19" fillId="2" borderId="1" xfId="0" applyNumberFormat="1" applyFont="1" applyFill="1" applyBorder="1" applyAlignment="1"/>
    <xf numFmtId="11" fontId="19" fillId="2" borderId="14" xfId="0" applyNumberFormat="1" applyFont="1" applyFill="1" applyBorder="1" applyAlignment="1"/>
    <xf numFmtId="11" fontId="19" fillId="3" borderId="13" xfId="0" applyNumberFormat="1" applyFont="1" applyFill="1" applyBorder="1" applyAlignment="1"/>
    <xf numFmtId="11" fontId="19" fillId="3" borderId="1" xfId="0" applyNumberFormat="1" applyFont="1" applyFill="1" applyBorder="1" applyAlignment="1"/>
    <xf numFmtId="11" fontId="19" fillId="3" borderId="14" xfId="0" applyNumberFormat="1" applyFont="1" applyFill="1" applyBorder="1" applyAlignment="1"/>
    <xf numFmtId="0" fontId="29" fillId="0" borderId="5" xfId="0" applyFont="1" applyBorder="1" applyAlignment="1"/>
    <xf numFmtId="0" fontId="27" fillId="0" borderId="3" xfId="0" applyFont="1" applyBorder="1" applyAlignment="1"/>
    <xf numFmtId="11" fontId="6" fillId="2" borderId="28" xfId="0" applyNumberFormat="1" applyFont="1" applyFill="1" applyBorder="1" applyAlignment="1"/>
    <xf numFmtId="11" fontId="6" fillId="2" borderId="9" xfId="0" applyNumberFormat="1" applyFont="1" applyFill="1" applyBorder="1" applyAlignment="1"/>
    <xf numFmtId="11" fontId="6" fillId="3" borderId="9" xfId="0" applyNumberFormat="1" applyFont="1" applyFill="1" applyBorder="1" applyAlignment="1"/>
    <xf numFmtId="11" fontId="6" fillId="3" borderId="29" xfId="0" applyNumberFormat="1" applyFont="1" applyFill="1" applyBorder="1" applyAlignment="1"/>
    <xf numFmtId="0" fontId="3" fillId="2" borderId="21" xfId="0" applyFont="1" applyFill="1" applyBorder="1" applyAlignment="1"/>
    <xf numFmtId="0" fontId="3" fillId="2" borderId="22" xfId="0" applyFont="1" applyFill="1" applyBorder="1" applyAlignment="1"/>
    <xf numFmtId="0" fontId="3" fillId="3" borderId="22" xfId="0" applyFont="1" applyFill="1" applyBorder="1" applyAlignment="1"/>
    <xf numFmtId="0" fontId="3" fillId="3" borderId="23" xfId="0" applyFont="1" applyFill="1" applyBorder="1" applyAlignment="1"/>
    <xf numFmtId="0" fontId="6" fillId="0" borderId="2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2" fillId="0" borderId="31" xfId="0" applyFont="1" applyBorder="1" applyAlignment="1">
      <alignment horizontal="center"/>
    </xf>
    <xf numFmtId="0" fontId="10" fillId="0" borderId="31" xfId="0" applyFont="1" applyBorder="1" applyAlignment="1">
      <alignment horizontal="center"/>
    </xf>
    <xf numFmtId="0" fontId="20" fillId="0" borderId="32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3" fillId="0" borderId="31" xfId="0" applyFont="1" applyBorder="1" applyAlignment="1">
      <alignment horizontal="center"/>
    </xf>
    <xf numFmtId="0" fontId="15" fillId="0" borderId="31" xfId="0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0" fontId="24" fillId="0" borderId="33" xfId="0" applyFont="1" applyBorder="1" applyAlignment="1">
      <alignment horizontal="center"/>
    </xf>
    <xf numFmtId="0" fontId="34" fillId="0" borderId="34" xfId="0" applyFont="1" applyBorder="1" applyAlignment="1">
      <alignment horizontal="center"/>
    </xf>
    <xf numFmtId="0" fontId="26" fillId="0" borderId="32" xfId="0" applyFont="1" applyBorder="1" applyAlignment="1">
      <alignment horizontal="center"/>
    </xf>
    <xf numFmtId="0" fontId="23" fillId="0" borderId="35" xfId="0" applyFont="1" applyBorder="1" applyAlignment="1">
      <alignment horizontal="center"/>
    </xf>
    <xf numFmtId="0" fontId="22" fillId="2" borderId="23" xfId="0" applyFont="1" applyFill="1" applyBorder="1" applyAlignment="1"/>
    <xf numFmtId="11" fontId="6" fillId="2" borderId="29" xfId="0" applyNumberFormat="1" applyFont="1" applyFill="1" applyBorder="1" applyAlignment="1"/>
    <xf numFmtId="0" fontId="3" fillId="2" borderId="23" xfId="0" applyFont="1" applyFill="1" applyBorder="1" applyAlignment="1"/>
    <xf numFmtId="0" fontId="3" fillId="3" borderId="36" xfId="0" applyFont="1" applyFill="1" applyBorder="1" applyAlignment="1"/>
    <xf numFmtId="11" fontId="6" fillId="3" borderId="37" xfId="0" applyNumberFormat="1" applyFont="1" applyFill="1" applyBorder="1" applyAlignment="1"/>
    <xf numFmtId="167" fontId="25" fillId="3" borderId="38" xfId="0" applyNumberFormat="1" applyFont="1" applyFill="1" applyBorder="1" applyAlignment="1"/>
    <xf numFmtId="2" fontId="7" fillId="3" borderId="37" xfId="0" applyNumberFormat="1" applyFont="1" applyFill="1" applyBorder="1" applyAlignment="1"/>
    <xf numFmtId="11" fontId="19" fillId="3" borderId="8" xfId="0" applyNumberFormat="1" applyFont="1" applyFill="1" applyBorder="1" applyAlignment="1"/>
    <xf numFmtId="11" fontId="7" fillId="3" borderId="20" xfId="0" applyNumberFormat="1" applyFont="1" applyFill="1" applyBorder="1" applyAlignment="1"/>
    <xf numFmtId="2" fontId="31" fillId="3" borderId="39" xfId="0" applyNumberFormat="1" applyFont="1" applyFill="1" applyBorder="1" applyAlignment="1"/>
    <xf numFmtId="167" fontId="27" fillId="3" borderId="38" xfId="0" applyNumberFormat="1" applyFont="1" applyFill="1" applyBorder="1" applyAlignment="1"/>
    <xf numFmtId="164" fontId="6" fillId="3" borderId="40" xfId="0" applyNumberFormat="1" applyFont="1" applyFill="1" applyBorder="1" applyAlignment="1"/>
    <xf numFmtId="0" fontId="3" fillId="3" borderId="21" xfId="0" applyFont="1" applyFill="1" applyBorder="1" applyAlignment="1"/>
    <xf numFmtId="11" fontId="6" fillId="3" borderId="28" xfId="0" applyNumberFormat="1" applyFont="1" applyFill="1" applyBorder="1" applyAlignment="1"/>
    <xf numFmtId="11" fontId="30" fillId="4" borderId="1" xfId="0" applyNumberFormat="1" applyFont="1" applyFill="1" applyBorder="1" applyAlignment="1"/>
    <xf numFmtId="11" fontId="35" fillId="4" borderId="1" xfId="0" applyNumberFormat="1" applyFont="1" applyFill="1" applyBorder="1" applyAlignment="1"/>
    <xf numFmtId="165" fontId="35" fillId="4" borderId="1" xfId="0" applyNumberFormat="1" applyFont="1" applyFill="1" applyBorder="1" applyAlignment="1"/>
    <xf numFmtId="167" fontId="30" fillId="4" borderId="1" xfId="0" applyNumberFormat="1" applyFont="1" applyFill="1" applyBorder="1" applyAlignment="1"/>
    <xf numFmtId="2" fontId="35" fillId="4" borderId="1" xfId="0" applyNumberFormat="1" applyFont="1" applyFill="1" applyBorder="1" applyAlignment="1"/>
    <xf numFmtId="0" fontId="34" fillId="0" borderId="1" xfId="0" applyFont="1" applyBorder="1" applyAlignment="1">
      <alignment horizontal="center"/>
    </xf>
    <xf numFmtId="2" fontId="30" fillId="4" borderId="1" xfId="0" applyNumberFormat="1" applyFont="1" applyFill="1" applyBorder="1" applyAlignment="1"/>
    <xf numFmtId="164" fontId="30" fillId="4" borderId="1" xfId="0" applyNumberFormat="1" applyFont="1" applyFill="1" applyBorder="1" applyAlignment="1"/>
    <xf numFmtId="0" fontId="6" fillId="0" borderId="3" xfId="0" applyFont="1" applyBorder="1" applyAlignment="1"/>
    <xf numFmtId="0" fontId="10" fillId="0" borderId="13" xfId="0" applyFont="1" applyBorder="1" applyAlignment="1">
      <alignment horizontal="center"/>
    </xf>
    <xf numFmtId="2" fontId="30" fillId="4" borderId="16" xfId="0" applyNumberFormat="1" applyFont="1" applyFill="1" applyBorder="1" applyAlignment="1"/>
    <xf numFmtId="2" fontId="30" fillId="4" borderId="17" xfId="0" applyNumberFormat="1" applyFont="1" applyFill="1" applyBorder="1" applyAlignment="1"/>
    <xf numFmtId="0" fontId="3" fillId="0" borderId="9" xfId="0" applyFont="1" applyBorder="1" applyAlignment="1"/>
    <xf numFmtId="0" fontId="6" fillId="0" borderId="0" xfId="0" applyFont="1" applyAlignment="1">
      <alignment readingOrder="1"/>
    </xf>
    <xf numFmtId="0" fontId="3" fillId="0" borderId="0" xfId="0" applyFont="1" applyAlignment="1">
      <alignment readingOrder="1"/>
    </xf>
    <xf numFmtId="0" fontId="4" fillId="0" borderId="0" xfId="1" applyFont="1" applyAlignment="1">
      <alignment readingOrder="1"/>
    </xf>
    <xf numFmtId="0" fontId="3" fillId="0" borderId="5" xfId="0" applyFont="1" applyBorder="1" applyAlignment="1"/>
    <xf numFmtId="0" fontId="6" fillId="0" borderId="6" xfId="0" applyFont="1" applyBorder="1" applyAlignment="1">
      <alignment readingOrder="1"/>
    </xf>
    <xf numFmtId="0" fontId="3" fillId="0" borderId="7" xfId="0" applyFont="1" applyBorder="1" applyAlignment="1"/>
    <xf numFmtId="0" fontId="3" fillId="0" borderId="0" xfId="0" applyFont="1" applyBorder="1" applyAlignment="1"/>
    <xf numFmtId="0" fontId="6" fillId="0" borderId="0" xfId="0" applyFont="1" applyAlignment="1">
      <alignment horizontal="center"/>
    </xf>
    <xf numFmtId="11" fontId="3" fillId="0" borderId="0" xfId="0" applyNumberFormat="1" applyFont="1" applyAlignment="1"/>
    <xf numFmtId="0" fontId="3" fillId="0" borderId="0" xfId="0" applyFont="1" applyAlignment="1">
      <alignment horizontal="center"/>
    </xf>
    <xf numFmtId="0" fontId="0" fillId="0" borderId="0" xfId="0" applyBorder="1" applyAlignment="1"/>
    <xf numFmtId="0" fontId="3" fillId="0" borderId="1" xfId="0" applyFont="1" applyBorder="1" applyAlignment="1"/>
    <xf numFmtId="0" fontId="3" fillId="0" borderId="11" xfId="0" applyFont="1" applyBorder="1" applyAlignment="1"/>
    <xf numFmtId="0" fontId="0" fillId="0" borderId="12" xfId="0" applyBorder="1" applyAlignment="1"/>
    <xf numFmtId="0" fontId="0" fillId="0" borderId="17" xfId="0" applyBorder="1" applyAlignment="1"/>
    <xf numFmtId="11" fontId="27" fillId="6" borderId="1" xfId="0" applyNumberFormat="1" applyFont="1" applyFill="1" applyBorder="1" applyAlignment="1"/>
    <xf numFmtId="0" fontId="3" fillId="0" borderId="10" xfId="0" applyFont="1" applyBorder="1" applyAlignment="1"/>
    <xf numFmtId="0" fontId="3" fillId="0" borderId="12" xfId="0" applyFont="1" applyBorder="1" applyAlignment="1"/>
    <xf numFmtId="0" fontId="3" fillId="0" borderId="14" xfId="0" applyFont="1" applyBorder="1" applyAlignment="1"/>
    <xf numFmtId="165" fontId="6" fillId="0" borderId="13" xfId="0" applyNumberFormat="1" applyFont="1" applyBorder="1" applyAlignment="1"/>
    <xf numFmtId="0" fontId="3" fillId="0" borderId="16" xfId="0" applyFont="1" applyBorder="1" applyAlignment="1"/>
    <xf numFmtId="0" fontId="3" fillId="0" borderId="17" xfId="0" applyFont="1" applyBorder="1" applyAlignment="1"/>
    <xf numFmtId="11" fontId="6" fillId="0" borderId="15" xfId="0" applyNumberFormat="1" applyFont="1" applyBorder="1" applyAlignment="1"/>
    <xf numFmtId="167" fontId="6" fillId="0" borderId="25" xfId="0" applyNumberFormat="1" applyFont="1" applyBorder="1" applyAlignment="1"/>
    <xf numFmtId="0" fontId="3" fillId="0" borderId="26" xfId="0" applyFont="1" applyBorder="1" applyAlignment="1"/>
    <xf numFmtId="0" fontId="3" fillId="0" borderId="27" xfId="0" applyFont="1" applyBorder="1" applyAlignment="1"/>
    <xf numFmtId="0" fontId="3" fillId="0" borderId="15" xfId="0" applyFont="1" applyBorder="1" applyAlignment="1"/>
    <xf numFmtId="165" fontId="27" fillId="6" borderId="1" xfId="0" applyNumberFormat="1" applyFont="1" applyFill="1" applyBorder="1" applyAlignment="1"/>
    <xf numFmtId="0" fontId="3" fillId="0" borderId="41" xfId="0" applyFont="1" applyBorder="1" applyAlignment="1"/>
    <xf numFmtId="0" fontId="6" fillId="0" borderId="0" xfId="0" applyFont="1" applyAlignment="1"/>
    <xf numFmtId="0" fontId="27" fillId="5" borderId="2" xfId="0" applyFont="1" applyFill="1" applyBorder="1" applyAlignment="1">
      <alignment horizontal="left"/>
    </xf>
    <xf numFmtId="0" fontId="27" fillId="4" borderId="2" xfId="0" applyFont="1" applyFill="1" applyBorder="1" applyAlignment="1">
      <alignment horizontal="center"/>
    </xf>
    <xf numFmtId="166" fontId="3" fillId="0" borderId="42" xfId="0" applyNumberFormat="1" applyFont="1" applyBorder="1" applyAlignment="1"/>
    <xf numFmtId="11" fontId="29" fillId="6" borderId="1" xfId="0" applyNumberFormat="1" applyFont="1" applyFill="1" applyBorder="1" applyAlignment="1"/>
    <xf numFmtId="167" fontId="35" fillId="4" borderId="1" xfId="0" applyNumberFormat="1" applyFont="1" applyFill="1" applyBorder="1" applyAlignment="1"/>
    <xf numFmtId="0" fontId="0" fillId="0" borderId="1" xfId="0" applyBorder="1" applyAlignment="1"/>
    <xf numFmtId="0" fontId="2" fillId="0" borderId="1" xfId="0" applyFont="1" applyBorder="1" applyAlignment="1"/>
    <xf numFmtId="0" fontId="6" fillId="0" borderId="0" xfId="0" applyFont="1" applyAlignment="1">
      <alignment horizontal="right"/>
    </xf>
    <xf numFmtId="0" fontId="2" fillId="0" borderId="0" xfId="0" applyFont="1" applyBorder="1" applyAlignment="1"/>
    <xf numFmtId="0" fontId="10" fillId="0" borderId="18" xfId="0" applyFont="1" applyBorder="1" applyAlignment="1">
      <alignment horizontal="right"/>
    </xf>
    <xf numFmtId="0" fontId="6" fillId="4" borderId="43" xfId="0" applyFont="1" applyFill="1" applyBorder="1" applyAlignment="1"/>
    <xf numFmtId="0" fontId="3" fillId="0" borderId="43" xfId="0" applyFont="1" applyBorder="1" applyAlignment="1"/>
    <xf numFmtId="0" fontId="0" fillId="0" borderId="43" xfId="0" applyBorder="1" applyAlignment="1"/>
    <xf numFmtId="0" fontId="10" fillId="0" borderId="43" xfId="0" applyFont="1" applyBorder="1" applyAlignment="1">
      <alignment horizontal="right"/>
    </xf>
    <xf numFmtId="0" fontId="41" fillId="0" borderId="0" xfId="0" applyFont="1" applyAlignment="1">
      <alignment horizontal="right"/>
    </xf>
    <xf numFmtId="2" fontId="41" fillId="0" borderId="0" xfId="0" applyNumberFormat="1" applyFont="1" applyAlignment="1"/>
    <xf numFmtId="167" fontId="42" fillId="4" borderId="1" xfId="0" applyNumberFormat="1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11" fontId="0" fillId="0" borderId="1" xfId="0" applyNumberFormat="1" applyBorder="1" applyAlignment="1"/>
    <xf numFmtId="0" fontId="0" fillId="0" borderId="1" xfId="0" applyFill="1" applyBorder="1" applyAlignment="1">
      <alignment horizontal="right"/>
    </xf>
    <xf numFmtId="0" fontId="40" fillId="0" borderId="1" xfId="0" applyFont="1" applyBorder="1" applyAlignment="1">
      <alignment horizontal="right"/>
    </xf>
    <xf numFmtId="11" fontId="40" fillId="0" borderId="1" xfId="0" applyNumberFormat="1" applyFont="1" applyBorder="1" applyAlignment="1"/>
    <xf numFmtId="0" fontId="0" fillId="0" borderId="1" xfId="0" applyBorder="1" applyAlignment="1">
      <alignment horizontal="left"/>
    </xf>
    <xf numFmtId="0" fontId="0" fillId="0" borderId="1" xfId="0" applyBorder="1" applyAlignment="1">
      <alignment readingOrder="1"/>
    </xf>
    <xf numFmtId="0" fontId="3" fillId="0" borderId="1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1" applyFont="1" applyBorder="1" applyAlignment="1"/>
    <xf numFmtId="164" fontId="3" fillId="0" borderId="0" xfId="0" applyNumberFormat="1" applyFont="1" applyBorder="1" applyAlignment="1"/>
    <xf numFmtId="11" fontId="3" fillId="0" borderId="0" xfId="0" applyNumberFormat="1" applyFont="1" applyBorder="1" applyAlignment="1"/>
    <xf numFmtId="11" fontId="3" fillId="0" borderId="1" xfId="0" applyNumberFormat="1" applyFont="1" applyBorder="1" applyAlignment="1"/>
    <xf numFmtId="164" fontId="35" fillId="4" borderId="1" xfId="0" applyNumberFormat="1" applyFont="1" applyFill="1" applyBorder="1" applyAlignment="1"/>
    <xf numFmtId="0" fontId="6" fillId="2" borderId="1" xfId="0" applyFont="1" applyFill="1" applyBorder="1" applyAlignment="1"/>
    <xf numFmtId="11" fontId="3" fillId="7" borderId="1" xfId="0" applyNumberFormat="1" applyFont="1" applyFill="1" applyBorder="1" applyAlignment="1"/>
    <xf numFmtId="0" fontId="10" fillId="7" borderId="1" xfId="0" applyFont="1" applyFill="1" applyBorder="1" applyAlignment="1">
      <alignment horizontal="center"/>
    </xf>
    <xf numFmtId="0" fontId="31" fillId="2" borderId="1" xfId="0" applyFont="1" applyFill="1" applyBorder="1" applyAlignment="1">
      <alignment horizontal="center"/>
    </xf>
    <xf numFmtId="164" fontId="3" fillId="0" borderId="1" xfId="0" applyNumberFormat="1" applyFont="1" applyBorder="1" applyAlignment="1"/>
    <xf numFmtId="0" fontId="6" fillId="2" borderId="13" xfId="0" applyFont="1" applyFill="1" applyBorder="1" applyAlignment="1">
      <alignment horizontal="center"/>
    </xf>
    <xf numFmtId="0" fontId="6" fillId="2" borderId="14" xfId="0" applyFont="1" applyFill="1" applyBorder="1" applyAlignment="1"/>
    <xf numFmtId="0" fontId="0" fillId="0" borderId="13" xfId="0" applyBorder="1" applyAlignment="1"/>
    <xf numFmtId="11" fontId="35" fillId="4" borderId="14" xfId="0" applyNumberFormat="1" applyFont="1" applyFill="1" applyBorder="1" applyAlignment="1"/>
    <xf numFmtId="2" fontId="35" fillId="4" borderId="14" xfId="0" applyNumberFormat="1" applyFont="1" applyFill="1" applyBorder="1" applyAlignment="1"/>
    <xf numFmtId="0" fontId="12" fillId="0" borderId="13" xfId="0" applyFont="1" applyBorder="1" applyAlignment="1">
      <alignment horizontal="center"/>
    </xf>
    <xf numFmtId="0" fontId="10" fillId="7" borderId="13" xfId="0" applyFont="1" applyFill="1" applyBorder="1" applyAlignment="1">
      <alignment horizontal="center"/>
    </xf>
    <xf numFmtId="11" fontId="3" fillId="7" borderId="14" xfId="0" applyNumberFormat="1" applyFont="1" applyFill="1" applyBorder="1" applyAlignment="1"/>
    <xf numFmtId="167" fontId="35" fillId="4" borderId="14" xfId="0" applyNumberFormat="1" applyFont="1" applyFill="1" applyBorder="1" applyAlignment="1"/>
    <xf numFmtId="0" fontId="8" fillId="0" borderId="13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165" fontId="35" fillId="4" borderId="14" xfId="0" applyNumberFormat="1" applyFont="1" applyFill="1" applyBorder="1" applyAlignment="1"/>
    <xf numFmtId="0" fontId="24" fillId="0" borderId="13" xfId="0" applyFont="1" applyBorder="1" applyAlignment="1">
      <alignment horizontal="center"/>
    </xf>
    <xf numFmtId="0" fontId="31" fillId="2" borderId="13" xfId="0" applyFont="1" applyFill="1" applyBorder="1" applyAlignment="1">
      <alignment horizontal="center"/>
    </xf>
    <xf numFmtId="0" fontId="44" fillId="0" borderId="13" xfId="0" applyFont="1" applyBorder="1" applyAlignment="1">
      <alignment horizontal="center"/>
    </xf>
    <xf numFmtId="164" fontId="35" fillId="4" borderId="14" xfId="0" applyNumberFormat="1" applyFont="1" applyFill="1" applyBorder="1" applyAlignment="1"/>
    <xf numFmtId="164" fontId="3" fillId="0" borderId="14" xfId="0" applyNumberFormat="1" applyFont="1" applyBorder="1" applyAlignment="1"/>
    <xf numFmtId="0" fontId="22" fillId="0" borderId="13" xfId="0" applyFont="1" applyBorder="1" applyAlignment="1">
      <alignment horizontal="center"/>
    </xf>
    <xf numFmtId="11" fontId="3" fillId="0" borderId="14" xfId="0" applyNumberFormat="1" applyFont="1" applyBorder="1" applyAlignment="1"/>
    <xf numFmtId="0" fontId="45" fillId="0" borderId="13" xfId="0" applyFont="1" applyBorder="1" applyAlignment="1">
      <alignment horizontal="center"/>
    </xf>
    <xf numFmtId="11" fontId="6" fillId="7" borderId="1" xfId="0" applyNumberFormat="1" applyFont="1" applyFill="1" applyBorder="1" applyAlignment="1"/>
    <xf numFmtId="11" fontId="6" fillId="7" borderId="14" xfId="0" applyNumberFormat="1" applyFont="1" applyFill="1" applyBorder="1" applyAlignment="1"/>
    <xf numFmtId="0" fontId="6" fillId="7" borderId="10" xfId="0" applyFont="1" applyFill="1" applyBorder="1" applyAlignment="1">
      <alignment horizontal="center"/>
    </xf>
    <xf numFmtId="11" fontId="6" fillId="7" borderId="11" xfId="0" applyNumberFormat="1" applyFont="1" applyFill="1" applyBorder="1" applyAlignment="1"/>
    <xf numFmtId="11" fontId="6" fillId="7" borderId="12" xfId="0" applyNumberFormat="1" applyFont="1" applyFill="1" applyBorder="1" applyAlignment="1"/>
    <xf numFmtId="0" fontId="6" fillId="3" borderId="13" xfId="0" applyFont="1" applyFill="1" applyBorder="1" applyAlignment="1">
      <alignment horizontal="center"/>
    </xf>
    <xf numFmtId="0" fontId="6" fillId="3" borderId="1" xfId="0" applyFont="1" applyFill="1" applyBorder="1" applyAlignment="1"/>
    <xf numFmtId="0" fontId="6" fillId="3" borderId="14" xfId="0" applyFont="1" applyFill="1" applyBorder="1" applyAlignment="1"/>
    <xf numFmtId="0" fontId="6" fillId="3" borderId="15" xfId="0" applyFont="1" applyFill="1" applyBorder="1" applyAlignment="1">
      <alignment horizontal="center"/>
    </xf>
    <xf numFmtId="167" fontId="6" fillId="3" borderId="16" xfId="0" applyNumberFormat="1" applyFont="1" applyFill="1" applyBorder="1" applyAlignment="1"/>
    <xf numFmtId="167" fontId="6" fillId="3" borderId="17" xfId="0" applyNumberFormat="1" applyFont="1" applyFill="1" applyBorder="1" applyAlignment="1"/>
    <xf numFmtId="168" fontId="6" fillId="0" borderId="0" xfId="2" applyNumberFormat="1" applyFont="1" applyAlignment="1"/>
    <xf numFmtId="11" fontId="3" fillId="2" borderId="14" xfId="0" applyNumberFormat="1" applyFont="1" applyFill="1" applyBorder="1" applyAlignment="1"/>
    <xf numFmtId="167" fontId="3" fillId="3" borderId="17" xfId="0" applyNumberFormat="1" applyFont="1" applyFill="1" applyBorder="1" applyAlignment="1"/>
    <xf numFmtId="11" fontId="3" fillId="2" borderId="1" xfId="0" applyNumberFormat="1" applyFont="1" applyFill="1" applyBorder="1" applyAlignment="1"/>
    <xf numFmtId="0" fontId="6" fillId="3" borderId="1" xfId="0" applyFont="1" applyFill="1" applyBorder="1" applyAlignment="1">
      <alignment horizontal="center"/>
    </xf>
    <xf numFmtId="167" fontId="3" fillId="3" borderId="1" xfId="0" applyNumberFormat="1" applyFont="1" applyFill="1" applyBorder="1" applyAlignment="1"/>
    <xf numFmtId="0" fontId="6" fillId="0" borderId="0" xfId="0" applyFont="1" applyBorder="1" applyAlignment="1">
      <alignment horizontal="center"/>
    </xf>
    <xf numFmtId="1" fontId="6" fillId="0" borderId="0" xfId="0" applyNumberFormat="1" applyFont="1" applyBorder="1" applyAlignment="1"/>
    <xf numFmtId="0" fontId="40" fillId="0" borderId="0" xfId="0" applyFont="1"/>
    <xf numFmtId="0" fontId="0" fillId="0" borderId="44" xfId="0" applyBorder="1"/>
    <xf numFmtId="166" fontId="46" fillId="0" borderId="11" xfId="0" applyNumberFormat="1" applyFont="1" applyBorder="1"/>
    <xf numFmtId="166" fontId="46" fillId="0" borderId="12" xfId="0" applyNumberFormat="1" applyFont="1" applyBorder="1"/>
    <xf numFmtId="0" fontId="46" fillId="0" borderId="1" xfId="0" applyFont="1" applyBorder="1"/>
    <xf numFmtId="0" fontId="46" fillId="0" borderId="14" xfId="0" applyFont="1" applyBorder="1"/>
    <xf numFmtId="0" fontId="46" fillId="0" borderId="16" xfId="0" applyFont="1" applyBorder="1"/>
    <xf numFmtId="0" fontId="46" fillId="0" borderId="17" xfId="0" applyFont="1" applyBorder="1"/>
    <xf numFmtId="164" fontId="6" fillId="3" borderId="11" xfId="0" applyNumberFormat="1" applyFont="1" applyFill="1" applyBorder="1" applyAlignment="1"/>
    <xf numFmtId="0" fontId="47" fillId="0" borderId="0" xfId="0" applyFont="1" applyFill="1" applyBorder="1"/>
    <xf numFmtId="164" fontId="47" fillId="0" borderId="0" xfId="0" applyNumberFormat="1" applyFont="1" applyFill="1" applyBorder="1"/>
    <xf numFmtId="0" fontId="0" fillId="0" borderId="44" xfId="0" applyBorder="1" applyAlignment="1">
      <alignment horizontal="center"/>
    </xf>
    <xf numFmtId="166" fontId="48" fillId="0" borderId="11" xfId="0" applyNumberFormat="1" applyFont="1" applyBorder="1"/>
    <xf numFmtId="167" fontId="48" fillId="0" borderId="1" xfId="0" applyNumberFormat="1" applyFont="1" applyBorder="1"/>
    <xf numFmtId="0" fontId="48" fillId="0" borderId="1" xfId="0" applyFont="1" applyBorder="1"/>
    <xf numFmtId="0" fontId="48" fillId="0" borderId="16" xfId="0" applyFont="1" applyBorder="1"/>
    <xf numFmtId="0" fontId="46" fillId="0" borderId="10" xfId="0" applyFont="1" applyBorder="1" applyAlignment="1">
      <alignment horizontal="center"/>
    </xf>
    <xf numFmtId="0" fontId="46" fillId="0" borderId="13" xfId="0" applyFont="1" applyBorder="1" applyAlignment="1">
      <alignment horizontal="center"/>
    </xf>
    <xf numFmtId="0" fontId="46" fillId="0" borderId="15" xfId="0" applyFont="1" applyBorder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49" fillId="0" borderId="45" xfId="0" applyFont="1" applyBorder="1" applyAlignment="1">
      <alignment horizontal="center"/>
    </xf>
    <xf numFmtId="164" fontId="49" fillId="0" borderId="10" xfId="0" applyNumberFormat="1" applyFont="1" applyBorder="1"/>
    <xf numFmtId="166" fontId="49" fillId="0" borderId="10" xfId="0" applyNumberFormat="1" applyFont="1" applyBorder="1"/>
    <xf numFmtId="164" fontId="49" fillId="0" borderId="11" xfId="0" applyNumberFormat="1" applyFont="1" applyBorder="1"/>
    <xf numFmtId="164" fontId="49" fillId="0" borderId="12" xfId="0" applyNumberFormat="1" applyFont="1" applyBorder="1"/>
    <xf numFmtId="166" fontId="49" fillId="0" borderId="11" xfId="0" applyNumberFormat="1" applyFont="1" applyBorder="1"/>
    <xf numFmtId="164" fontId="49" fillId="0" borderId="13" xfId="0" applyNumberFormat="1" applyFont="1" applyBorder="1"/>
    <xf numFmtId="164" fontId="49" fillId="0" borderId="1" xfId="0" applyNumberFormat="1" applyFont="1" applyBorder="1"/>
    <xf numFmtId="164" fontId="49" fillId="0" borderId="14" xfId="0" applyNumberFormat="1" applyFont="1" applyBorder="1"/>
    <xf numFmtId="167" fontId="49" fillId="0" borderId="13" xfId="0" applyNumberFormat="1" applyFont="1" applyBorder="1"/>
    <xf numFmtId="167" fontId="49" fillId="0" borderId="1" xfId="0" applyNumberFormat="1" applyFont="1" applyBorder="1"/>
    <xf numFmtId="167" fontId="49" fillId="0" borderId="14" xfId="0" applyNumberFormat="1" applyFont="1" applyBorder="1"/>
    <xf numFmtId="167" fontId="51" fillId="0" borderId="13" xfId="0" applyNumberFormat="1" applyFont="1" applyBorder="1"/>
    <xf numFmtId="0" fontId="49" fillId="0" borderId="13" xfId="0" applyFont="1" applyBorder="1"/>
    <xf numFmtId="0" fontId="49" fillId="0" borderId="1" xfId="0" applyFont="1" applyBorder="1"/>
    <xf numFmtId="0" fontId="49" fillId="0" borderId="14" xfId="0" applyFont="1" applyBorder="1"/>
    <xf numFmtId="0" fontId="51" fillId="0" borderId="13" xfId="0" applyFont="1" applyBorder="1"/>
    <xf numFmtId="0" fontId="49" fillId="0" borderId="15" xfId="0" applyFont="1" applyBorder="1"/>
    <xf numFmtId="0" fontId="49" fillId="0" borderId="16" xfId="0" applyFont="1" applyBorder="1"/>
    <xf numFmtId="0" fontId="49" fillId="0" borderId="17" xfId="0" applyFont="1" applyBorder="1"/>
    <xf numFmtId="166" fontId="49" fillId="0" borderId="12" xfId="0" applyNumberFormat="1" applyFont="1" applyBorder="1"/>
    <xf numFmtId="0" fontId="40" fillId="0" borderId="0" xfId="0" applyFont="1" applyAlignment="1">
      <alignment horizontal="left"/>
    </xf>
    <xf numFmtId="11" fontId="3" fillId="0" borderId="16" xfId="0" applyNumberFormat="1" applyFont="1" applyBorder="1" applyAlignment="1"/>
    <xf numFmtId="164" fontId="3" fillId="0" borderId="0" xfId="0" applyNumberFormat="1" applyFont="1" applyAlignment="1"/>
    <xf numFmtId="0" fontId="40" fillId="0" borderId="0" xfId="0" applyFont="1" applyAlignment="1"/>
    <xf numFmtId="0" fontId="6" fillId="0" borderId="0" xfId="0" applyFont="1" applyAlignment="1">
      <alignment horizontal="center" wrapText="1"/>
    </xf>
    <xf numFmtId="0" fontId="52" fillId="9" borderId="47" xfId="0" applyFont="1" applyFill="1" applyBorder="1" applyAlignment="1">
      <alignment horizontal="center" vertical="center" wrapText="1"/>
    </xf>
    <xf numFmtId="0" fontId="52" fillId="9" borderId="48" xfId="0" applyFont="1" applyFill="1" applyBorder="1" applyAlignment="1">
      <alignment horizontal="center" vertical="center" wrapText="1"/>
    </xf>
    <xf numFmtId="0" fontId="52" fillId="9" borderId="49" xfId="0" applyFont="1" applyFill="1" applyBorder="1" applyAlignment="1">
      <alignment horizontal="center" vertical="center" wrapText="1"/>
    </xf>
    <xf numFmtId="0" fontId="53" fillId="9" borderId="49" xfId="0" applyFont="1" applyFill="1" applyBorder="1" applyAlignment="1">
      <alignment horizontal="center" vertical="center" wrapText="1"/>
    </xf>
    <xf numFmtId="0" fontId="54" fillId="8" borderId="46" xfId="0" applyFont="1" applyFill="1" applyBorder="1" applyAlignment="1">
      <alignment vertical="center" wrapText="1"/>
    </xf>
    <xf numFmtId="0" fontId="55" fillId="8" borderId="46" xfId="0" applyFont="1" applyFill="1" applyBorder="1" applyAlignment="1">
      <alignment vertical="center" wrapText="1"/>
    </xf>
    <xf numFmtId="0" fontId="3" fillId="0" borderId="0" xfId="0" applyFont="1"/>
    <xf numFmtId="0" fontId="4" fillId="0" borderId="0" xfId="1" applyFont="1"/>
    <xf numFmtId="167" fontId="6" fillId="0" borderId="1" xfId="0" applyNumberFormat="1" applyFont="1" applyBorder="1" applyAlignment="1"/>
    <xf numFmtId="1" fontId="6" fillId="0" borderId="1" xfId="0" applyNumberFormat="1" applyFont="1" applyBorder="1" applyAlignment="1"/>
    <xf numFmtId="0" fontId="43" fillId="0" borderId="1" xfId="0" applyFont="1" applyBorder="1" applyAlignment="1">
      <alignment horizontal="center"/>
    </xf>
    <xf numFmtId="0" fontId="57" fillId="0" borderId="0" xfId="0" applyFont="1" applyAlignment="1"/>
    <xf numFmtId="0" fontId="3" fillId="0" borderId="0" xfId="0" applyFont="1" applyAlignment="1">
      <alignment horizontal="left"/>
    </xf>
    <xf numFmtId="0" fontId="6" fillId="6" borderId="1" xfId="0" applyFont="1" applyFill="1" applyBorder="1" applyAlignment="1"/>
    <xf numFmtId="169" fontId="3" fillId="0" borderId="0" xfId="0" applyNumberFormat="1" applyFont="1" applyAlignment="1"/>
    <xf numFmtId="0" fontId="6" fillId="0" borderId="0" xfId="0" applyFont="1" applyFill="1" applyBorder="1" applyAlignment="1">
      <alignment horizontal="left"/>
    </xf>
    <xf numFmtId="0" fontId="10" fillId="0" borderId="18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11" fontId="29" fillId="6" borderId="22" xfId="0" applyNumberFormat="1" applyFont="1" applyFill="1" applyBorder="1" applyAlignment="1"/>
    <xf numFmtId="0" fontId="6" fillId="0" borderId="1" xfId="0" applyFont="1" applyBorder="1" applyAlignment="1">
      <alignment horizontal="right"/>
    </xf>
    <xf numFmtId="0" fontId="10" fillId="0" borderId="1" xfId="0" applyFont="1" applyBorder="1" applyAlignment="1">
      <alignment horizontal="right"/>
    </xf>
    <xf numFmtId="0" fontId="6" fillId="4" borderId="1" xfId="0" applyFont="1" applyFill="1" applyBorder="1" applyAlignment="1"/>
    <xf numFmtId="0" fontId="41" fillId="0" borderId="1" xfId="0" applyFont="1" applyBorder="1" applyAlignment="1">
      <alignment horizontal="right"/>
    </xf>
    <xf numFmtId="2" fontId="41" fillId="0" borderId="1" xfId="0" applyNumberFormat="1" applyFont="1" applyBorder="1" applyAlignment="1"/>
    <xf numFmtId="0" fontId="49" fillId="0" borderId="44" xfId="0" applyFont="1" applyBorder="1" applyAlignment="1">
      <alignment horizontal="center"/>
    </xf>
    <xf numFmtId="0" fontId="49" fillId="0" borderId="0" xfId="0" applyFont="1" applyBorder="1"/>
    <xf numFmtId="2" fontId="30" fillId="6" borderId="1" xfId="0" applyNumberFormat="1" applyFont="1" applyFill="1" applyBorder="1" applyAlignment="1"/>
    <xf numFmtId="1" fontId="6" fillId="6" borderId="1" xfId="0" applyNumberFormat="1" applyFont="1" applyFill="1" applyBorder="1" applyAlignment="1"/>
    <xf numFmtId="167" fontId="6" fillId="6" borderId="1" xfId="0" applyNumberFormat="1" applyFont="1" applyFill="1" applyBorder="1" applyAlignment="1"/>
    <xf numFmtId="167" fontId="58" fillId="0" borderId="1" xfId="0" applyNumberFormat="1" applyFont="1" applyBorder="1"/>
    <xf numFmtId="167" fontId="59" fillId="0" borderId="1" xfId="0" applyNumberFormat="1" applyFont="1" applyBorder="1"/>
    <xf numFmtId="167" fontId="58" fillId="0" borderId="14" xfId="0" applyNumberFormat="1" applyFont="1" applyBorder="1"/>
    <xf numFmtId="0" fontId="58" fillId="0" borderId="13" xfId="0" applyFont="1" applyBorder="1" applyAlignment="1">
      <alignment horizontal="center"/>
    </xf>
    <xf numFmtId="0" fontId="61" fillId="0" borderId="13" xfId="0" applyFont="1" applyBorder="1" applyAlignment="1">
      <alignment horizontal="center"/>
    </xf>
    <xf numFmtId="0" fontId="61" fillId="0" borderId="1" xfId="0" applyFont="1" applyBorder="1"/>
    <xf numFmtId="0" fontId="61" fillId="0" borderId="14" xfId="0" applyFont="1" applyBorder="1"/>
    <xf numFmtId="166" fontId="6" fillId="3" borderId="21" xfId="0" applyNumberFormat="1" applyFont="1" applyFill="1" applyBorder="1" applyAlignment="1"/>
    <xf numFmtId="166" fontId="6" fillId="3" borderId="22" xfId="0" applyNumberFormat="1" applyFont="1" applyFill="1" applyBorder="1" applyAlignment="1"/>
    <xf numFmtId="2" fontId="49" fillId="0" borderId="0" xfId="0" applyNumberFormat="1" applyFont="1" applyBorder="1"/>
    <xf numFmtId="11" fontId="0" fillId="0" borderId="0" xfId="0" applyNumberFormat="1" applyAlignment="1"/>
    <xf numFmtId="11" fontId="3" fillId="4" borderId="23" xfId="0" applyNumberFormat="1" applyFont="1" applyFill="1" applyBorder="1" applyAlignment="1"/>
    <xf numFmtId="2" fontId="3" fillId="0" borderId="0" xfId="0" applyNumberFormat="1" applyFont="1" applyAlignment="1"/>
    <xf numFmtId="0" fontId="52" fillId="9" borderId="50" xfId="0" applyFont="1" applyFill="1" applyBorder="1" applyAlignment="1">
      <alignment horizontal="center" vertical="center" wrapText="1"/>
    </xf>
    <xf numFmtId="0" fontId="52" fillId="9" borderId="51" xfId="0" applyFont="1" applyFill="1" applyBorder="1" applyAlignment="1">
      <alignment horizontal="center" vertical="center" wrapText="1"/>
    </xf>
    <xf numFmtId="0" fontId="52" fillId="9" borderId="52" xfId="0" applyFont="1" applyFill="1" applyBorder="1" applyAlignment="1">
      <alignment horizontal="center" vertical="center" wrapText="1"/>
    </xf>
    <xf numFmtId="0" fontId="53" fillId="9" borderId="53" xfId="0" applyFont="1" applyFill="1" applyBorder="1" applyAlignment="1">
      <alignment horizontal="center" vertical="center" wrapText="1"/>
    </xf>
    <xf numFmtId="0" fontId="53" fillId="9" borderId="54" xfId="0" applyFont="1" applyFill="1" applyBorder="1" applyAlignment="1">
      <alignment horizontal="center" vertical="center" wrapText="1"/>
    </xf>
    <xf numFmtId="0" fontId="53" fillId="9" borderId="55" xfId="0" applyFont="1" applyFill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00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/>
              <a:t>Re-entrant cylindrical cavity: single post and double equal posts, full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09189235960891"/>
          <c:y val="9.5375722543352595E-2"/>
          <c:w val="0.7612027342736003"/>
          <c:h val="0.7194373102206155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Calculations!$A$14</c:f>
              <c:strCache>
                <c:ptCount val="1"/>
                <c:pt idx="0">
                  <c:v>f0 single, MHz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Calculations!$B$13:$U$13</c:f>
              <c:numCache>
                <c:formatCode>0.00E+00</c:formatCode>
                <c:ptCount val="20"/>
                <c:pt idx="0">
                  <c:v>1.52231844552102E-5</c:v>
                </c:pt>
                <c:pt idx="1">
                  <c:v>2.3814997996478789E-5</c:v>
                </c:pt>
                <c:pt idx="2">
                  <c:v>3.7255945445644112E-5</c:v>
                </c:pt>
                <c:pt idx="3">
                  <c:v>5.8282829637610573E-5</c:v>
                </c:pt>
                <c:pt idx="4">
                  <c:v>9.1177077643157608E-5</c:v>
                </c:pt>
                <c:pt idx="5">
                  <c:v>1.4263651128876815E-4</c:v>
                </c:pt>
                <c:pt idx="6">
                  <c:v>2.2313913626686288E-4</c:v>
                </c:pt>
                <c:pt idx="7">
                  <c:v>3.4907664022376E-4</c:v>
                </c:pt>
                <c:pt idx="8">
                  <c:v>5.4609201589889047E-4</c:v>
                </c:pt>
                <c:pt idx="9">
                  <c:v>8.5430090548985367E-4</c:v>
                </c:pt>
                <c:pt idx="10">
                  <c:v>1.3364598197237016E-3</c:v>
                </c:pt>
                <c:pt idx="11">
                  <c:v>2.0907444183402217E-3</c:v>
                </c:pt>
                <c:pt idx="12">
                  <c:v>3.2707397246888367E-3</c:v>
                </c:pt>
                <c:pt idx="13">
                  <c:v>5.1167126181545499E-3</c:v>
                </c:pt>
                <c:pt idx="14">
                  <c:v>8.0045342095426773E-3</c:v>
                </c:pt>
                <c:pt idx="15">
                  <c:v>1.2522213517406441E-2</c:v>
                </c:pt>
                <c:pt idx="16">
                  <c:v>1.9589625988302869E-2</c:v>
                </c:pt>
                <c:pt idx="17">
                  <c:v>3.0645815600265608E-2</c:v>
                </c:pt>
                <c:pt idx="18">
                  <c:v>4.7942008406197591E-2</c:v>
                </c:pt>
                <c:pt idx="19">
                  <c:v>7.4999999999999997E-2</c:v>
                </c:pt>
              </c:numCache>
            </c:numRef>
          </c:xVal>
          <c:yVal>
            <c:numRef>
              <c:f>Calculations!$B$14:$U$14</c:f>
              <c:numCache>
                <c:formatCode>0.00</c:formatCode>
                <c:ptCount val="20"/>
                <c:pt idx="0">
                  <c:v>99.581059907908198</c:v>
                </c:pt>
                <c:pt idx="1">
                  <c:v>124.04639881165591</c:v>
                </c:pt>
                <c:pt idx="2">
                  <c:v>154.23539067647496</c:v>
                </c:pt>
                <c:pt idx="3">
                  <c:v>191.26628369135315</c:v>
                </c:pt>
                <c:pt idx="4">
                  <c:v>236.31701936510365</c:v>
                </c:pt>
                <c:pt idx="5">
                  <c:v>290.51712831812489</c:v>
                </c:pt>
                <c:pt idx="6">
                  <c:v>354.78059737723709</c:v>
                </c:pt>
                <c:pt idx="7">
                  <c:v>429.59765593396952</c:v>
                </c:pt>
                <c:pt idx="8">
                  <c:v>514.85084611945899</c:v>
                </c:pt>
                <c:pt idx="9">
                  <c:v>609.77392508643038</c:v>
                </c:pt>
                <c:pt idx="10">
                  <c:v>713.18505949919893</c:v>
                </c:pt>
                <c:pt idx="11">
                  <c:v>824.05210967873688</c:v>
                </c:pt>
                <c:pt idx="12" formatCode="0.0">
                  <c:v>942.31584033586614</c:v>
                </c:pt>
                <c:pt idx="13" formatCode="0.0">
                  <c:v>1069.8414300319978</c:v>
                </c:pt>
                <c:pt idx="14" formatCode="0.0">
                  <c:v>1211.5382296091946</c:v>
                </c:pt>
                <c:pt idx="15" formatCode="0.0">
                  <c:v>1377.1747602339026</c:v>
                </c:pt>
                <c:pt idx="16" formatCode="0.0">
                  <c:v>1585.5547984575198</c:v>
                </c:pt>
                <c:pt idx="17" formatCode="0.0">
                  <c:v>1876.5271233777935</c:v>
                </c:pt>
                <c:pt idx="18" formatCode="0.0">
                  <c:v>2355.6058045990421</c:v>
                </c:pt>
                <c:pt idx="19" formatCode="0.0">
                  <c:v>3473.9432076150269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B9-4DCA-A8D3-87A6F2F8665F}"/>
            </c:ext>
          </c:extLst>
        </c:ser>
        <c:ser>
          <c:idx val="1"/>
          <c:order val="1"/>
          <c:tx>
            <c:strRef>
              <c:f>Calculations!$A$15</c:f>
              <c:strCache>
                <c:ptCount val="1"/>
                <c:pt idx="0">
                  <c:v>f0 double, MHz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Calculations!$B$13:$U$13</c:f>
              <c:numCache>
                <c:formatCode>0.00E+00</c:formatCode>
                <c:ptCount val="20"/>
                <c:pt idx="0">
                  <c:v>1.52231844552102E-5</c:v>
                </c:pt>
                <c:pt idx="1">
                  <c:v>2.3814997996478789E-5</c:v>
                </c:pt>
                <c:pt idx="2">
                  <c:v>3.7255945445644112E-5</c:v>
                </c:pt>
                <c:pt idx="3">
                  <c:v>5.8282829637610573E-5</c:v>
                </c:pt>
                <c:pt idx="4">
                  <c:v>9.1177077643157608E-5</c:v>
                </c:pt>
                <c:pt idx="5">
                  <c:v>1.4263651128876815E-4</c:v>
                </c:pt>
                <c:pt idx="6">
                  <c:v>2.2313913626686288E-4</c:v>
                </c:pt>
                <c:pt idx="7">
                  <c:v>3.4907664022376E-4</c:v>
                </c:pt>
                <c:pt idx="8">
                  <c:v>5.4609201589889047E-4</c:v>
                </c:pt>
                <c:pt idx="9">
                  <c:v>8.5430090548985367E-4</c:v>
                </c:pt>
                <c:pt idx="10">
                  <c:v>1.3364598197237016E-3</c:v>
                </c:pt>
                <c:pt idx="11">
                  <c:v>2.0907444183402217E-3</c:v>
                </c:pt>
                <c:pt idx="12">
                  <c:v>3.2707397246888367E-3</c:v>
                </c:pt>
                <c:pt idx="13">
                  <c:v>5.1167126181545499E-3</c:v>
                </c:pt>
                <c:pt idx="14">
                  <c:v>8.0045342095426773E-3</c:v>
                </c:pt>
                <c:pt idx="15">
                  <c:v>1.2522213517406441E-2</c:v>
                </c:pt>
                <c:pt idx="16">
                  <c:v>1.9589625988302869E-2</c:v>
                </c:pt>
                <c:pt idx="17">
                  <c:v>3.0645815600265608E-2</c:v>
                </c:pt>
                <c:pt idx="18">
                  <c:v>4.7942008406197591E-2</c:v>
                </c:pt>
                <c:pt idx="19">
                  <c:v>7.4999999999999997E-2</c:v>
                </c:pt>
              </c:numCache>
            </c:numRef>
          </c:xVal>
          <c:yVal>
            <c:numRef>
              <c:f>Calculations!$B$15:$U$15</c:f>
              <c:numCache>
                <c:formatCode>0.00</c:formatCode>
                <c:ptCount val="20"/>
                <c:pt idx="0">
                  <c:v>99.999958366415441</c:v>
                </c:pt>
                <c:pt idx="1">
                  <c:v>124.81711784949285</c:v>
                </c:pt>
                <c:pt idx="2">
                  <c:v>155.64334251326039</c:v>
                </c:pt>
                <c:pt idx="3">
                  <c:v>193.81460908354069</c:v>
                </c:pt>
                <c:pt idx="4">
                  <c:v>240.87385441304201</c:v>
                </c:pt>
                <c:pt idx="5">
                  <c:v>298.53788298640444</c:v>
                </c:pt>
                <c:pt idx="6">
                  <c:v>368.61367255647497</c:v>
                </c:pt>
                <c:pt idx="7">
                  <c:v>452.84760874771359</c:v>
                </c:pt>
                <c:pt idx="8">
                  <c:v>552.70860619456926</c:v>
                </c:pt>
                <c:pt idx="9">
                  <c:v>669.14914412390101</c:v>
                </c:pt>
                <c:pt idx="10">
                  <c:v>802.45698234274755</c:v>
                </c:pt>
                <c:pt idx="11">
                  <c:v>952.37650555060588</c:v>
                </c:pt>
                <c:pt idx="12" formatCode="0.0">
                  <c:v>1118.6866678625126</c:v>
                </c:pt>
                <c:pt idx="13" formatCode="0.0">
                  <c:v>1302.347340016091</c:v>
                </c:pt>
                <c:pt idx="14" formatCode="0.0">
                  <c:v>1507.2727804114079</c:v>
                </c:pt>
                <c:pt idx="15" formatCode="0.0">
                  <c:v>1743.0481345435082</c:v>
                </c:pt>
                <c:pt idx="16" formatCode="0.0">
                  <c:v>2030.0336681224935</c:v>
                </c:pt>
                <c:pt idx="17" formatCode="0.0">
                  <c:v>2412.178883255559</c:v>
                </c:pt>
                <c:pt idx="18" formatCode="0.0">
                  <c:v>3000.2074026552127</c:v>
                </c:pt>
                <c:pt idx="19" formatCode="0.0">
                  <c:v>4198.1474079675199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B9-4DCA-A8D3-87A6F2F86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843215"/>
        <c:axId val="921850287"/>
      </c:scatterChart>
      <c:scatterChart>
        <c:scatterStyle val="smoothMarker"/>
        <c:varyColors val="0"/>
        <c:ser>
          <c:idx val="2"/>
          <c:order val="2"/>
          <c:tx>
            <c:v>Q single</c:v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Calculations!$B$13:$U$13</c:f>
              <c:numCache>
                <c:formatCode>0.00E+00</c:formatCode>
                <c:ptCount val="20"/>
                <c:pt idx="0">
                  <c:v>1.52231844552102E-5</c:v>
                </c:pt>
                <c:pt idx="1">
                  <c:v>2.3814997996478789E-5</c:v>
                </c:pt>
                <c:pt idx="2">
                  <c:v>3.7255945445644112E-5</c:v>
                </c:pt>
                <c:pt idx="3">
                  <c:v>5.8282829637610573E-5</c:v>
                </c:pt>
                <c:pt idx="4">
                  <c:v>9.1177077643157608E-5</c:v>
                </c:pt>
                <c:pt idx="5">
                  <c:v>1.4263651128876815E-4</c:v>
                </c:pt>
                <c:pt idx="6">
                  <c:v>2.2313913626686288E-4</c:v>
                </c:pt>
                <c:pt idx="7">
                  <c:v>3.4907664022376E-4</c:v>
                </c:pt>
                <c:pt idx="8">
                  <c:v>5.4609201589889047E-4</c:v>
                </c:pt>
                <c:pt idx="9">
                  <c:v>8.5430090548985367E-4</c:v>
                </c:pt>
                <c:pt idx="10">
                  <c:v>1.3364598197237016E-3</c:v>
                </c:pt>
                <c:pt idx="11">
                  <c:v>2.0907444183402217E-3</c:v>
                </c:pt>
                <c:pt idx="12">
                  <c:v>3.2707397246888367E-3</c:v>
                </c:pt>
                <c:pt idx="13">
                  <c:v>5.1167126181545499E-3</c:v>
                </c:pt>
                <c:pt idx="14">
                  <c:v>8.0045342095426773E-3</c:v>
                </c:pt>
                <c:pt idx="15">
                  <c:v>1.2522213517406441E-2</c:v>
                </c:pt>
                <c:pt idx="16">
                  <c:v>1.9589625988302869E-2</c:v>
                </c:pt>
                <c:pt idx="17">
                  <c:v>3.0645815600265608E-2</c:v>
                </c:pt>
                <c:pt idx="18">
                  <c:v>4.7942008406197591E-2</c:v>
                </c:pt>
                <c:pt idx="19">
                  <c:v>7.4999999999999997E-2</c:v>
                </c:pt>
              </c:numCache>
            </c:numRef>
          </c:xVal>
          <c:yVal>
            <c:numRef>
              <c:f>Calculations!$B$16:$U$16</c:f>
              <c:numCache>
                <c:formatCode>0</c:formatCode>
                <c:ptCount val="20"/>
                <c:pt idx="0">
                  <c:v>1682.9511729095098</c:v>
                </c:pt>
                <c:pt idx="1">
                  <c:v>1878.3443992794093</c:v>
                </c:pt>
                <c:pt idx="2">
                  <c:v>2094.4749125086792</c:v>
                </c:pt>
                <c:pt idx="3">
                  <c:v>2332.3963528234508</c:v>
                </c:pt>
                <c:pt idx="4">
                  <c:v>2592.5709116962998</c:v>
                </c:pt>
                <c:pt idx="5">
                  <c:v>2874.544360575183</c:v>
                </c:pt>
                <c:pt idx="6">
                  <c:v>3176.6039688122914</c:v>
                </c:pt>
                <c:pt idx="7">
                  <c:v>3495.5385444068529</c:v>
                </c:pt>
                <c:pt idx="8">
                  <c:v>3826.6950909547331</c:v>
                </c:pt>
                <c:pt idx="9">
                  <c:v>4164.5450889409994</c:v>
                </c:pt>
                <c:pt idx="10">
                  <c:v>4503.8535690361914</c:v>
                </c:pt>
                <c:pt idx="11">
                  <c:v>4841.2831260718494</c:v>
                </c:pt>
                <c:pt idx="12">
                  <c:v>5177.0384400979656</c:v>
                </c:pt>
                <c:pt idx="13">
                  <c:v>5516.2361481604648</c:v>
                </c:pt>
                <c:pt idx="14">
                  <c:v>5870.1838760488736</c:v>
                </c:pt>
                <c:pt idx="15">
                  <c:v>6258.6068510768091</c:v>
                </c:pt>
                <c:pt idx="16">
                  <c:v>6715.4291574366443</c:v>
                </c:pt>
                <c:pt idx="17">
                  <c:v>7305.6786772159849</c:v>
                </c:pt>
                <c:pt idx="18">
                  <c:v>8185.297179630049</c:v>
                </c:pt>
                <c:pt idx="19">
                  <c:v>9940.185771659957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E8-4BDC-8360-EE415A6ED547}"/>
            </c:ext>
          </c:extLst>
        </c:ser>
        <c:ser>
          <c:idx val="3"/>
          <c:order val="3"/>
          <c:tx>
            <c:v>Q double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Calculations!$B$13:$U$13</c:f>
              <c:numCache>
                <c:formatCode>0.00E+00</c:formatCode>
                <c:ptCount val="20"/>
                <c:pt idx="0">
                  <c:v>1.52231844552102E-5</c:v>
                </c:pt>
                <c:pt idx="1">
                  <c:v>2.3814997996478789E-5</c:v>
                </c:pt>
                <c:pt idx="2">
                  <c:v>3.7255945445644112E-5</c:v>
                </c:pt>
                <c:pt idx="3">
                  <c:v>5.8282829637610573E-5</c:v>
                </c:pt>
                <c:pt idx="4">
                  <c:v>9.1177077643157608E-5</c:v>
                </c:pt>
                <c:pt idx="5">
                  <c:v>1.4263651128876815E-4</c:v>
                </c:pt>
                <c:pt idx="6">
                  <c:v>2.2313913626686288E-4</c:v>
                </c:pt>
                <c:pt idx="7">
                  <c:v>3.4907664022376E-4</c:v>
                </c:pt>
                <c:pt idx="8">
                  <c:v>5.4609201589889047E-4</c:v>
                </c:pt>
                <c:pt idx="9">
                  <c:v>8.5430090548985367E-4</c:v>
                </c:pt>
                <c:pt idx="10">
                  <c:v>1.3364598197237016E-3</c:v>
                </c:pt>
                <c:pt idx="11">
                  <c:v>2.0907444183402217E-3</c:v>
                </c:pt>
                <c:pt idx="12">
                  <c:v>3.2707397246888367E-3</c:v>
                </c:pt>
                <c:pt idx="13">
                  <c:v>5.1167126181545499E-3</c:v>
                </c:pt>
                <c:pt idx="14">
                  <c:v>8.0045342095426773E-3</c:v>
                </c:pt>
                <c:pt idx="15">
                  <c:v>1.2522213517406441E-2</c:v>
                </c:pt>
                <c:pt idx="16">
                  <c:v>1.9589625988302869E-2</c:v>
                </c:pt>
                <c:pt idx="17">
                  <c:v>3.0645815600265608E-2</c:v>
                </c:pt>
                <c:pt idx="18">
                  <c:v>4.7942008406197591E-2</c:v>
                </c:pt>
                <c:pt idx="19">
                  <c:v>7.4999999999999997E-2</c:v>
                </c:pt>
              </c:numCache>
            </c:numRef>
          </c:xVal>
          <c:yVal>
            <c:numRef>
              <c:f>Calculations!$B$17:$U$17</c:f>
              <c:numCache>
                <c:formatCode>0</c:formatCode>
                <c:ptCount val="20"/>
                <c:pt idx="0">
                  <c:v>1686.4872158503038</c:v>
                </c:pt>
                <c:pt idx="1">
                  <c:v>1884.1705824795747</c:v>
                </c:pt>
                <c:pt idx="2">
                  <c:v>2104.0129973132639</c:v>
                </c:pt>
                <c:pt idx="3">
                  <c:v>2347.882715295842</c:v>
                </c:pt>
                <c:pt idx="4">
                  <c:v>2617.4474725621017</c:v>
                </c:pt>
                <c:pt idx="5">
                  <c:v>2913.9551847321809</c:v>
                </c:pt>
                <c:pt idx="6">
                  <c:v>3237.9404990677085</c:v>
                </c:pt>
                <c:pt idx="7">
                  <c:v>3588.8820329185573</c:v>
                </c:pt>
                <c:pt idx="8">
                  <c:v>3964.891044270722</c:v>
                </c:pt>
                <c:pt idx="9">
                  <c:v>4362.5920865750668</c:v>
                </c:pt>
                <c:pt idx="10">
                  <c:v>4777.4266074290281</c:v>
                </c:pt>
                <c:pt idx="11">
                  <c:v>5204.6014742806565</c:v>
                </c:pt>
                <c:pt idx="12">
                  <c:v>5640.7567921172449</c:v>
                </c:pt>
                <c:pt idx="13">
                  <c:v>6086.2047340722975</c:v>
                </c:pt>
                <c:pt idx="14">
                  <c:v>6547.5537457244945</c:v>
                </c:pt>
                <c:pt idx="15">
                  <c:v>7041.0565772761647</c:v>
                </c:pt>
                <c:pt idx="16">
                  <c:v>7598.6206619387503</c:v>
                </c:pt>
                <c:pt idx="17">
                  <c:v>8283.0045411391457</c:v>
                </c:pt>
                <c:pt idx="18">
                  <c:v>9237.5921338572716</c:v>
                </c:pt>
                <c:pt idx="19">
                  <c:v>10927.2778400098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E8-4BDC-8360-EE415A6ED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188880"/>
        <c:axId val="1388198032"/>
      </c:scatterChart>
      <c:valAx>
        <c:axId val="921843215"/>
        <c:scaling>
          <c:orientation val="minMax"/>
          <c:max val="8.0000000000000016E-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0" baseline="0"/>
                  <a:t>Gap, meters</a:t>
                </a:r>
              </a:p>
            </c:rich>
          </c:tx>
          <c:layout>
            <c:manualLayout>
              <c:xMode val="edge"/>
              <c:yMode val="edge"/>
              <c:x val="0.46529195132196932"/>
              <c:y val="0.90930039040435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850287"/>
        <c:crosses val="autoZero"/>
        <c:crossBetween val="midCat"/>
        <c:majorUnit val="1.0000000000000002E-2"/>
        <c:minorUnit val="2.0000000000000005E-3"/>
      </c:valAx>
      <c:valAx>
        <c:axId val="921850287"/>
        <c:scaling>
          <c:orientation val="minMax"/>
          <c:max val="5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0" baseline="0"/>
                  <a:t>Frequency, MHz</a:t>
                </a:r>
              </a:p>
            </c:rich>
          </c:tx>
          <c:layout>
            <c:manualLayout>
              <c:xMode val="edge"/>
              <c:yMode val="edge"/>
              <c:x val="2.197802197802198E-2"/>
              <c:y val="0.357248190796959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843215"/>
        <c:crosses val="autoZero"/>
        <c:crossBetween val="midCat"/>
        <c:majorUnit val="500"/>
      </c:valAx>
      <c:valAx>
        <c:axId val="1388198032"/>
        <c:scaling>
          <c:orientation val="minMax"/>
          <c:max val="11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</a:t>
                </a:r>
                <a:r>
                  <a:rPr lang="en-US" baseline="0"/>
                  <a:t> (quality factor)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93956043956043955"/>
              <c:y val="0.35152289489825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188880"/>
        <c:crosses val="max"/>
        <c:crossBetween val="midCat"/>
        <c:majorUnit val="1000"/>
      </c:valAx>
      <c:valAx>
        <c:axId val="1388188880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1388198032"/>
        <c:crosses val="autoZero"/>
        <c:crossBetween val="midCat"/>
      </c:valAx>
      <c:spPr>
        <a:noFill/>
        <a:ln>
          <a:solidFill>
            <a:srgbClr val="00B0F0"/>
          </a:solidFill>
        </a:ln>
        <a:effectLst/>
      </c:spPr>
    </c:plotArea>
    <c:legend>
      <c:legendPos val="b"/>
      <c:layout>
        <c:manualLayout>
          <c:xMode val="edge"/>
          <c:yMode val="edge"/>
          <c:x val="0.4568178016209512"/>
          <c:y val="0.54127822172517448"/>
          <c:w val="0.3311590378125811"/>
          <c:h val="0.142788654308384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rgbClr val="00B0F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rgbClr val="000000"/>
                  </a:solidFill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Optimize post r for maximum gap &amp; maximum Q </a:t>
            </a:r>
            <a:r>
              <a:rPr lang="en-US" baseline="0"/>
              <a:t>with</a:t>
            </a:r>
            <a:r>
              <a:rPr lang="en-US"/>
              <a:t> cavity r</a:t>
            </a:r>
            <a:r>
              <a:rPr lang="en-US" baseline="0"/>
              <a:t> =.025 m, </a:t>
            </a:r>
            <a:r>
              <a:rPr lang="en-US" baseline="0">
                <a:solidFill>
                  <a:srgbClr val="FF0000"/>
                </a:solidFill>
              </a:rPr>
              <a:t>height .075 m</a:t>
            </a:r>
            <a:endParaRPr lang="en-US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000000"/>
                </a:solidFill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78872538891824"/>
          <c:y val="0.13191884479007054"/>
          <c:w val="0.74205507474830956"/>
          <c:h val="0.670496023022503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'Optimize Rcav = .025'!$A$15</c:f>
              <c:strCache>
                <c:ptCount val="1"/>
                <c:pt idx="0">
                  <c:v>Q at 100 MHz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'Optimize Rcav = .025'!$B$13:$Q$13</c:f>
              <c:numCache>
                <c:formatCode>0.0000</c:formatCode>
                <c:ptCount val="16"/>
                <c:pt idx="0">
                  <c:v>2.5000000000000001E-3</c:v>
                </c:pt>
                <c:pt idx="1">
                  <c:v>5.0000000000000001E-3</c:v>
                </c:pt>
                <c:pt idx="2">
                  <c:v>6.0000000000000001E-3</c:v>
                </c:pt>
                <c:pt idx="3">
                  <c:v>7.0000000000000001E-3</c:v>
                </c:pt>
                <c:pt idx="4">
                  <c:v>7.1000000000000004E-3</c:v>
                </c:pt>
                <c:pt idx="5">
                  <c:v>7.1999999999999998E-3</c:v>
                </c:pt>
                <c:pt idx="6">
                  <c:v>7.4999999999999997E-3</c:v>
                </c:pt>
                <c:pt idx="7">
                  <c:v>8.0000000000000002E-3</c:v>
                </c:pt>
                <c:pt idx="8">
                  <c:v>0.01</c:v>
                </c:pt>
                <c:pt idx="9">
                  <c:v>1.0999999999999999E-2</c:v>
                </c:pt>
                <c:pt idx="10">
                  <c:v>1.2E-2</c:v>
                </c:pt>
                <c:pt idx="11">
                  <c:v>1.4E-2</c:v>
                </c:pt>
                <c:pt idx="12">
                  <c:v>1.4999999999999999E-2</c:v>
                </c:pt>
                <c:pt idx="13">
                  <c:v>1.6E-2</c:v>
                </c:pt>
                <c:pt idx="14">
                  <c:v>1.7500000000000002E-2</c:v>
                </c:pt>
                <c:pt idx="15">
                  <c:v>0.02</c:v>
                </c:pt>
              </c:numCache>
            </c:numRef>
          </c:xVal>
          <c:yVal>
            <c:numRef>
              <c:f>'Optimize Rcav = .025'!$B$15:$Q$15</c:f>
              <c:numCache>
                <c:formatCode>General</c:formatCode>
                <c:ptCount val="16"/>
                <c:pt idx="0">
                  <c:v>1390</c:v>
                </c:pt>
                <c:pt idx="1">
                  <c:v>1722</c:v>
                </c:pt>
                <c:pt idx="2">
                  <c:v>1765</c:v>
                </c:pt>
                <c:pt idx="3">
                  <c:v>1777</c:v>
                </c:pt>
                <c:pt idx="4">
                  <c:v>1777</c:v>
                </c:pt>
                <c:pt idx="5">
                  <c:v>1776</c:v>
                </c:pt>
                <c:pt idx="6">
                  <c:v>1774</c:v>
                </c:pt>
                <c:pt idx="7">
                  <c:v>1765</c:v>
                </c:pt>
                <c:pt idx="8">
                  <c:v>1686</c:v>
                </c:pt>
                <c:pt idx="9">
                  <c:v>1626</c:v>
                </c:pt>
                <c:pt idx="10">
                  <c:v>1554</c:v>
                </c:pt>
                <c:pt idx="11">
                  <c:v>1383</c:v>
                </c:pt>
                <c:pt idx="12">
                  <c:v>1285</c:v>
                </c:pt>
                <c:pt idx="13">
                  <c:v>1181</c:v>
                </c:pt>
                <c:pt idx="14">
                  <c:v>1012</c:v>
                </c:pt>
                <c:pt idx="15">
                  <c:v>704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21-4DEB-B7DB-A018C3577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249792"/>
        <c:axId val="1237245216"/>
      </c:scatterChart>
      <c:scatterChart>
        <c:scatterStyle val="smoothMarker"/>
        <c:varyColors val="0"/>
        <c:ser>
          <c:idx val="0"/>
          <c:order val="0"/>
          <c:tx>
            <c:strRef>
              <c:f>'Optimize Rcav = .025'!$A$14</c:f>
              <c:strCache>
                <c:ptCount val="1"/>
                <c:pt idx="0">
                  <c:v>gap for 100 MHz, µm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'Optimize Rcav = .025'!$B$13:$Q$13</c:f>
              <c:numCache>
                <c:formatCode>0.0000</c:formatCode>
                <c:ptCount val="16"/>
                <c:pt idx="0">
                  <c:v>2.5000000000000001E-3</c:v>
                </c:pt>
                <c:pt idx="1">
                  <c:v>5.0000000000000001E-3</c:v>
                </c:pt>
                <c:pt idx="2">
                  <c:v>6.0000000000000001E-3</c:v>
                </c:pt>
                <c:pt idx="3">
                  <c:v>7.0000000000000001E-3</c:v>
                </c:pt>
                <c:pt idx="4">
                  <c:v>7.1000000000000004E-3</c:v>
                </c:pt>
                <c:pt idx="5">
                  <c:v>7.1999999999999998E-3</c:v>
                </c:pt>
                <c:pt idx="6">
                  <c:v>7.4999999999999997E-3</c:v>
                </c:pt>
                <c:pt idx="7">
                  <c:v>8.0000000000000002E-3</c:v>
                </c:pt>
                <c:pt idx="8">
                  <c:v>0.01</c:v>
                </c:pt>
                <c:pt idx="9">
                  <c:v>1.0999999999999999E-2</c:v>
                </c:pt>
                <c:pt idx="10">
                  <c:v>1.2E-2</c:v>
                </c:pt>
                <c:pt idx="11">
                  <c:v>1.4E-2</c:v>
                </c:pt>
                <c:pt idx="12">
                  <c:v>1.4999999999999999E-2</c:v>
                </c:pt>
                <c:pt idx="13">
                  <c:v>1.6E-2</c:v>
                </c:pt>
                <c:pt idx="14">
                  <c:v>1.7500000000000002E-2</c:v>
                </c:pt>
                <c:pt idx="15">
                  <c:v>0.02</c:v>
                </c:pt>
              </c:numCache>
            </c:numRef>
          </c:xVal>
          <c:yVal>
            <c:numRef>
              <c:f>'Optimize Rcav = .025'!$B$14:$Q$14</c:f>
              <c:numCache>
                <c:formatCode>0.0</c:formatCode>
                <c:ptCount val="16"/>
                <c:pt idx="0">
                  <c:v>2.39</c:v>
                </c:pt>
                <c:pt idx="1">
                  <c:v>6.68</c:v>
                </c:pt>
                <c:pt idx="2">
                  <c:v>8.5399999999999991</c:v>
                </c:pt>
                <c:pt idx="3">
                  <c:v>10.4</c:v>
                </c:pt>
                <c:pt idx="4">
                  <c:v>10.5</c:v>
                </c:pt>
                <c:pt idx="5">
                  <c:v>10.7</c:v>
                </c:pt>
                <c:pt idx="6">
                  <c:v>11.3</c:v>
                </c:pt>
                <c:pt idx="7">
                  <c:v>12.1</c:v>
                </c:pt>
                <c:pt idx="8">
                  <c:v>15.2</c:v>
                </c:pt>
                <c:pt idx="9">
                  <c:v>16.5</c:v>
                </c:pt>
                <c:pt idx="10">
                  <c:v>17.600000000000001</c:v>
                </c:pt>
                <c:pt idx="11">
                  <c:v>18.899999999999999</c:v>
                </c:pt>
                <c:pt idx="12">
                  <c:v>19.100000000000001</c:v>
                </c:pt>
                <c:pt idx="13">
                  <c:v>18.899999999999999</c:v>
                </c:pt>
                <c:pt idx="14">
                  <c:v>18.100000000000001</c:v>
                </c:pt>
                <c:pt idx="15">
                  <c:v>14.8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21-4DEB-B7DB-A018C3577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208464"/>
        <c:axId val="1163218032"/>
      </c:scatterChart>
      <c:valAx>
        <c:axId val="1237249792"/>
        <c:scaling>
          <c:orientation val="minMax"/>
          <c:max val="2.0000000000000004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solidFill>
                        <a:srgbClr val="000000"/>
                      </a:solidFill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Post radius, meters</a:t>
                </a:r>
              </a:p>
            </c:rich>
          </c:tx>
          <c:layout>
            <c:manualLayout>
              <c:xMode val="edge"/>
              <c:yMode val="edge"/>
              <c:x val="0.42423423423423423"/>
              <c:y val="0.888053612587766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solidFill>
                      <a:srgbClr val="000000"/>
                    </a:solidFill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245216"/>
        <c:crosses val="autoZero"/>
        <c:crossBetween val="midCat"/>
        <c:majorUnit val="2.0000000000000005E-3"/>
      </c:valAx>
      <c:valAx>
        <c:axId val="123724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solidFill>
                        <a:schemeClr val="accent2">
                          <a:lumMod val="50000"/>
                        </a:schemeClr>
                      </a:solidFill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n>
                      <a:solidFill>
                        <a:schemeClr val="accent2">
                          <a:lumMod val="50000"/>
                        </a:schemeClr>
                      </a:solidFill>
                    </a:ln>
                  </a:rPr>
                  <a:t>Qualaity factor,</a:t>
                </a:r>
                <a:r>
                  <a:rPr lang="en-US" baseline="0">
                    <a:ln>
                      <a:solidFill>
                        <a:schemeClr val="accent2">
                          <a:lumMod val="50000"/>
                        </a:schemeClr>
                      </a:solidFill>
                    </a:ln>
                  </a:rPr>
                  <a:t> </a:t>
                </a:r>
                <a:r>
                  <a:rPr lang="en-US">
                    <a:ln>
                      <a:solidFill>
                        <a:schemeClr val="accent2">
                          <a:lumMod val="50000"/>
                        </a:schemeClr>
                      </a:solidFill>
                    </a:ln>
                  </a:rPr>
                  <a:t>Q</a:t>
                </a:r>
              </a:p>
            </c:rich>
          </c:tx>
          <c:layout>
            <c:manualLayout>
              <c:xMode val="edge"/>
              <c:yMode val="edge"/>
              <c:x val="3.1800196850393703E-2"/>
              <c:y val="0.33901283993044179"/>
            </c:manualLayout>
          </c:layout>
          <c:overlay val="0"/>
          <c:spPr>
            <a:solidFill>
              <a:schemeClr val="bg1"/>
            </a:solidFill>
            <a:ln>
              <a:solidFill>
                <a:schemeClr val="accent2">
                  <a:lumMod val="50000"/>
                </a:schemeClr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solidFill>
                      <a:schemeClr val="accent2">
                        <a:lumMod val="50000"/>
                      </a:schemeClr>
                    </a:solidFill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accent2">
                      <a:lumMod val="50000"/>
                    </a:schemeClr>
                  </a:solidFill>
                </a:ln>
                <a:solidFill>
                  <a:schemeClr val="accent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249792"/>
        <c:crosses val="autoZero"/>
        <c:crossBetween val="midCat"/>
      </c:valAx>
      <c:valAx>
        <c:axId val="11632180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solidFill>
                        <a:srgbClr val="0070C0"/>
                      </a:solidFill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n>
                      <a:solidFill>
                        <a:srgbClr val="0070C0"/>
                      </a:solidFill>
                    </a:ln>
                  </a:rPr>
                  <a:t>Gap </a:t>
                </a:r>
                <a:r>
                  <a:rPr lang="en-US" baseline="0">
                    <a:ln>
                      <a:solidFill>
                        <a:srgbClr val="0070C0"/>
                      </a:solidFill>
                    </a:ln>
                  </a:rPr>
                  <a:t> at 100 MHz, micrometers</a:t>
                </a:r>
                <a:endParaRPr lang="en-US">
                  <a:ln>
                    <a:solidFill>
                      <a:srgbClr val="0070C0"/>
                    </a:solidFill>
                  </a:ln>
                </a:endParaRPr>
              </a:p>
            </c:rich>
          </c:tx>
          <c:layout>
            <c:manualLayout>
              <c:xMode val="edge"/>
              <c:yMode val="edge"/>
              <c:x val="0.9372450787401575"/>
              <c:y val="0.23058997546566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solidFill>
                      <a:srgbClr val="0070C0"/>
                    </a:solidFill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solidFill>
            <a:sysClr val="window" lastClr="FFFFFF"/>
          </a:solidFill>
          <a:ln w="9525" cap="flat" cmpd="sng" algn="ctr">
            <a:solidFill>
              <a:schemeClr val="accent5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B0F0"/>
                  </a:solidFill>
                </a:ln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208464"/>
        <c:crosses val="max"/>
        <c:crossBetween val="midCat"/>
      </c:valAx>
      <c:valAx>
        <c:axId val="1163208464"/>
        <c:scaling>
          <c:orientation val="minMax"/>
        </c:scaling>
        <c:delete val="1"/>
        <c:axPos val="b"/>
        <c:numFmt formatCode="0.0000" sourceLinked="1"/>
        <c:majorTickMark val="out"/>
        <c:minorTickMark val="none"/>
        <c:tickLblPos val="nextTo"/>
        <c:crossAx val="1163218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911456338227991"/>
          <c:y val="0.54018572551527511"/>
          <c:w val="0.34010825177465059"/>
          <c:h val="6.32737836904245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rgbClr val="00206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/>
              <a:t>Re-entrant cylindrical cavity: single post and double equal posts, full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09189235960891"/>
          <c:y val="9.5375722543352595E-2"/>
          <c:w val="0.7612027342736003"/>
          <c:h val="0.7194373102206155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'rCav .05'!$A$7</c:f>
              <c:strCache>
                <c:ptCount val="1"/>
                <c:pt idx="0">
                  <c:v>f0 single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'rCav .05'!$B$6:$U$6</c:f>
              <c:numCache>
                <c:formatCode>0.00E+00</c:formatCode>
                <c:ptCount val="20"/>
                <c:pt idx="0">
                  <c:v>1.5877224526913882E-4</c:v>
                </c:pt>
                <c:pt idx="1">
                  <c:v>2.2770321555273546E-4</c:v>
                </c:pt>
                <c:pt idx="2">
                  <c:v>3.2656056658495559E-4</c:v>
                </c:pt>
                <c:pt idx="3">
                  <c:v>4.6833683656781407E-4</c:v>
                </c:pt>
                <c:pt idx="4">
                  <c:v>6.7166527416373056E-4</c:v>
                </c:pt>
                <c:pt idx="5">
                  <c:v>9.632687529419142E-4</c:v>
                </c:pt>
                <c:pt idx="6">
                  <c:v>1.3814718820316463E-3</c:v>
                </c:pt>
                <c:pt idx="7">
                  <c:v>1.9812378996156856E-3</c:v>
                </c:pt>
                <c:pt idx="8">
                  <c:v>2.8413923337338356E-3</c:v>
                </c:pt>
                <c:pt idx="9">
                  <c:v>4.0749828154243804E-3</c:v>
                </c:pt>
                <c:pt idx="10">
                  <c:v>5.8441366047408752E-3</c:v>
                </c:pt>
                <c:pt idx="11">
                  <c:v>8.381368511689127E-3</c:v>
                </c:pt>
                <c:pt idx="12">
                  <c:v>1.2020139651038961E-2</c:v>
                </c:pt>
                <c:pt idx="13">
                  <c:v>1.7238683280537528E-2</c:v>
                </c:pt>
                <c:pt idx="14">
                  <c:v>2.4722857626782897E-2</c:v>
                </c:pt>
                <c:pt idx="15">
                  <c:v>3.5456286265450693E-2</c:v>
                </c:pt>
                <c:pt idx="16">
                  <c:v>5.0849632947596111E-2</c:v>
                </c:pt>
                <c:pt idx="17">
                  <c:v>7.2926001091794965E-2</c:v>
                </c:pt>
                <c:pt idx="18">
                  <c:v>0.10458682446579776</c:v>
                </c:pt>
                <c:pt idx="19" formatCode="General">
                  <c:v>0.14999319430762387</c:v>
                </c:pt>
              </c:numCache>
            </c:numRef>
          </c:xVal>
          <c:yVal>
            <c:numRef>
              <c:f>'rCav .05'!$B$7:$U$7</c:f>
              <c:numCache>
                <c:formatCode>0.00</c:formatCode>
                <c:ptCount val="20"/>
                <c:pt idx="0">
                  <c:v>99.99971423559515</c:v>
                </c:pt>
                <c:pt idx="1">
                  <c:v>118.76944926171264</c:v>
                </c:pt>
                <c:pt idx="2">
                  <c:v>140.68714984888626</c:v>
                </c:pt>
                <c:pt idx="3">
                  <c:v>166.08830840275766</c:v>
                </c:pt>
                <c:pt idx="4">
                  <c:v>195.2566448720298</c:v>
                </c:pt>
                <c:pt idx="5">
                  <c:v>228.38853719584438</c:v>
                </c:pt>
                <c:pt idx="6">
                  <c:v>265.56261104814081</c:v>
                </c:pt>
                <c:pt idx="7">
                  <c:v>306.7288190222398</c:v>
                </c:pt>
                <c:pt idx="8">
                  <c:v>351.73417298449277</c:v>
                </c:pt>
                <c:pt idx="9">
                  <c:v>400.39931156342351</c:v>
                </c:pt>
                <c:pt idx="10">
                  <c:v>452.65089108494078</c:v>
                </c:pt>
                <c:pt idx="11">
                  <c:v>508.70517504028476</c:v>
                </c:pt>
                <c:pt idx="12" formatCode="0.0">
                  <c:v>569.29993800627744</c:v>
                </c:pt>
                <c:pt idx="13" formatCode="0.0">
                  <c:v>635.99893322851017</c:v>
                </c:pt>
                <c:pt idx="14" formatCode="0.0">
                  <c:v>711.66381816016201</c:v>
                </c:pt>
                <c:pt idx="15" formatCode="0.0">
                  <c:v>801.35194009593761</c:v>
                </c:pt>
                <c:pt idx="16" formatCode="0.0">
                  <c:v>914.34347238729515</c:v>
                </c:pt>
                <c:pt idx="17" formatCode="0.0">
                  <c:v>1069.5401663133825</c:v>
                </c:pt>
                <c:pt idx="18" formatCode="0.0">
                  <c:v>1313.5877856098577</c:v>
                </c:pt>
                <c:pt idx="19" formatCode="0.0">
                  <c:v>1813.9336447726585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0C-4BBB-B33C-11F2F54D6F9A}"/>
            </c:ext>
          </c:extLst>
        </c:ser>
        <c:ser>
          <c:idx val="1"/>
          <c:order val="1"/>
          <c:tx>
            <c:strRef>
              <c:f>'rCav .05'!$A$8</c:f>
              <c:strCache>
                <c:ptCount val="1"/>
                <c:pt idx="0">
                  <c:v>f0 double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'rCav .05'!$B$6:$U$6</c:f>
              <c:numCache>
                <c:formatCode>0.00E+00</c:formatCode>
                <c:ptCount val="20"/>
                <c:pt idx="0">
                  <c:v>1.5877224526913882E-4</c:v>
                </c:pt>
                <c:pt idx="1">
                  <c:v>2.2770321555273546E-4</c:v>
                </c:pt>
                <c:pt idx="2">
                  <c:v>3.2656056658495559E-4</c:v>
                </c:pt>
                <c:pt idx="3">
                  <c:v>4.6833683656781407E-4</c:v>
                </c:pt>
                <c:pt idx="4">
                  <c:v>6.7166527416373056E-4</c:v>
                </c:pt>
                <c:pt idx="5">
                  <c:v>9.632687529419142E-4</c:v>
                </c:pt>
                <c:pt idx="6">
                  <c:v>1.3814718820316463E-3</c:v>
                </c:pt>
                <c:pt idx="7">
                  <c:v>1.9812378996156856E-3</c:v>
                </c:pt>
                <c:pt idx="8">
                  <c:v>2.8413923337338356E-3</c:v>
                </c:pt>
                <c:pt idx="9">
                  <c:v>4.0749828154243804E-3</c:v>
                </c:pt>
                <c:pt idx="10">
                  <c:v>5.8441366047408752E-3</c:v>
                </c:pt>
                <c:pt idx="11">
                  <c:v>8.381368511689127E-3</c:v>
                </c:pt>
                <c:pt idx="12">
                  <c:v>1.2020139651038961E-2</c:v>
                </c:pt>
                <c:pt idx="13">
                  <c:v>1.7238683280537528E-2</c:v>
                </c:pt>
                <c:pt idx="14">
                  <c:v>2.4722857626782897E-2</c:v>
                </c:pt>
                <c:pt idx="15">
                  <c:v>3.5456286265450693E-2</c:v>
                </c:pt>
                <c:pt idx="16">
                  <c:v>5.0849632947596111E-2</c:v>
                </c:pt>
                <c:pt idx="17">
                  <c:v>7.2926001091794965E-2</c:v>
                </c:pt>
                <c:pt idx="18">
                  <c:v>0.10458682446579776</c:v>
                </c:pt>
                <c:pt idx="19" formatCode="General">
                  <c:v>0.14999319430762387</c:v>
                </c:pt>
              </c:numCache>
            </c:numRef>
          </c:xVal>
          <c:yVal>
            <c:numRef>
              <c:f>'rCav .05'!$B$8:$U$8</c:f>
              <c:numCache>
                <c:formatCode>0.00</c:formatCode>
                <c:ptCount val="20"/>
                <c:pt idx="0">
                  <c:v>101.16743063982062</c:v>
                </c:pt>
                <c:pt idx="1">
                  <c:v>120.63821524298021</c:v>
                </c:pt>
                <c:pt idx="2">
                  <c:v>143.65111824098935</c:v>
                </c:pt>
                <c:pt idx="3">
                  <c:v>170.73784963430953</c:v>
                </c:pt>
                <c:pt idx="4">
                  <c:v>202.45326462778124</c:v>
                </c:pt>
                <c:pt idx="5">
                  <c:v>239.34975648796814</c:v>
                </c:pt>
                <c:pt idx="6">
                  <c:v>281.94375913829543</c:v>
                </c:pt>
                <c:pt idx="7">
                  <c:v>330.67983121071359</c:v>
                </c:pt>
                <c:pt idx="8">
                  <c:v>385.90440449659718</c:v>
                </c:pt>
                <c:pt idx="9">
                  <c:v>447.86898782108096</c:v>
                </c:pt>
                <c:pt idx="10">
                  <c:v>516.78880810624094</c:v>
                </c:pt>
                <c:pt idx="11">
                  <c:v>592.98495989199921</c:v>
                </c:pt>
                <c:pt idx="12" formatCode="0.0">
                  <c:v>677.13771119975604</c:v>
                </c:pt>
                <c:pt idx="13" formatCode="0.0">
                  <c:v>770.6874034026057</c:v>
                </c:pt>
                <c:pt idx="14" formatCode="0.0">
                  <c:v>876.46638103362</c:v>
                </c:pt>
                <c:pt idx="15" formatCode="0.0">
                  <c:v>999.79533988087155</c:v>
                </c:pt>
                <c:pt idx="16" formatCode="0.0">
                  <c:v>1150.7144173303484</c:v>
                </c:pt>
                <c:pt idx="17" formatCode="0.0">
                  <c:v>1349.4464566835168</c:v>
                </c:pt>
                <c:pt idx="18" formatCode="0.0">
                  <c:v>1643.1351841826222</c:v>
                </c:pt>
                <c:pt idx="19" formatCode="0.0">
                  <c:v>2178.7797980217856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0C-4BBB-B33C-11F2F54D6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843215"/>
        <c:axId val="921850287"/>
      </c:scatterChart>
      <c:scatterChart>
        <c:scatterStyle val="smoothMarker"/>
        <c:varyColors val="0"/>
        <c:ser>
          <c:idx val="2"/>
          <c:order val="2"/>
          <c:tx>
            <c:v>Q single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'rCav .05'!$B$6:$U$6</c:f>
              <c:numCache>
                <c:formatCode>0.00E+00</c:formatCode>
                <c:ptCount val="20"/>
                <c:pt idx="0">
                  <c:v>1.5877224526913882E-4</c:v>
                </c:pt>
                <c:pt idx="1">
                  <c:v>2.2770321555273546E-4</c:v>
                </c:pt>
                <c:pt idx="2">
                  <c:v>3.2656056658495559E-4</c:v>
                </c:pt>
                <c:pt idx="3">
                  <c:v>4.6833683656781407E-4</c:v>
                </c:pt>
                <c:pt idx="4">
                  <c:v>6.7166527416373056E-4</c:v>
                </c:pt>
                <c:pt idx="5">
                  <c:v>9.632687529419142E-4</c:v>
                </c:pt>
                <c:pt idx="6">
                  <c:v>1.3814718820316463E-3</c:v>
                </c:pt>
                <c:pt idx="7">
                  <c:v>1.9812378996156856E-3</c:v>
                </c:pt>
                <c:pt idx="8">
                  <c:v>2.8413923337338356E-3</c:v>
                </c:pt>
                <c:pt idx="9">
                  <c:v>4.0749828154243804E-3</c:v>
                </c:pt>
                <c:pt idx="10">
                  <c:v>5.8441366047408752E-3</c:v>
                </c:pt>
                <c:pt idx="11">
                  <c:v>8.381368511689127E-3</c:v>
                </c:pt>
                <c:pt idx="12">
                  <c:v>1.2020139651038961E-2</c:v>
                </c:pt>
                <c:pt idx="13">
                  <c:v>1.7238683280537528E-2</c:v>
                </c:pt>
                <c:pt idx="14">
                  <c:v>2.4722857626782897E-2</c:v>
                </c:pt>
                <c:pt idx="15">
                  <c:v>3.5456286265450693E-2</c:v>
                </c:pt>
                <c:pt idx="16">
                  <c:v>5.0849632947596111E-2</c:v>
                </c:pt>
                <c:pt idx="17">
                  <c:v>7.2926001091794965E-2</c:v>
                </c:pt>
                <c:pt idx="18">
                  <c:v>0.10458682446579776</c:v>
                </c:pt>
                <c:pt idx="19" formatCode="General">
                  <c:v>0.14999319430762387</c:v>
                </c:pt>
              </c:numCache>
            </c:numRef>
          </c:xVal>
          <c:yVal>
            <c:numRef>
              <c:f>'rCav .05'!$B$9:$U$9</c:f>
              <c:numCache>
                <c:formatCode>0</c:formatCode>
                <c:ptCount val="20"/>
                <c:pt idx="0">
                  <c:v>2570.513314087726</c:v>
                </c:pt>
                <c:pt idx="1">
                  <c:v>2801.3853264692084</c:v>
                </c:pt>
                <c:pt idx="2">
                  <c:v>3048.93168730549</c:v>
                </c:pt>
                <c:pt idx="3">
                  <c:v>3312.7602707224246</c:v>
                </c:pt>
                <c:pt idx="4">
                  <c:v>3591.8929881884819</c:v>
                </c:pt>
                <c:pt idx="5">
                  <c:v>3884.7012885446698</c:v>
                </c:pt>
                <c:pt idx="6">
                  <c:v>4188.9381036038458</c:v>
                </c:pt>
                <c:pt idx="7">
                  <c:v>4501.9199605495751</c:v>
                </c:pt>
                <c:pt idx="8">
                  <c:v>4820.8959756782551</c:v>
                </c:pt>
                <c:pt idx="9">
                  <c:v>5143.5994265957415</c:v>
                </c:pt>
                <c:pt idx="10">
                  <c:v>5468.9275241672003</c:v>
                </c:pt>
                <c:pt idx="11">
                  <c:v>5797.6708558671662</c:v>
                </c:pt>
                <c:pt idx="12">
                  <c:v>6133.2553514739329</c:v>
                </c:pt>
                <c:pt idx="13">
                  <c:v>6482.5917441206066</c:v>
                </c:pt>
                <c:pt idx="14">
                  <c:v>6857.3753405076468</c:v>
                </c:pt>
                <c:pt idx="15">
                  <c:v>7276.660694294078</c:v>
                </c:pt>
                <c:pt idx="16">
                  <c:v>7772.7582888253692</c:v>
                </c:pt>
                <c:pt idx="17">
                  <c:v>8406.5737568790919</c:v>
                </c:pt>
                <c:pt idx="18">
                  <c:v>9316.4408063036408</c:v>
                </c:pt>
                <c:pt idx="19">
                  <c:v>10947.908934606487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0C-4BBB-B33C-11F2F54D6F9A}"/>
            </c:ext>
          </c:extLst>
        </c:ser>
        <c:ser>
          <c:idx val="3"/>
          <c:order val="3"/>
          <c:tx>
            <c:v>Q double</c:v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'rCav .05'!$B$6:$U$6</c:f>
              <c:numCache>
                <c:formatCode>0.00E+00</c:formatCode>
                <c:ptCount val="20"/>
                <c:pt idx="0">
                  <c:v>1.5877224526913882E-4</c:v>
                </c:pt>
                <c:pt idx="1">
                  <c:v>2.2770321555273546E-4</c:v>
                </c:pt>
                <c:pt idx="2">
                  <c:v>3.2656056658495559E-4</c:v>
                </c:pt>
                <c:pt idx="3">
                  <c:v>4.6833683656781407E-4</c:v>
                </c:pt>
                <c:pt idx="4">
                  <c:v>6.7166527416373056E-4</c:v>
                </c:pt>
                <c:pt idx="5">
                  <c:v>9.632687529419142E-4</c:v>
                </c:pt>
                <c:pt idx="6">
                  <c:v>1.3814718820316463E-3</c:v>
                </c:pt>
                <c:pt idx="7">
                  <c:v>1.9812378996156856E-3</c:v>
                </c:pt>
                <c:pt idx="8">
                  <c:v>2.8413923337338356E-3</c:v>
                </c:pt>
                <c:pt idx="9">
                  <c:v>4.0749828154243804E-3</c:v>
                </c:pt>
                <c:pt idx="10">
                  <c:v>5.8441366047408752E-3</c:v>
                </c:pt>
                <c:pt idx="11">
                  <c:v>8.381368511689127E-3</c:v>
                </c:pt>
                <c:pt idx="12">
                  <c:v>1.2020139651038961E-2</c:v>
                </c:pt>
                <c:pt idx="13">
                  <c:v>1.7238683280537528E-2</c:v>
                </c:pt>
                <c:pt idx="14">
                  <c:v>2.4722857626782897E-2</c:v>
                </c:pt>
                <c:pt idx="15">
                  <c:v>3.5456286265450693E-2</c:v>
                </c:pt>
                <c:pt idx="16">
                  <c:v>5.0849632947596111E-2</c:v>
                </c:pt>
                <c:pt idx="17">
                  <c:v>7.2926001091794965E-2</c:v>
                </c:pt>
                <c:pt idx="18">
                  <c:v>0.10458682446579776</c:v>
                </c:pt>
                <c:pt idx="19" formatCode="General">
                  <c:v>0.14999319430762387</c:v>
                </c:pt>
              </c:numCache>
            </c:numRef>
          </c:xVal>
          <c:yVal>
            <c:numRef>
              <c:f>'rCav .05'!$B$10:$U$10</c:f>
              <c:numCache>
                <c:formatCode>0</c:formatCode>
                <c:ptCount val="20"/>
                <c:pt idx="0">
                  <c:v>2585.4779503376126</c:v>
                </c:pt>
                <c:pt idx="1">
                  <c:v>2823.3383671823267</c:v>
                </c:pt>
                <c:pt idx="2">
                  <c:v>3080.8814245301987</c:v>
                </c:pt>
                <c:pt idx="3">
                  <c:v>3358.8095696772111</c:v>
                </c:pt>
                <c:pt idx="4">
                  <c:v>3657.487666796555</c:v>
                </c:pt>
                <c:pt idx="5">
                  <c:v>3976.8295132444728</c:v>
                </c:pt>
                <c:pt idx="6">
                  <c:v>4316.2015972540039</c:v>
                </c:pt>
                <c:pt idx="7">
                  <c:v>4674.383408806867</c:v>
                </c:pt>
                <c:pt idx="8">
                  <c:v>5049.6391683639413</c:v>
                </c:pt>
                <c:pt idx="9">
                  <c:v>5439.9633503376244</c:v>
                </c:pt>
                <c:pt idx="10">
                  <c:v>5843.5535474877315</c:v>
                </c:pt>
                <c:pt idx="11">
                  <c:v>6259.5385345332315</c:v>
                </c:pt>
                <c:pt idx="12">
                  <c:v>6688.9658515407646</c:v>
                </c:pt>
                <c:pt idx="13">
                  <c:v>7136.0783306552639</c:v>
                </c:pt>
                <c:pt idx="14">
                  <c:v>7610.060498819912</c:v>
                </c:pt>
                <c:pt idx="15">
                  <c:v>8127.8565910259513</c:v>
                </c:pt>
                <c:pt idx="16">
                  <c:v>8719.7544521555919</c:v>
                </c:pt>
                <c:pt idx="17">
                  <c:v>9442.7459796373059</c:v>
                </c:pt>
                <c:pt idx="18">
                  <c:v>10419.745841971479</c:v>
                </c:pt>
                <c:pt idx="19">
                  <c:v>11998.505310854545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C0C-4BBB-B33C-11F2F54D6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188880"/>
        <c:axId val="1388198032"/>
      </c:scatterChart>
      <c:valAx>
        <c:axId val="921843215"/>
        <c:scaling>
          <c:orientation val="minMax"/>
          <c:max val="0.1500000000000000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0" baseline="0"/>
                  <a:t>Gap d, meters</a:t>
                </a:r>
              </a:p>
            </c:rich>
          </c:tx>
          <c:layout>
            <c:manualLayout>
              <c:xMode val="edge"/>
              <c:yMode val="edge"/>
              <c:x val="0.46529195132196932"/>
              <c:y val="0.90930039040435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850287"/>
        <c:crosses val="autoZero"/>
        <c:crossBetween val="midCat"/>
        <c:majorUnit val="1.0000000000000002E-2"/>
        <c:minorUnit val="2.0000000000000005E-3"/>
      </c:valAx>
      <c:valAx>
        <c:axId val="921850287"/>
        <c:scaling>
          <c:orientation val="minMax"/>
          <c:max val="2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0" baseline="0"/>
                  <a:t>Frequency, MHz</a:t>
                </a:r>
              </a:p>
            </c:rich>
          </c:tx>
          <c:layout>
            <c:manualLayout>
              <c:xMode val="edge"/>
              <c:yMode val="edge"/>
              <c:x val="2.197802197802198E-2"/>
              <c:y val="0.357248190796959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843215"/>
        <c:crosses val="autoZero"/>
        <c:crossBetween val="midCat"/>
        <c:majorUnit val="400"/>
      </c:valAx>
      <c:valAx>
        <c:axId val="1388198032"/>
        <c:scaling>
          <c:orientation val="minMax"/>
          <c:max val="12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</a:t>
                </a:r>
                <a:r>
                  <a:rPr lang="en-US" baseline="0"/>
                  <a:t> (quality factor)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93956043956043955"/>
              <c:y val="0.35152289489825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188880"/>
        <c:crosses val="max"/>
        <c:crossBetween val="midCat"/>
      </c:valAx>
      <c:valAx>
        <c:axId val="1388188880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1388198032"/>
        <c:crosses val="autoZero"/>
        <c:crossBetween val="midCat"/>
      </c:valAx>
      <c:spPr>
        <a:noFill/>
        <a:ln>
          <a:solidFill>
            <a:srgbClr val="00B0F0"/>
          </a:solidFill>
        </a:ln>
        <a:effectLst/>
      </c:spPr>
    </c:plotArea>
    <c:legend>
      <c:legendPos val="b"/>
      <c:layout>
        <c:manualLayout>
          <c:xMode val="edge"/>
          <c:yMode val="edge"/>
          <c:x val="0.4568178016209512"/>
          <c:y val="0.54127822172517448"/>
          <c:w val="0.3311590378125811"/>
          <c:h val="0.142788654308384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rgbClr val="00B0F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/>
              <a:t>Re-entrant cylindrical cavity: single post and double equal posts, full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09189235960891"/>
          <c:y val="9.5375722543352595E-2"/>
          <c:w val="0.7612027342736003"/>
          <c:h val="0.7194373102206155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'rCav .05'!$A$7</c:f>
              <c:strCache>
                <c:ptCount val="1"/>
                <c:pt idx="0">
                  <c:v>f0 single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'rCav .05'!$B$6:$U$6</c:f>
              <c:numCache>
                <c:formatCode>0.00E+00</c:formatCode>
                <c:ptCount val="20"/>
                <c:pt idx="0">
                  <c:v>1.5877224526913882E-4</c:v>
                </c:pt>
                <c:pt idx="1">
                  <c:v>2.2770321555273546E-4</c:v>
                </c:pt>
                <c:pt idx="2">
                  <c:v>3.2656056658495559E-4</c:v>
                </c:pt>
                <c:pt idx="3">
                  <c:v>4.6833683656781407E-4</c:v>
                </c:pt>
                <c:pt idx="4">
                  <c:v>6.7166527416373056E-4</c:v>
                </c:pt>
                <c:pt idx="5">
                  <c:v>9.632687529419142E-4</c:v>
                </c:pt>
                <c:pt idx="6">
                  <c:v>1.3814718820316463E-3</c:v>
                </c:pt>
                <c:pt idx="7">
                  <c:v>1.9812378996156856E-3</c:v>
                </c:pt>
                <c:pt idx="8">
                  <c:v>2.8413923337338356E-3</c:v>
                </c:pt>
                <c:pt idx="9">
                  <c:v>4.0749828154243804E-3</c:v>
                </c:pt>
                <c:pt idx="10">
                  <c:v>5.8441366047408752E-3</c:v>
                </c:pt>
                <c:pt idx="11">
                  <c:v>8.381368511689127E-3</c:v>
                </c:pt>
                <c:pt idx="12">
                  <c:v>1.2020139651038961E-2</c:v>
                </c:pt>
                <c:pt idx="13">
                  <c:v>1.7238683280537528E-2</c:v>
                </c:pt>
                <c:pt idx="14">
                  <c:v>2.4722857626782897E-2</c:v>
                </c:pt>
                <c:pt idx="15">
                  <c:v>3.5456286265450693E-2</c:v>
                </c:pt>
                <c:pt idx="16">
                  <c:v>5.0849632947596111E-2</c:v>
                </c:pt>
                <c:pt idx="17">
                  <c:v>7.2926001091794965E-2</c:v>
                </c:pt>
                <c:pt idx="18">
                  <c:v>0.10458682446579776</c:v>
                </c:pt>
                <c:pt idx="19" formatCode="General">
                  <c:v>0.14999319430762387</c:v>
                </c:pt>
              </c:numCache>
            </c:numRef>
          </c:xVal>
          <c:yVal>
            <c:numRef>
              <c:f>'rCav .05'!$B$7:$U$7</c:f>
              <c:numCache>
                <c:formatCode>0.00</c:formatCode>
                <c:ptCount val="20"/>
                <c:pt idx="0">
                  <c:v>99.99971423559515</c:v>
                </c:pt>
                <c:pt idx="1">
                  <c:v>118.76944926171264</c:v>
                </c:pt>
                <c:pt idx="2">
                  <c:v>140.68714984888626</c:v>
                </c:pt>
                <c:pt idx="3">
                  <c:v>166.08830840275766</c:v>
                </c:pt>
                <c:pt idx="4">
                  <c:v>195.2566448720298</c:v>
                </c:pt>
                <c:pt idx="5">
                  <c:v>228.38853719584438</c:v>
                </c:pt>
                <c:pt idx="6">
                  <c:v>265.56261104814081</c:v>
                </c:pt>
                <c:pt idx="7">
                  <c:v>306.7288190222398</c:v>
                </c:pt>
                <c:pt idx="8">
                  <c:v>351.73417298449277</c:v>
                </c:pt>
                <c:pt idx="9">
                  <c:v>400.39931156342351</c:v>
                </c:pt>
                <c:pt idx="10">
                  <c:v>452.65089108494078</c:v>
                </c:pt>
                <c:pt idx="11">
                  <c:v>508.70517504028476</c:v>
                </c:pt>
                <c:pt idx="12" formatCode="0.0">
                  <c:v>569.29993800627744</c:v>
                </c:pt>
                <c:pt idx="13" formatCode="0.0">
                  <c:v>635.99893322851017</c:v>
                </c:pt>
                <c:pt idx="14" formatCode="0.0">
                  <c:v>711.66381816016201</c:v>
                </c:pt>
                <c:pt idx="15" formatCode="0.0">
                  <c:v>801.35194009593761</c:v>
                </c:pt>
                <c:pt idx="16" formatCode="0.0">
                  <c:v>914.34347238729515</c:v>
                </c:pt>
                <c:pt idx="17" formatCode="0.0">
                  <c:v>1069.5401663133825</c:v>
                </c:pt>
                <c:pt idx="18" formatCode="0.0">
                  <c:v>1313.5877856098577</c:v>
                </c:pt>
                <c:pt idx="19" formatCode="0.0">
                  <c:v>1813.9336447726585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57-4289-8FFD-FD884C39E633}"/>
            </c:ext>
          </c:extLst>
        </c:ser>
        <c:ser>
          <c:idx val="1"/>
          <c:order val="1"/>
          <c:tx>
            <c:strRef>
              <c:f>'rCav .05'!$A$8</c:f>
              <c:strCache>
                <c:ptCount val="1"/>
                <c:pt idx="0">
                  <c:v>f0 double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'rCav .05'!$B$6:$U$6</c:f>
              <c:numCache>
                <c:formatCode>0.00E+00</c:formatCode>
                <c:ptCount val="20"/>
                <c:pt idx="0">
                  <c:v>1.5877224526913882E-4</c:v>
                </c:pt>
                <c:pt idx="1">
                  <c:v>2.2770321555273546E-4</c:v>
                </c:pt>
                <c:pt idx="2">
                  <c:v>3.2656056658495559E-4</c:v>
                </c:pt>
                <c:pt idx="3">
                  <c:v>4.6833683656781407E-4</c:v>
                </c:pt>
                <c:pt idx="4">
                  <c:v>6.7166527416373056E-4</c:v>
                </c:pt>
                <c:pt idx="5">
                  <c:v>9.632687529419142E-4</c:v>
                </c:pt>
                <c:pt idx="6">
                  <c:v>1.3814718820316463E-3</c:v>
                </c:pt>
                <c:pt idx="7">
                  <c:v>1.9812378996156856E-3</c:v>
                </c:pt>
                <c:pt idx="8">
                  <c:v>2.8413923337338356E-3</c:v>
                </c:pt>
                <c:pt idx="9">
                  <c:v>4.0749828154243804E-3</c:v>
                </c:pt>
                <c:pt idx="10">
                  <c:v>5.8441366047408752E-3</c:v>
                </c:pt>
                <c:pt idx="11">
                  <c:v>8.381368511689127E-3</c:v>
                </c:pt>
                <c:pt idx="12">
                  <c:v>1.2020139651038961E-2</c:v>
                </c:pt>
                <c:pt idx="13">
                  <c:v>1.7238683280537528E-2</c:v>
                </c:pt>
                <c:pt idx="14">
                  <c:v>2.4722857626782897E-2</c:v>
                </c:pt>
                <c:pt idx="15">
                  <c:v>3.5456286265450693E-2</c:v>
                </c:pt>
                <c:pt idx="16">
                  <c:v>5.0849632947596111E-2</c:v>
                </c:pt>
                <c:pt idx="17">
                  <c:v>7.2926001091794965E-2</c:v>
                </c:pt>
                <c:pt idx="18">
                  <c:v>0.10458682446579776</c:v>
                </c:pt>
                <c:pt idx="19" formatCode="General">
                  <c:v>0.14999319430762387</c:v>
                </c:pt>
              </c:numCache>
            </c:numRef>
          </c:xVal>
          <c:yVal>
            <c:numRef>
              <c:f>'rCav .05'!$B$8:$U$8</c:f>
              <c:numCache>
                <c:formatCode>0.00</c:formatCode>
                <c:ptCount val="20"/>
                <c:pt idx="0">
                  <c:v>101.16743063982062</c:v>
                </c:pt>
                <c:pt idx="1">
                  <c:v>120.63821524298021</c:v>
                </c:pt>
                <c:pt idx="2">
                  <c:v>143.65111824098935</c:v>
                </c:pt>
                <c:pt idx="3">
                  <c:v>170.73784963430953</c:v>
                </c:pt>
                <c:pt idx="4">
                  <c:v>202.45326462778124</c:v>
                </c:pt>
                <c:pt idx="5">
                  <c:v>239.34975648796814</c:v>
                </c:pt>
                <c:pt idx="6">
                  <c:v>281.94375913829543</c:v>
                </c:pt>
                <c:pt idx="7">
                  <c:v>330.67983121071359</c:v>
                </c:pt>
                <c:pt idx="8">
                  <c:v>385.90440449659718</c:v>
                </c:pt>
                <c:pt idx="9">
                  <c:v>447.86898782108096</c:v>
                </c:pt>
                <c:pt idx="10">
                  <c:v>516.78880810624094</c:v>
                </c:pt>
                <c:pt idx="11">
                  <c:v>592.98495989199921</c:v>
                </c:pt>
                <c:pt idx="12" formatCode="0.0">
                  <c:v>677.13771119975604</c:v>
                </c:pt>
                <c:pt idx="13" formatCode="0.0">
                  <c:v>770.6874034026057</c:v>
                </c:pt>
                <c:pt idx="14" formatCode="0.0">
                  <c:v>876.46638103362</c:v>
                </c:pt>
                <c:pt idx="15" formatCode="0.0">
                  <c:v>999.79533988087155</c:v>
                </c:pt>
                <c:pt idx="16" formatCode="0.0">
                  <c:v>1150.7144173303484</c:v>
                </c:pt>
                <c:pt idx="17" formatCode="0.0">
                  <c:v>1349.4464566835168</c:v>
                </c:pt>
                <c:pt idx="18" formatCode="0.0">
                  <c:v>1643.1351841826222</c:v>
                </c:pt>
                <c:pt idx="19" formatCode="0.0">
                  <c:v>2178.7797980217856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57-4289-8FFD-FD884C39E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843215"/>
        <c:axId val="921850287"/>
      </c:scatterChart>
      <c:scatterChart>
        <c:scatterStyle val="smoothMarker"/>
        <c:varyColors val="0"/>
        <c:ser>
          <c:idx val="2"/>
          <c:order val="2"/>
          <c:tx>
            <c:v>Q single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'rCav .05'!$B$6:$U$6</c:f>
              <c:numCache>
                <c:formatCode>0.00E+00</c:formatCode>
                <c:ptCount val="20"/>
                <c:pt idx="0">
                  <c:v>1.5877224526913882E-4</c:v>
                </c:pt>
                <c:pt idx="1">
                  <c:v>2.2770321555273546E-4</c:v>
                </c:pt>
                <c:pt idx="2">
                  <c:v>3.2656056658495559E-4</c:v>
                </c:pt>
                <c:pt idx="3">
                  <c:v>4.6833683656781407E-4</c:v>
                </c:pt>
                <c:pt idx="4">
                  <c:v>6.7166527416373056E-4</c:v>
                </c:pt>
                <c:pt idx="5">
                  <c:v>9.632687529419142E-4</c:v>
                </c:pt>
                <c:pt idx="6">
                  <c:v>1.3814718820316463E-3</c:v>
                </c:pt>
                <c:pt idx="7">
                  <c:v>1.9812378996156856E-3</c:v>
                </c:pt>
                <c:pt idx="8">
                  <c:v>2.8413923337338356E-3</c:v>
                </c:pt>
                <c:pt idx="9">
                  <c:v>4.0749828154243804E-3</c:v>
                </c:pt>
                <c:pt idx="10">
                  <c:v>5.8441366047408752E-3</c:v>
                </c:pt>
                <c:pt idx="11">
                  <c:v>8.381368511689127E-3</c:v>
                </c:pt>
                <c:pt idx="12">
                  <c:v>1.2020139651038961E-2</c:v>
                </c:pt>
                <c:pt idx="13">
                  <c:v>1.7238683280537528E-2</c:v>
                </c:pt>
                <c:pt idx="14">
                  <c:v>2.4722857626782897E-2</c:v>
                </c:pt>
                <c:pt idx="15">
                  <c:v>3.5456286265450693E-2</c:v>
                </c:pt>
                <c:pt idx="16">
                  <c:v>5.0849632947596111E-2</c:v>
                </c:pt>
                <c:pt idx="17">
                  <c:v>7.2926001091794965E-2</c:v>
                </c:pt>
                <c:pt idx="18">
                  <c:v>0.10458682446579776</c:v>
                </c:pt>
                <c:pt idx="19" formatCode="General">
                  <c:v>0.14999319430762387</c:v>
                </c:pt>
              </c:numCache>
            </c:numRef>
          </c:xVal>
          <c:yVal>
            <c:numRef>
              <c:f>'rCav .05'!$B$9:$U$9</c:f>
              <c:numCache>
                <c:formatCode>0</c:formatCode>
                <c:ptCount val="20"/>
                <c:pt idx="0">
                  <c:v>2570.513314087726</c:v>
                </c:pt>
                <c:pt idx="1">
                  <c:v>2801.3853264692084</c:v>
                </c:pt>
                <c:pt idx="2">
                  <c:v>3048.93168730549</c:v>
                </c:pt>
                <c:pt idx="3">
                  <c:v>3312.7602707224246</c:v>
                </c:pt>
                <c:pt idx="4">
                  <c:v>3591.8929881884819</c:v>
                </c:pt>
                <c:pt idx="5">
                  <c:v>3884.7012885446698</c:v>
                </c:pt>
                <c:pt idx="6">
                  <c:v>4188.9381036038458</c:v>
                </c:pt>
                <c:pt idx="7">
                  <c:v>4501.9199605495751</c:v>
                </c:pt>
                <c:pt idx="8">
                  <c:v>4820.8959756782551</c:v>
                </c:pt>
                <c:pt idx="9">
                  <c:v>5143.5994265957415</c:v>
                </c:pt>
                <c:pt idx="10">
                  <c:v>5468.9275241672003</c:v>
                </c:pt>
                <c:pt idx="11">
                  <c:v>5797.6708558671662</c:v>
                </c:pt>
                <c:pt idx="12">
                  <c:v>6133.2553514739329</c:v>
                </c:pt>
                <c:pt idx="13">
                  <c:v>6482.5917441206066</c:v>
                </c:pt>
                <c:pt idx="14">
                  <c:v>6857.3753405076468</c:v>
                </c:pt>
                <c:pt idx="15">
                  <c:v>7276.660694294078</c:v>
                </c:pt>
                <c:pt idx="16">
                  <c:v>7772.7582888253692</c:v>
                </c:pt>
                <c:pt idx="17">
                  <c:v>8406.5737568790919</c:v>
                </c:pt>
                <c:pt idx="18">
                  <c:v>9316.4408063036408</c:v>
                </c:pt>
                <c:pt idx="19">
                  <c:v>10947.908934606487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57-4289-8FFD-FD884C39E633}"/>
            </c:ext>
          </c:extLst>
        </c:ser>
        <c:ser>
          <c:idx val="3"/>
          <c:order val="3"/>
          <c:tx>
            <c:v>Q double</c:v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'rCav .05'!$B$6:$U$6</c:f>
              <c:numCache>
                <c:formatCode>0.00E+00</c:formatCode>
                <c:ptCount val="20"/>
                <c:pt idx="0">
                  <c:v>1.5877224526913882E-4</c:v>
                </c:pt>
                <c:pt idx="1">
                  <c:v>2.2770321555273546E-4</c:v>
                </c:pt>
                <c:pt idx="2">
                  <c:v>3.2656056658495559E-4</c:v>
                </c:pt>
                <c:pt idx="3">
                  <c:v>4.6833683656781407E-4</c:v>
                </c:pt>
                <c:pt idx="4">
                  <c:v>6.7166527416373056E-4</c:v>
                </c:pt>
                <c:pt idx="5">
                  <c:v>9.632687529419142E-4</c:v>
                </c:pt>
                <c:pt idx="6">
                  <c:v>1.3814718820316463E-3</c:v>
                </c:pt>
                <c:pt idx="7">
                  <c:v>1.9812378996156856E-3</c:v>
                </c:pt>
                <c:pt idx="8">
                  <c:v>2.8413923337338356E-3</c:v>
                </c:pt>
                <c:pt idx="9">
                  <c:v>4.0749828154243804E-3</c:v>
                </c:pt>
                <c:pt idx="10">
                  <c:v>5.8441366047408752E-3</c:v>
                </c:pt>
                <c:pt idx="11">
                  <c:v>8.381368511689127E-3</c:v>
                </c:pt>
                <c:pt idx="12">
                  <c:v>1.2020139651038961E-2</c:v>
                </c:pt>
                <c:pt idx="13">
                  <c:v>1.7238683280537528E-2</c:v>
                </c:pt>
                <c:pt idx="14">
                  <c:v>2.4722857626782897E-2</c:v>
                </c:pt>
                <c:pt idx="15">
                  <c:v>3.5456286265450693E-2</c:v>
                </c:pt>
                <c:pt idx="16">
                  <c:v>5.0849632947596111E-2</c:v>
                </c:pt>
                <c:pt idx="17">
                  <c:v>7.2926001091794965E-2</c:v>
                </c:pt>
                <c:pt idx="18">
                  <c:v>0.10458682446579776</c:v>
                </c:pt>
                <c:pt idx="19" formatCode="General">
                  <c:v>0.14999319430762387</c:v>
                </c:pt>
              </c:numCache>
            </c:numRef>
          </c:xVal>
          <c:yVal>
            <c:numRef>
              <c:f>'rCav .05'!$B$10:$U$10</c:f>
              <c:numCache>
                <c:formatCode>0</c:formatCode>
                <c:ptCount val="20"/>
                <c:pt idx="0">
                  <c:v>2585.4779503376126</c:v>
                </c:pt>
                <c:pt idx="1">
                  <c:v>2823.3383671823267</c:v>
                </c:pt>
                <c:pt idx="2">
                  <c:v>3080.8814245301987</c:v>
                </c:pt>
                <c:pt idx="3">
                  <c:v>3358.8095696772111</c:v>
                </c:pt>
                <c:pt idx="4">
                  <c:v>3657.487666796555</c:v>
                </c:pt>
                <c:pt idx="5">
                  <c:v>3976.8295132444728</c:v>
                </c:pt>
                <c:pt idx="6">
                  <c:v>4316.2015972540039</c:v>
                </c:pt>
                <c:pt idx="7">
                  <c:v>4674.383408806867</c:v>
                </c:pt>
                <c:pt idx="8">
                  <c:v>5049.6391683639413</c:v>
                </c:pt>
                <c:pt idx="9">
                  <c:v>5439.9633503376244</c:v>
                </c:pt>
                <c:pt idx="10">
                  <c:v>5843.5535474877315</c:v>
                </c:pt>
                <c:pt idx="11">
                  <c:v>6259.5385345332315</c:v>
                </c:pt>
                <c:pt idx="12">
                  <c:v>6688.9658515407646</c:v>
                </c:pt>
                <c:pt idx="13">
                  <c:v>7136.0783306552639</c:v>
                </c:pt>
                <c:pt idx="14">
                  <c:v>7610.060498819912</c:v>
                </c:pt>
                <c:pt idx="15">
                  <c:v>8127.8565910259513</c:v>
                </c:pt>
                <c:pt idx="16">
                  <c:v>8719.7544521555919</c:v>
                </c:pt>
                <c:pt idx="17">
                  <c:v>9442.7459796373059</c:v>
                </c:pt>
                <c:pt idx="18">
                  <c:v>10419.745841971479</c:v>
                </c:pt>
                <c:pt idx="19">
                  <c:v>11998.505310854545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057-4289-8FFD-FD884C39E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188880"/>
        <c:axId val="1388198032"/>
      </c:scatterChart>
      <c:valAx>
        <c:axId val="921843215"/>
        <c:scaling>
          <c:orientation val="minMax"/>
          <c:max val="6.0000000000000019E-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0" baseline="0"/>
                  <a:t>Gap d, meters</a:t>
                </a:r>
              </a:p>
            </c:rich>
          </c:tx>
          <c:layout>
            <c:manualLayout>
              <c:xMode val="edge"/>
              <c:yMode val="edge"/>
              <c:x val="0.46529195132196932"/>
              <c:y val="0.90930039040435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850287"/>
        <c:crosses val="autoZero"/>
        <c:crossBetween val="midCat"/>
        <c:majorUnit val="5.0000000000000012E-4"/>
      </c:valAx>
      <c:valAx>
        <c:axId val="921850287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0" baseline="0"/>
                  <a:t>Frequency, MHz</a:t>
                </a:r>
              </a:p>
            </c:rich>
          </c:tx>
          <c:layout>
            <c:manualLayout>
              <c:xMode val="edge"/>
              <c:yMode val="edge"/>
              <c:x val="2.197802197802198E-2"/>
              <c:y val="0.357248190796959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843215"/>
        <c:crosses val="autoZero"/>
        <c:crossBetween val="midCat"/>
        <c:majorUnit val="100"/>
      </c:valAx>
      <c:valAx>
        <c:axId val="1388198032"/>
        <c:scaling>
          <c:orientation val="minMax"/>
          <c:max val="6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</a:t>
                </a:r>
                <a:r>
                  <a:rPr lang="en-US" baseline="0"/>
                  <a:t> (quality factor)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93956043956043955"/>
              <c:y val="0.35152289489825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188880"/>
        <c:crosses val="max"/>
        <c:crossBetween val="midCat"/>
      </c:valAx>
      <c:valAx>
        <c:axId val="1388188880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1388198032"/>
        <c:crosses val="autoZero"/>
        <c:crossBetween val="midCat"/>
      </c:valAx>
      <c:spPr>
        <a:noFill/>
        <a:ln>
          <a:solidFill>
            <a:srgbClr val="00B0F0"/>
          </a:solidFill>
        </a:ln>
        <a:effectLst/>
      </c:spPr>
    </c:plotArea>
    <c:legend>
      <c:legendPos val="b"/>
      <c:layout>
        <c:manualLayout>
          <c:xMode val="edge"/>
          <c:yMode val="edge"/>
          <c:x val="0.4568178016209512"/>
          <c:y val="0.54127822172517448"/>
          <c:w val="0.3311590378125811"/>
          <c:h val="0.142788654308384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rgbClr val="00B0F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/>
              <a:t>Re-entrant cylindrical cavity: single post and double equal posts, log-log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09189235960891"/>
          <c:y val="9.5375722543352595E-2"/>
          <c:w val="0.7612027342736003"/>
          <c:h val="0.7194373102206155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'rCav .05'!$A$7</c:f>
              <c:strCache>
                <c:ptCount val="1"/>
                <c:pt idx="0">
                  <c:v>f0 single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'rCav .05'!$B$6:$U$6</c:f>
              <c:numCache>
                <c:formatCode>0.00E+00</c:formatCode>
                <c:ptCount val="20"/>
                <c:pt idx="0">
                  <c:v>1.5877224526913882E-4</c:v>
                </c:pt>
                <c:pt idx="1">
                  <c:v>2.2770321555273546E-4</c:v>
                </c:pt>
                <c:pt idx="2">
                  <c:v>3.2656056658495559E-4</c:v>
                </c:pt>
                <c:pt idx="3">
                  <c:v>4.6833683656781407E-4</c:v>
                </c:pt>
                <c:pt idx="4">
                  <c:v>6.7166527416373056E-4</c:v>
                </c:pt>
                <c:pt idx="5">
                  <c:v>9.632687529419142E-4</c:v>
                </c:pt>
                <c:pt idx="6">
                  <c:v>1.3814718820316463E-3</c:v>
                </c:pt>
                <c:pt idx="7">
                  <c:v>1.9812378996156856E-3</c:v>
                </c:pt>
                <c:pt idx="8">
                  <c:v>2.8413923337338356E-3</c:v>
                </c:pt>
                <c:pt idx="9">
                  <c:v>4.0749828154243804E-3</c:v>
                </c:pt>
                <c:pt idx="10">
                  <c:v>5.8441366047408752E-3</c:v>
                </c:pt>
                <c:pt idx="11">
                  <c:v>8.381368511689127E-3</c:v>
                </c:pt>
                <c:pt idx="12">
                  <c:v>1.2020139651038961E-2</c:v>
                </c:pt>
                <c:pt idx="13">
                  <c:v>1.7238683280537528E-2</c:v>
                </c:pt>
                <c:pt idx="14">
                  <c:v>2.4722857626782897E-2</c:v>
                </c:pt>
                <c:pt idx="15">
                  <c:v>3.5456286265450693E-2</c:v>
                </c:pt>
                <c:pt idx="16">
                  <c:v>5.0849632947596111E-2</c:v>
                </c:pt>
                <c:pt idx="17">
                  <c:v>7.2926001091794965E-2</c:v>
                </c:pt>
                <c:pt idx="18">
                  <c:v>0.10458682446579776</c:v>
                </c:pt>
                <c:pt idx="19" formatCode="General">
                  <c:v>0.14999319430762387</c:v>
                </c:pt>
              </c:numCache>
            </c:numRef>
          </c:xVal>
          <c:yVal>
            <c:numRef>
              <c:f>'rCav .05'!$B$7:$U$7</c:f>
              <c:numCache>
                <c:formatCode>0.00</c:formatCode>
                <c:ptCount val="20"/>
                <c:pt idx="0">
                  <c:v>99.99971423559515</c:v>
                </c:pt>
                <c:pt idx="1">
                  <c:v>118.76944926171264</c:v>
                </c:pt>
                <c:pt idx="2">
                  <c:v>140.68714984888626</c:v>
                </c:pt>
                <c:pt idx="3">
                  <c:v>166.08830840275766</c:v>
                </c:pt>
                <c:pt idx="4">
                  <c:v>195.2566448720298</c:v>
                </c:pt>
                <c:pt idx="5">
                  <c:v>228.38853719584438</c:v>
                </c:pt>
                <c:pt idx="6">
                  <c:v>265.56261104814081</c:v>
                </c:pt>
                <c:pt idx="7">
                  <c:v>306.7288190222398</c:v>
                </c:pt>
                <c:pt idx="8">
                  <c:v>351.73417298449277</c:v>
                </c:pt>
                <c:pt idx="9">
                  <c:v>400.39931156342351</c:v>
                </c:pt>
                <c:pt idx="10">
                  <c:v>452.65089108494078</c:v>
                </c:pt>
                <c:pt idx="11">
                  <c:v>508.70517504028476</c:v>
                </c:pt>
                <c:pt idx="12" formatCode="0.0">
                  <c:v>569.29993800627744</c:v>
                </c:pt>
                <c:pt idx="13" formatCode="0.0">
                  <c:v>635.99893322851017</c:v>
                </c:pt>
                <c:pt idx="14" formatCode="0.0">
                  <c:v>711.66381816016201</c:v>
                </c:pt>
                <c:pt idx="15" formatCode="0.0">
                  <c:v>801.35194009593761</c:v>
                </c:pt>
                <c:pt idx="16" formatCode="0.0">
                  <c:v>914.34347238729515</c:v>
                </c:pt>
                <c:pt idx="17" formatCode="0.0">
                  <c:v>1069.5401663133825</c:v>
                </c:pt>
                <c:pt idx="18" formatCode="0.0">
                  <c:v>1313.5877856098577</c:v>
                </c:pt>
                <c:pt idx="19" formatCode="0.0">
                  <c:v>1813.9336447726585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EE-4E10-A56F-9ED1BA7174CF}"/>
            </c:ext>
          </c:extLst>
        </c:ser>
        <c:ser>
          <c:idx val="1"/>
          <c:order val="1"/>
          <c:tx>
            <c:strRef>
              <c:f>'rCav .05'!$A$8</c:f>
              <c:strCache>
                <c:ptCount val="1"/>
                <c:pt idx="0">
                  <c:v>f0 double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'rCav .05'!$B$6:$U$6</c:f>
              <c:numCache>
                <c:formatCode>0.00E+00</c:formatCode>
                <c:ptCount val="20"/>
                <c:pt idx="0">
                  <c:v>1.5877224526913882E-4</c:v>
                </c:pt>
                <c:pt idx="1">
                  <c:v>2.2770321555273546E-4</c:v>
                </c:pt>
                <c:pt idx="2">
                  <c:v>3.2656056658495559E-4</c:v>
                </c:pt>
                <c:pt idx="3">
                  <c:v>4.6833683656781407E-4</c:v>
                </c:pt>
                <c:pt idx="4">
                  <c:v>6.7166527416373056E-4</c:v>
                </c:pt>
                <c:pt idx="5">
                  <c:v>9.632687529419142E-4</c:v>
                </c:pt>
                <c:pt idx="6">
                  <c:v>1.3814718820316463E-3</c:v>
                </c:pt>
                <c:pt idx="7">
                  <c:v>1.9812378996156856E-3</c:v>
                </c:pt>
                <c:pt idx="8">
                  <c:v>2.8413923337338356E-3</c:v>
                </c:pt>
                <c:pt idx="9">
                  <c:v>4.0749828154243804E-3</c:v>
                </c:pt>
                <c:pt idx="10">
                  <c:v>5.8441366047408752E-3</c:v>
                </c:pt>
                <c:pt idx="11">
                  <c:v>8.381368511689127E-3</c:v>
                </c:pt>
                <c:pt idx="12">
                  <c:v>1.2020139651038961E-2</c:v>
                </c:pt>
                <c:pt idx="13">
                  <c:v>1.7238683280537528E-2</c:v>
                </c:pt>
                <c:pt idx="14">
                  <c:v>2.4722857626782897E-2</c:v>
                </c:pt>
                <c:pt idx="15">
                  <c:v>3.5456286265450693E-2</c:v>
                </c:pt>
                <c:pt idx="16">
                  <c:v>5.0849632947596111E-2</c:v>
                </c:pt>
                <c:pt idx="17">
                  <c:v>7.2926001091794965E-2</c:v>
                </c:pt>
                <c:pt idx="18">
                  <c:v>0.10458682446579776</c:v>
                </c:pt>
                <c:pt idx="19" formatCode="General">
                  <c:v>0.14999319430762387</c:v>
                </c:pt>
              </c:numCache>
            </c:numRef>
          </c:xVal>
          <c:yVal>
            <c:numRef>
              <c:f>'rCav .05'!$B$8:$U$8</c:f>
              <c:numCache>
                <c:formatCode>0.00</c:formatCode>
                <c:ptCount val="20"/>
                <c:pt idx="0">
                  <c:v>101.16743063982062</c:v>
                </c:pt>
                <c:pt idx="1">
                  <c:v>120.63821524298021</c:v>
                </c:pt>
                <c:pt idx="2">
                  <c:v>143.65111824098935</c:v>
                </c:pt>
                <c:pt idx="3">
                  <c:v>170.73784963430953</c:v>
                </c:pt>
                <c:pt idx="4">
                  <c:v>202.45326462778124</c:v>
                </c:pt>
                <c:pt idx="5">
                  <c:v>239.34975648796814</c:v>
                </c:pt>
                <c:pt idx="6">
                  <c:v>281.94375913829543</c:v>
                </c:pt>
                <c:pt idx="7">
                  <c:v>330.67983121071359</c:v>
                </c:pt>
                <c:pt idx="8">
                  <c:v>385.90440449659718</c:v>
                </c:pt>
                <c:pt idx="9">
                  <c:v>447.86898782108096</c:v>
                </c:pt>
                <c:pt idx="10">
                  <c:v>516.78880810624094</c:v>
                </c:pt>
                <c:pt idx="11">
                  <c:v>592.98495989199921</c:v>
                </c:pt>
                <c:pt idx="12" formatCode="0.0">
                  <c:v>677.13771119975604</c:v>
                </c:pt>
                <c:pt idx="13" formatCode="0.0">
                  <c:v>770.6874034026057</c:v>
                </c:pt>
                <c:pt idx="14" formatCode="0.0">
                  <c:v>876.46638103362</c:v>
                </c:pt>
                <c:pt idx="15" formatCode="0.0">
                  <c:v>999.79533988087155</c:v>
                </c:pt>
                <c:pt idx="16" formatCode="0.0">
                  <c:v>1150.7144173303484</c:v>
                </c:pt>
                <c:pt idx="17" formatCode="0.0">
                  <c:v>1349.4464566835168</c:v>
                </c:pt>
                <c:pt idx="18" formatCode="0.0">
                  <c:v>1643.1351841826222</c:v>
                </c:pt>
                <c:pt idx="19" formatCode="0.0">
                  <c:v>2178.7797980217856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EE-4E10-A56F-9ED1BA717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843215"/>
        <c:axId val="921850287"/>
      </c:scatterChart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388188880"/>
        <c:axId val="138819803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Q single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'rCav .05'!$B$6:$U$6</c15:sqref>
                        </c15:formulaRef>
                      </c:ext>
                    </c:extLst>
                    <c:numCache>
                      <c:formatCode>0.00E+00</c:formatCode>
                      <c:ptCount val="20"/>
                      <c:pt idx="0">
                        <c:v>1.5877224526913882E-4</c:v>
                      </c:pt>
                      <c:pt idx="1">
                        <c:v>2.2770321555273546E-4</c:v>
                      </c:pt>
                      <c:pt idx="2">
                        <c:v>3.2656056658495559E-4</c:v>
                      </c:pt>
                      <c:pt idx="3">
                        <c:v>4.6833683656781407E-4</c:v>
                      </c:pt>
                      <c:pt idx="4">
                        <c:v>6.7166527416373056E-4</c:v>
                      </c:pt>
                      <c:pt idx="5">
                        <c:v>9.632687529419142E-4</c:v>
                      </c:pt>
                      <c:pt idx="6">
                        <c:v>1.3814718820316463E-3</c:v>
                      </c:pt>
                      <c:pt idx="7">
                        <c:v>1.9812378996156856E-3</c:v>
                      </c:pt>
                      <c:pt idx="8">
                        <c:v>2.8413923337338356E-3</c:v>
                      </c:pt>
                      <c:pt idx="9">
                        <c:v>4.0749828154243804E-3</c:v>
                      </c:pt>
                      <c:pt idx="10">
                        <c:v>5.8441366047408752E-3</c:v>
                      </c:pt>
                      <c:pt idx="11">
                        <c:v>8.381368511689127E-3</c:v>
                      </c:pt>
                      <c:pt idx="12">
                        <c:v>1.2020139651038961E-2</c:v>
                      </c:pt>
                      <c:pt idx="13">
                        <c:v>1.7238683280537528E-2</c:v>
                      </c:pt>
                      <c:pt idx="14">
                        <c:v>2.4722857626782897E-2</c:v>
                      </c:pt>
                      <c:pt idx="15">
                        <c:v>3.5456286265450693E-2</c:v>
                      </c:pt>
                      <c:pt idx="16">
                        <c:v>5.0849632947596111E-2</c:v>
                      </c:pt>
                      <c:pt idx="17">
                        <c:v>7.2926001091794965E-2</c:v>
                      </c:pt>
                      <c:pt idx="18">
                        <c:v>0.10458682446579776</c:v>
                      </c:pt>
                      <c:pt idx="19" formatCode="General">
                        <c:v>0.14999319430762387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'rCav .05'!$B$9:$U$9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2570.513314087726</c:v>
                      </c:pt>
                      <c:pt idx="1">
                        <c:v>2801.3853264692084</c:v>
                      </c:pt>
                      <c:pt idx="2">
                        <c:v>3048.93168730549</c:v>
                      </c:pt>
                      <c:pt idx="3">
                        <c:v>3312.7602707224246</c:v>
                      </c:pt>
                      <c:pt idx="4">
                        <c:v>3591.8929881884819</c:v>
                      </c:pt>
                      <c:pt idx="5">
                        <c:v>3884.7012885446698</c:v>
                      </c:pt>
                      <c:pt idx="6">
                        <c:v>4188.9381036038458</c:v>
                      </c:pt>
                      <c:pt idx="7">
                        <c:v>4501.9199605495751</c:v>
                      </c:pt>
                      <c:pt idx="8">
                        <c:v>4820.8959756782551</c:v>
                      </c:pt>
                      <c:pt idx="9">
                        <c:v>5143.5994265957415</c:v>
                      </c:pt>
                      <c:pt idx="10">
                        <c:v>5468.9275241672003</c:v>
                      </c:pt>
                      <c:pt idx="11">
                        <c:v>5797.6708558671662</c:v>
                      </c:pt>
                      <c:pt idx="12">
                        <c:v>6133.2553514739329</c:v>
                      </c:pt>
                      <c:pt idx="13">
                        <c:v>6482.5917441206066</c:v>
                      </c:pt>
                      <c:pt idx="14">
                        <c:v>6857.3753405076468</c:v>
                      </c:pt>
                      <c:pt idx="15">
                        <c:v>7276.660694294078</c:v>
                      </c:pt>
                      <c:pt idx="16">
                        <c:v>7772.7582888253692</c:v>
                      </c:pt>
                      <c:pt idx="17">
                        <c:v>8406.5737568790919</c:v>
                      </c:pt>
                      <c:pt idx="18">
                        <c:v>9316.4408063036408</c:v>
                      </c:pt>
                      <c:pt idx="19">
                        <c:v>10947.908934606487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27EE-4E10-A56F-9ED1BA7174C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Q double</c:v>
                </c:tx>
                <c:spPr>
                  <a:ln w="19050" cap="rnd">
                    <a:solidFill>
                      <a:schemeClr val="accent4"/>
                    </a:solidFill>
                    <a:prstDash val="sysDash"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2">
                        <a:lumMod val="75000"/>
                      </a:schemeClr>
                    </a:solidFill>
                    <a:ln w="9525">
                      <a:solidFill>
                        <a:srgbClr val="FFC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'rCav .05'!$B$6:$U$6</c15:sqref>
                        </c15:formulaRef>
                      </c:ext>
                    </c:extLst>
                    <c:numCache>
                      <c:formatCode>0.00E+00</c:formatCode>
                      <c:ptCount val="20"/>
                      <c:pt idx="0">
                        <c:v>1.5877224526913882E-4</c:v>
                      </c:pt>
                      <c:pt idx="1">
                        <c:v>2.2770321555273546E-4</c:v>
                      </c:pt>
                      <c:pt idx="2">
                        <c:v>3.2656056658495559E-4</c:v>
                      </c:pt>
                      <c:pt idx="3">
                        <c:v>4.6833683656781407E-4</c:v>
                      </c:pt>
                      <c:pt idx="4">
                        <c:v>6.7166527416373056E-4</c:v>
                      </c:pt>
                      <c:pt idx="5">
                        <c:v>9.632687529419142E-4</c:v>
                      </c:pt>
                      <c:pt idx="6">
                        <c:v>1.3814718820316463E-3</c:v>
                      </c:pt>
                      <c:pt idx="7">
                        <c:v>1.9812378996156856E-3</c:v>
                      </c:pt>
                      <c:pt idx="8">
                        <c:v>2.8413923337338356E-3</c:v>
                      </c:pt>
                      <c:pt idx="9">
                        <c:v>4.0749828154243804E-3</c:v>
                      </c:pt>
                      <c:pt idx="10">
                        <c:v>5.8441366047408752E-3</c:v>
                      </c:pt>
                      <c:pt idx="11">
                        <c:v>8.381368511689127E-3</c:v>
                      </c:pt>
                      <c:pt idx="12">
                        <c:v>1.2020139651038961E-2</c:v>
                      </c:pt>
                      <c:pt idx="13">
                        <c:v>1.7238683280537528E-2</c:v>
                      </c:pt>
                      <c:pt idx="14">
                        <c:v>2.4722857626782897E-2</c:v>
                      </c:pt>
                      <c:pt idx="15">
                        <c:v>3.5456286265450693E-2</c:v>
                      </c:pt>
                      <c:pt idx="16">
                        <c:v>5.0849632947596111E-2</c:v>
                      </c:pt>
                      <c:pt idx="17">
                        <c:v>7.2926001091794965E-2</c:v>
                      </c:pt>
                      <c:pt idx="18">
                        <c:v>0.10458682446579776</c:v>
                      </c:pt>
                      <c:pt idx="19" formatCode="General">
                        <c:v>0.14999319430762387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'rCav .05'!$B$10:$U$10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2585.4779503376126</c:v>
                      </c:pt>
                      <c:pt idx="1">
                        <c:v>2823.3383671823267</c:v>
                      </c:pt>
                      <c:pt idx="2">
                        <c:v>3080.8814245301987</c:v>
                      </c:pt>
                      <c:pt idx="3">
                        <c:v>3358.8095696772111</c:v>
                      </c:pt>
                      <c:pt idx="4">
                        <c:v>3657.487666796555</c:v>
                      </c:pt>
                      <c:pt idx="5">
                        <c:v>3976.8295132444728</c:v>
                      </c:pt>
                      <c:pt idx="6">
                        <c:v>4316.2015972540039</c:v>
                      </c:pt>
                      <c:pt idx="7">
                        <c:v>4674.383408806867</c:v>
                      </c:pt>
                      <c:pt idx="8">
                        <c:v>5049.6391683639413</c:v>
                      </c:pt>
                      <c:pt idx="9">
                        <c:v>5439.9633503376244</c:v>
                      </c:pt>
                      <c:pt idx="10">
                        <c:v>5843.5535474877315</c:v>
                      </c:pt>
                      <c:pt idx="11">
                        <c:v>6259.5385345332315</c:v>
                      </c:pt>
                      <c:pt idx="12">
                        <c:v>6688.9658515407646</c:v>
                      </c:pt>
                      <c:pt idx="13">
                        <c:v>7136.0783306552639</c:v>
                      </c:pt>
                      <c:pt idx="14">
                        <c:v>7610.060498819912</c:v>
                      </c:pt>
                      <c:pt idx="15">
                        <c:v>8127.8565910259513</c:v>
                      </c:pt>
                      <c:pt idx="16">
                        <c:v>8719.7544521555919</c:v>
                      </c:pt>
                      <c:pt idx="17">
                        <c:v>9442.7459796373059</c:v>
                      </c:pt>
                      <c:pt idx="18">
                        <c:v>10419.745841971479</c:v>
                      </c:pt>
                      <c:pt idx="19">
                        <c:v>11998.505310854545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7EE-4E10-A56F-9ED1BA7174CF}"/>
                  </c:ext>
                </c:extLst>
              </c15:ser>
            </c15:filteredScatterSeries>
          </c:ext>
        </c:extLst>
      </c:scatterChart>
      <c:valAx>
        <c:axId val="921843215"/>
        <c:scaling>
          <c:logBase val="10"/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0" baseline="0"/>
                  <a:t>Gap d, meters</a:t>
                </a:r>
              </a:p>
            </c:rich>
          </c:tx>
          <c:layout>
            <c:manualLayout>
              <c:xMode val="edge"/>
              <c:yMode val="edge"/>
              <c:x val="0.46529195132196932"/>
              <c:y val="0.90930039040435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850287"/>
        <c:crosses val="autoZero"/>
        <c:crossBetween val="midCat"/>
      </c:valAx>
      <c:valAx>
        <c:axId val="921850287"/>
        <c:scaling>
          <c:logBase val="10"/>
          <c:orientation val="minMax"/>
          <c:max val="3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0" baseline="0"/>
                  <a:t>Frequency, MHz</a:t>
                </a:r>
              </a:p>
            </c:rich>
          </c:tx>
          <c:layout>
            <c:manualLayout>
              <c:xMode val="edge"/>
              <c:yMode val="edge"/>
              <c:x val="2.197802197802198E-2"/>
              <c:y val="0.357248190796959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out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843215"/>
        <c:crosses val="autoZero"/>
        <c:crossBetween val="midCat"/>
        <c:majorUnit val="1000"/>
      </c:valAx>
      <c:valAx>
        <c:axId val="1388198032"/>
        <c:scaling>
          <c:logBase val="10"/>
          <c:orientation val="minMax"/>
          <c:max val="12000"/>
        </c:scaling>
        <c:delete val="1"/>
        <c:axPos val="r"/>
        <c:numFmt formatCode="0" sourceLinked="1"/>
        <c:majorTickMark val="out"/>
        <c:minorTickMark val="none"/>
        <c:tickLblPos val="nextTo"/>
        <c:crossAx val="1388188880"/>
        <c:crosses val="max"/>
        <c:crossBetween val="midCat"/>
      </c:valAx>
      <c:valAx>
        <c:axId val="1388188880"/>
        <c:scaling>
          <c:logBase val="10"/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1388198032"/>
        <c:crosses val="autoZero"/>
        <c:crossBetween val="midCat"/>
      </c:valAx>
      <c:spPr>
        <a:noFill/>
        <a:ln>
          <a:solidFill>
            <a:srgbClr val="00B0F0"/>
          </a:solidFill>
        </a:ln>
        <a:effectLst/>
      </c:spPr>
    </c:plotArea>
    <c:legend>
      <c:legendPos val="b"/>
      <c:layout>
        <c:manualLayout>
          <c:xMode val="edge"/>
          <c:yMode val="edge"/>
          <c:x val="0.4568178016209512"/>
          <c:y val="0.54127822172517448"/>
          <c:w val="0.3311590378125811"/>
          <c:h val="0.142788654308384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rgbClr val="00B0F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/>
              <a:t>Re-entrant cylindrical cavity: single post and double equal posts, log-log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09189235960891"/>
          <c:y val="9.5375722543352595E-2"/>
          <c:w val="0.7612027342736003"/>
          <c:h val="0.71943731022061552"/>
        </c:manualLayout>
      </c:layout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921843215"/>
        <c:axId val="92185028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'rCav .05'!$A$7</c15:sqref>
                        </c15:formulaRef>
                      </c:ext>
                    </c:extLst>
                    <c:strCache>
                      <c:ptCount val="1"/>
                      <c:pt idx="0">
                        <c:v>f0 single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'rCav .05'!$B$6:$U$6</c15:sqref>
                        </c15:formulaRef>
                      </c:ext>
                    </c:extLst>
                    <c:numCache>
                      <c:formatCode>0.00E+00</c:formatCode>
                      <c:ptCount val="20"/>
                      <c:pt idx="0">
                        <c:v>1.5877224526913882E-4</c:v>
                      </c:pt>
                      <c:pt idx="1">
                        <c:v>2.2770321555273546E-4</c:v>
                      </c:pt>
                      <c:pt idx="2">
                        <c:v>3.2656056658495559E-4</c:v>
                      </c:pt>
                      <c:pt idx="3">
                        <c:v>4.6833683656781407E-4</c:v>
                      </c:pt>
                      <c:pt idx="4">
                        <c:v>6.7166527416373056E-4</c:v>
                      </c:pt>
                      <c:pt idx="5">
                        <c:v>9.632687529419142E-4</c:v>
                      </c:pt>
                      <c:pt idx="6">
                        <c:v>1.3814718820316463E-3</c:v>
                      </c:pt>
                      <c:pt idx="7">
                        <c:v>1.9812378996156856E-3</c:v>
                      </c:pt>
                      <c:pt idx="8">
                        <c:v>2.8413923337338356E-3</c:v>
                      </c:pt>
                      <c:pt idx="9">
                        <c:v>4.0749828154243804E-3</c:v>
                      </c:pt>
                      <c:pt idx="10">
                        <c:v>5.8441366047408752E-3</c:v>
                      </c:pt>
                      <c:pt idx="11">
                        <c:v>8.381368511689127E-3</c:v>
                      </c:pt>
                      <c:pt idx="12">
                        <c:v>1.2020139651038961E-2</c:v>
                      </c:pt>
                      <c:pt idx="13">
                        <c:v>1.7238683280537528E-2</c:v>
                      </c:pt>
                      <c:pt idx="14">
                        <c:v>2.4722857626782897E-2</c:v>
                      </c:pt>
                      <c:pt idx="15">
                        <c:v>3.5456286265450693E-2</c:v>
                      </c:pt>
                      <c:pt idx="16">
                        <c:v>5.0849632947596111E-2</c:v>
                      </c:pt>
                      <c:pt idx="17">
                        <c:v>7.2926001091794965E-2</c:v>
                      </c:pt>
                      <c:pt idx="18">
                        <c:v>0.10458682446579776</c:v>
                      </c:pt>
                      <c:pt idx="19" formatCode="General">
                        <c:v>0.14999319430762387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'rCav .05'!$B$7:$U$7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99.99971423559515</c:v>
                      </c:pt>
                      <c:pt idx="1">
                        <c:v>118.76944926171264</c:v>
                      </c:pt>
                      <c:pt idx="2">
                        <c:v>140.68714984888626</c:v>
                      </c:pt>
                      <c:pt idx="3">
                        <c:v>166.08830840275766</c:v>
                      </c:pt>
                      <c:pt idx="4">
                        <c:v>195.2566448720298</c:v>
                      </c:pt>
                      <c:pt idx="5">
                        <c:v>228.38853719584438</c:v>
                      </c:pt>
                      <c:pt idx="6">
                        <c:v>265.56261104814081</c:v>
                      </c:pt>
                      <c:pt idx="7">
                        <c:v>306.7288190222398</c:v>
                      </c:pt>
                      <c:pt idx="8">
                        <c:v>351.73417298449277</c:v>
                      </c:pt>
                      <c:pt idx="9">
                        <c:v>400.39931156342351</c:v>
                      </c:pt>
                      <c:pt idx="10">
                        <c:v>452.65089108494078</c:v>
                      </c:pt>
                      <c:pt idx="11">
                        <c:v>508.70517504028476</c:v>
                      </c:pt>
                      <c:pt idx="12" formatCode="0.0">
                        <c:v>569.29993800627744</c:v>
                      </c:pt>
                      <c:pt idx="13" formatCode="0.0">
                        <c:v>635.99893322851017</c:v>
                      </c:pt>
                      <c:pt idx="14" formatCode="0.0">
                        <c:v>711.66381816016201</c:v>
                      </c:pt>
                      <c:pt idx="15" formatCode="0.0">
                        <c:v>801.35194009593761</c:v>
                      </c:pt>
                      <c:pt idx="16" formatCode="0.0">
                        <c:v>914.34347238729515</c:v>
                      </c:pt>
                      <c:pt idx="17" formatCode="0.0">
                        <c:v>1069.5401663133825</c:v>
                      </c:pt>
                      <c:pt idx="18" formatCode="0.0">
                        <c:v>1313.5877856098577</c:v>
                      </c:pt>
                      <c:pt idx="19" formatCode="0.0">
                        <c:v>1813.9336447726585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6625-44A3-8D63-F7E4864EDEA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'rCav .05'!$A$8</c15:sqref>
                        </c15:formulaRef>
                      </c:ext>
                    </c:extLst>
                    <c:strCache>
                      <c:ptCount val="1"/>
                      <c:pt idx="0">
                        <c:v>f0 double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'rCav .05'!$B$6:$U$6</c15:sqref>
                        </c15:formulaRef>
                      </c:ext>
                    </c:extLst>
                    <c:numCache>
                      <c:formatCode>0.00E+00</c:formatCode>
                      <c:ptCount val="20"/>
                      <c:pt idx="0">
                        <c:v>1.5877224526913882E-4</c:v>
                      </c:pt>
                      <c:pt idx="1">
                        <c:v>2.2770321555273546E-4</c:v>
                      </c:pt>
                      <c:pt idx="2">
                        <c:v>3.2656056658495559E-4</c:v>
                      </c:pt>
                      <c:pt idx="3">
                        <c:v>4.6833683656781407E-4</c:v>
                      </c:pt>
                      <c:pt idx="4">
                        <c:v>6.7166527416373056E-4</c:v>
                      </c:pt>
                      <c:pt idx="5">
                        <c:v>9.632687529419142E-4</c:v>
                      </c:pt>
                      <c:pt idx="6">
                        <c:v>1.3814718820316463E-3</c:v>
                      </c:pt>
                      <c:pt idx="7">
                        <c:v>1.9812378996156856E-3</c:v>
                      </c:pt>
                      <c:pt idx="8">
                        <c:v>2.8413923337338356E-3</c:v>
                      </c:pt>
                      <c:pt idx="9">
                        <c:v>4.0749828154243804E-3</c:v>
                      </c:pt>
                      <c:pt idx="10">
                        <c:v>5.8441366047408752E-3</c:v>
                      </c:pt>
                      <c:pt idx="11">
                        <c:v>8.381368511689127E-3</c:v>
                      </c:pt>
                      <c:pt idx="12">
                        <c:v>1.2020139651038961E-2</c:v>
                      </c:pt>
                      <c:pt idx="13">
                        <c:v>1.7238683280537528E-2</c:v>
                      </c:pt>
                      <c:pt idx="14">
                        <c:v>2.4722857626782897E-2</c:v>
                      </c:pt>
                      <c:pt idx="15">
                        <c:v>3.5456286265450693E-2</c:v>
                      </c:pt>
                      <c:pt idx="16">
                        <c:v>5.0849632947596111E-2</c:v>
                      </c:pt>
                      <c:pt idx="17">
                        <c:v>7.2926001091794965E-2</c:v>
                      </c:pt>
                      <c:pt idx="18">
                        <c:v>0.10458682446579776</c:v>
                      </c:pt>
                      <c:pt idx="19" formatCode="General">
                        <c:v>0.14999319430762387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'rCav .05'!$B$8:$U$8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101.16743063982062</c:v>
                      </c:pt>
                      <c:pt idx="1">
                        <c:v>120.63821524298021</c:v>
                      </c:pt>
                      <c:pt idx="2">
                        <c:v>143.65111824098935</c:v>
                      </c:pt>
                      <c:pt idx="3">
                        <c:v>170.73784963430953</c:v>
                      </c:pt>
                      <c:pt idx="4">
                        <c:v>202.45326462778124</c:v>
                      </c:pt>
                      <c:pt idx="5">
                        <c:v>239.34975648796814</c:v>
                      </c:pt>
                      <c:pt idx="6">
                        <c:v>281.94375913829543</c:v>
                      </c:pt>
                      <c:pt idx="7">
                        <c:v>330.67983121071359</c:v>
                      </c:pt>
                      <c:pt idx="8">
                        <c:v>385.90440449659718</c:v>
                      </c:pt>
                      <c:pt idx="9">
                        <c:v>447.86898782108096</c:v>
                      </c:pt>
                      <c:pt idx="10">
                        <c:v>516.78880810624094</c:v>
                      </c:pt>
                      <c:pt idx="11">
                        <c:v>592.98495989199921</c:v>
                      </c:pt>
                      <c:pt idx="12" formatCode="0.0">
                        <c:v>677.13771119975604</c:v>
                      </c:pt>
                      <c:pt idx="13" formatCode="0.0">
                        <c:v>770.6874034026057</c:v>
                      </c:pt>
                      <c:pt idx="14" formatCode="0.0">
                        <c:v>876.46638103362</c:v>
                      </c:pt>
                      <c:pt idx="15" formatCode="0.0">
                        <c:v>999.79533988087155</c:v>
                      </c:pt>
                      <c:pt idx="16" formatCode="0.0">
                        <c:v>1150.7144173303484</c:v>
                      </c:pt>
                      <c:pt idx="17" formatCode="0.0">
                        <c:v>1349.4464566835168</c:v>
                      </c:pt>
                      <c:pt idx="18" formatCode="0.0">
                        <c:v>1643.1351841826222</c:v>
                      </c:pt>
                      <c:pt idx="19" formatCode="0.0">
                        <c:v>2178.7797980217856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625-44A3-8D63-F7E4864EDEA5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2"/>
          <c:order val="2"/>
          <c:tx>
            <c:v>Q single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'rCav .05'!$B$6:$U$6</c:f>
              <c:numCache>
                <c:formatCode>0.00E+00</c:formatCode>
                <c:ptCount val="20"/>
                <c:pt idx="0">
                  <c:v>1.5877224526913882E-4</c:v>
                </c:pt>
                <c:pt idx="1">
                  <c:v>2.2770321555273546E-4</c:v>
                </c:pt>
                <c:pt idx="2">
                  <c:v>3.2656056658495559E-4</c:v>
                </c:pt>
                <c:pt idx="3">
                  <c:v>4.6833683656781407E-4</c:v>
                </c:pt>
                <c:pt idx="4">
                  <c:v>6.7166527416373056E-4</c:v>
                </c:pt>
                <c:pt idx="5">
                  <c:v>9.632687529419142E-4</c:v>
                </c:pt>
                <c:pt idx="6">
                  <c:v>1.3814718820316463E-3</c:v>
                </c:pt>
                <c:pt idx="7">
                  <c:v>1.9812378996156856E-3</c:v>
                </c:pt>
                <c:pt idx="8">
                  <c:v>2.8413923337338356E-3</c:v>
                </c:pt>
                <c:pt idx="9">
                  <c:v>4.0749828154243804E-3</c:v>
                </c:pt>
                <c:pt idx="10">
                  <c:v>5.8441366047408752E-3</c:v>
                </c:pt>
                <c:pt idx="11">
                  <c:v>8.381368511689127E-3</c:v>
                </c:pt>
                <c:pt idx="12">
                  <c:v>1.2020139651038961E-2</c:v>
                </c:pt>
                <c:pt idx="13">
                  <c:v>1.7238683280537528E-2</c:v>
                </c:pt>
                <c:pt idx="14">
                  <c:v>2.4722857626782897E-2</c:v>
                </c:pt>
                <c:pt idx="15">
                  <c:v>3.5456286265450693E-2</c:v>
                </c:pt>
                <c:pt idx="16">
                  <c:v>5.0849632947596111E-2</c:v>
                </c:pt>
                <c:pt idx="17">
                  <c:v>7.2926001091794965E-2</c:v>
                </c:pt>
                <c:pt idx="18">
                  <c:v>0.10458682446579776</c:v>
                </c:pt>
                <c:pt idx="19" formatCode="General">
                  <c:v>0.14999319430762387</c:v>
                </c:pt>
              </c:numCache>
              <c:extLst xmlns:c15="http://schemas.microsoft.com/office/drawing/2012/chart"/>
            </c:numRef>
          </c:xVal>
          <c:yVal>
            <c:numRef>
              <c:f>'rCav .05'!$B$9:$U$9</c:f>
              <c:numCache>
                <c:formatCode>0</c:formatCode>
                <c:ptCount val="20"/>
                <c:pt idx="0">
                  <c:v>2570.513314087726</c:v>
                </c:pt>
                <c:pt idx="1">
                  <c:v>2801.3853264692084</c:v>
                </c:pt>
                <c:pt idx="2">
                  <c:v>3048.93168730549</c:v>
                </c:pt>
                <c:pt idx="3">
                  <c:v>3312.7602707224246</c:v>
                </c:pt>
                <c:pt idx="4">
                  <c:v>3591.8929881884819</c:v>
                </c:pt>
                <c:pt idx="5">
                  <c:v>3884.7012885446698</c:v>
                </c:pt>
                <c:pt idx="6">
                  <c:v>4188.9381036038458</c:v>
                </c:pt>
                <c:pt idx="7">
                  <c:v>4501.9199605495751</c:v>
                </c:pt>
                <c:pt idx="8">
                  <c:v>4820.8959756782551</c:v>
                </c:pt>
                <c:pt idx="9">
                  <c:v>5143.5994265957415</c:v>
                </c:pt>
                <c:pt idx="10">
                  <c:v>5468.9275241672003</c:v>
                </c:pt>
                <c:pt idx="11">
                  <c:v>5797.6708558671662</c:v>
                </c:pt>
                <c:pt idx="12">
                  <c:v>6133.2553514739329</c:v>
                </c:pt>
                <c:pt idx="13">
                  <c:v>6482.5917441206066</c:v>
                </c:pt>
                <c:pt idx="14">
                  <c:v>6857.3753405076468</c:v>
                </c:pt>
                <c:pt idx="15">
                  <c:v>7276.660694294078</c:v>
                </c:pt>
                <c:pt idx="16">
                  <c:v>7772.7582888253692</c:v>
                </c:pt>
                <c:pt idx="17">
                  <c:v>8406.5737568790919</c:v>
                </c:pt>
                <c:pt idx="18">
                  <c:v>9316.4408063036408</c:v>
                </c:pt>
                <c:pt idx="19">
                  <c:v>10947.908934606487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625-44A3-8D63-F7E4864EDEA5}"/>
            </c:ext>
          </c:extLst>
        </c:ser>
        <c:ser>
          <c:idx val="3"/>
          <c:order val="3"/>
          <c:tx>
            <c:v>Q double</c:v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'rCav .05'!$B$6:$U$6</c:f>
              <c:numCache>
                <c:formatCode>0.00E+00</c:formatCode>
                <c:ptCount val="20"/>
                <c:pt idx="0">
                  <c:v>1.5877224526913882E-4</c:v>
                </c:pt>
                <c:pt idx="1">
                  <c:v>2.2770321555273546E-4</c:v>
                </c:pt>
                <c:pt idx="2">
                  <c:v>3.2656056658495559E-4</c:v>
                </c:pt>
                <c:pt idx="3">
                  <c:v>4.6833683656781407E-4</c:v>
                </c:pt>
                <c:pt idx="4">
                  <c:v>6.7166527416373056E-4</c:v>
                </c:pt>
                <c:pt idx="5">
                  <c:v>9.632687529419142E-4</c:v>
                </c:pt>
                <c:pt idx="6">
                  <c:v>1.3814718820316463E-3</c:v>
                </c:pt>
                <c:pt idx="7">
                  <c:v>1.9812378996156856E-3</c:v>
                </c:pt>
                <c:pt idx="8">
                  <c:v>2.8413923337338356E-3</c:v>
                </c:pt>
                <c:pt idx="9">
                  <c:v>4.0749828154243804E-3</c:v>
                </c:pt>
                <c:pt idx="10">
                  <c:v>5.8441366047408752E-3</c:v>
                </c:pt>
                <c:pt idx="11">
                  <c:v>8.381368511689127E-3</c:v>
                </c:pt>
                <c:pt idx="12">
                  <c:v>1.2020139651038961E-2</c:v>
                </c:pt>
                <c:pt idx="13">
                  <c:v>1.7238683280537528E-2</c:v>
                </c:pt>
                <c:pt idx="14">
                  <c:v>2.4722857626782897E-2</c:v>
                </c:pt>
                <c:pt idx="15">
                  <c:v>3.5456286265450693E-2</c:v>
                </c:pt>
                <c:pt idx="16">
                  <c:v>5.0849632947596111E-2</c:v>
                </c:pt>
                <c:pt idx="17">
                  <c:v>7.2926001091794965E-2</c:v>
                </c:pt>
                <c:pt idx="18">
                  <c:v>0.10458682446579776</c:v>
                </c:pt>
                <c:pt idx="19" formatCode="General">
                  <c:v>0.14999319430762387</c:v>
                </c:pt>
              </c:numCache>
              <c:extLst xmlns:c15="http://schemas.microsoft.com/office/drawing/2012/chart"/>
            </c:numRef>
          </c:xVal>
          <c:yVal>
            <c:numRef>
              <c:f>'rCav .05'!$B$10:$U$10</c:f>
              <c:numCache>
                <c:formatCode>0</c:formatCode>
                <c:ptCount val="20"/>
                <c:pt idx="0">
                  <c:v>2585.4779503376126</c:v>
                </c:pt>
                <c:pt idx="1">
                  <c:v>2823.3383671823267</c:v>
                </c:pt>
                <c:pt idx="2">
                  <c:v>3080.8814245301987</c:v>
                </c:pt>
                <c:pt idx="3">
                  <c:v>3358.8095696772111</c:v>
                </c:pt>
                <c:pt idx="4">
                  <c:v>3657.487666796555</c:v>
                </c:pt>
                <c:pt idx="5">
                  <c:v>3976.8295132444728</c:v>
                </c:pt>
                <c:pt idx="6">
                  <c:v>4316.2015972540039</c:v>
                </c:pt>
                <c:pt idx="7">
                  <c:v>4674.383408806867</c:v>
                </c:pt>
                <c:pt idx="8">
                  <c:v>5049.6391683639413</c:v>
                </c:pt>
                <c:pt idx="9">
                  <c:v>5439.9633503376244</c:v>
                </c:pt>
                <c:pt idx="10">
                  <c:v>5843.5535474877315</c:v>
                </c:pt>
                <c:pt idx="11">
                  <c:v>6259.5385345332315</c:v>
                </c:pt>
                <c:pt idx="12">
                  <c:v>6688.9658515407646</c:v>
                </c:pt>
                <c:pt idx="13">
                  <c:v>7136.0783306552639</c:v>
                </c:pt>
                <c:pt idx="14">
                  <c:v>7610.060498819912</c:v>
                </c:pt>
                <c:pt idx="15">
                  <c:v>8127.8565910259513</c:v>
                </c:pt>
                <c:pt idx="16">
                  <c:v>8719.7544521555919</c:v>
                </c:pt>
                <c:pt idx="17">
                  <c:v>9442.7459796373059</c:v>
                </c:pt>
                <c:pt idx="18">
                  <c:v>10419.745841971479</c:v>
                </c:pt>
                <c:pt idx="19">
                  <c:v>11998.505310854545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3-6625-44A3-8D63-F7E4864ED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188880"/>
        <c:axId val="1388198032"/>
        <c:extLst/>
      </c:scatterChart>
      <c:valAx>
        <c:axId val="921843215"/>
        <c:scaling>
          <c:logBase val="10"/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0" baseline="0"/>
                  <a:t>Gap d, meters</a:t>
                </a:r>
              </a:p>
            </c:rich>
          </c:tx>
          <c:layout>
            <c:manualLayout>
              <c:xMode val="edge"/>
              <c:yMode val="edge"/>
              <c:x val="0.46529195132196932"/>
              <c:y val="0.90930039040435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850287"/>
        <c:crosses val="autoZero"/>
        <c:crossBetween val="midCat"/>
      </c:valAx>
      <c:valAx>
        <c:axId val="921850287"/>
        <c:scaling>
          <c:logBase val="10"/>
          <c:orientation val="minMax"/>
          <c:max val="140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0" baseline="0"/>
                  <a:t>Quality Factor Q</a:t>
                </a:r>
              </a:p>
            </c:rich>
          </c:tx>
          <c:layout>
            <c:manualLayout>
              <c:xMode val="edge"/>
              <c:yMode val="edge"/>
              <c:x val="2.197802197802198E-2"/>
              <c:y val="0.357248190796959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out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843215"/>
        <c:crosses val="autoZero"/>
        <c:crossBetween val="midCat"/>
        <c:majorUnit val="1000"/>
      </c:valAx>
      <c:valAx>
        <c:axId val="1388198032"/>
        <c:scaling>
          <c:logBase val="10"/>
          <c:orientation val="minMax"/>
          <c:max val="12000"/>
        </c:scaling>
        <c:delete val="1"/>
        <c:axPos val="r"/>
        <c:numFmt formatCode="0" sourceLinked="1"/>
        <c:majorTickMark val="out"/>
        <c:minorTickMark val="none"/>
        <c:tickLblPos val="nextTo"/>
        <c:crossAx val="1388188880"/>
        <c:crosses val="max"/>
        <c:crossBetween val="midCat"/>
      </c:valAx>
      <c:valAx>
        <c:axId val="1388188880"/>
        <c:scaling>
          <c:logBase val="10"/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1388198032"/>
        <c:crosses val="autoZero"/>
        <c:crossBetween val="midCat"/>
      </c:valAx>
      <c:spPr>
        <a:noFill/>
        <a:ln>
          <a:solidFill>
            <a:srgbClr val="00B0F0"/>
          </a:solidFill>
        </a:ln>
        <a:effectLst/>
      </c:spPr>
    </c:plotArea>
    <c:legend>
      <c:legendPos val="b"/>
      <c:layout>
        <c:manualLayout>
          <c:xMode val="edge"/>
          <c:yMode val="edge"/>
          <c:x val="0.4568178016209512"/>
          <c:y val="0.54127822172517448"/>
          <c:w val="0.3311590378125811"/>
          <c:h val="0.142788654308384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rgbClr val="00B0F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/>
              <a:t>Re-entrant cylindrical cavity: single post and double symmetric posts: log/log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Calculations!$A$14</c:f>
              <c:strCache>
                <c:ptCount val="1"/>
                <c:pt idx="0">
                  <c:v>f0 single, MHz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Calculations!$B$13:$U$13</c:f>
              <c:numCache>
                <c:formatCode>0.00E+00</c:formatCode>
                <c:ptCount val="20"/>
                <c:pt idx="0">
                  <c:v>1.52231844552102E-5</c:v>
                </c:pt>
                <c:pt idx="1">
                  <c:v>2.3814997996478789E-5</c:v>
                </c:pt>
                <c:pt idx="2">
                  <c:v>3.7255945445644112E-5</c:v>
                </c:pt>
                <c:pt idx="3">
                  <c:v>5.8282829637610573E-5</c:v>
                </c:pt>
                <c:pt idx="4">
                  <c:v>9.1177077643157608E-5</c:v>
                </c:pt>
                <c:pt idx="5">
                  <c:v>1.4263651128876815E-4</c:v>
                </c:pt>
                <c:pt idx="6">
                  <c:v>2.2313913626686288E-4</c:v>
                </c:pt>
                <c:pt idx="7">
                  <c:v>3.4907664022376E-4</c:v>
                </c:pt>
                <c:pt idx="8">
                  <c:v>5.4609201589889047E-4</c:v>
                </c:pt>
                <c:pt idx="9">
                  <c:v>8.5430090548985367E-4</c:v>
                </c:pt>
                <c:pt idx="10">
                  <c:v>1.3364598197237016E-3</c:v>
                </c:pt>
                <c:pt idx="11">
                  <c:v>2.0907444183402217E-3</c:v>
                </c:pt>
                <c:pt idx="12">
                  <c:v>3.2707397246888367E-3</c:v>
                </c:pt>
                <c:pt idx="13">
                  <c:v>5.1167126181545499E-3</c:v>
                </c:pt>
                <c:pt idx="14">
                  <c:v>8.0045342095426773E-3</c:v>
                </c:pt>
                <c:pt idx="15">
                  <c:v>1.2522213517406441E-2</c:v>
                </c:pt>
                <c:pt idx="16">
                  <c:v>1.9589625988302869E-2</c:v>
                </c:pt>
                <c:pt idx="17">
                  <c:v>3.0645815600265608E-2</c:v>
                </c:pt>
                <c:pt idx="18">
                  <c:v>4.7942008406197591E-2</c:v>
                </c:pt>
                <c:pt idx="19">
                  <c:v>7.4999999999999997E-2</c:v>
                </c:pt>
              </c:numCache>
            </c:numRef>
          </c:xVal>
          <c:yVal>
            <c:numRef>
              <c:f>Calculations!$B$14:$U$14</c:f>
              <c:numCache>
                <c:formatCode>0.00</c:formatCode>
                <c:ptCount val="20"/>
                <c:pt idx="0">
                  <c:v>99.581059907908198</c:v>
                </c:pt>
                <c:pt idx="1">
                  <c:v>124.04639881165591</c:v>
                </c:pt>
                <c:pt idx="2">
                  <c:v>154.23539067647496</c:v>
                </c:pt>
                <c:pt idx="3">
                  <c:v>191.26628369135315</c:v>
                </c:pt>
                <c:pt idx="4">
                  <c:v>236.31701936510365</c:v>
                </c:pt>
                <c:pt idx="5">
                  <c:v>290.51712831812489</c:v>
                </c:pt>
                <c:pt idx="6">
                  <c:v>354.78059737723709</c:v>
                </c:pt>
                <c:pt idx="7">
                  <c:v>429.59765593396952</c:v>
                </c:pt>
                <c:pt idx="8">
                  <c:v>514.85084611945899</c:v>
                </c:pt>
                <c:pt idx="9">
                  <c:v>609.77392508643038</c:v>
                </c:pt>
                <c:pt idx="10">
                  <c:v>713.18505949919893</c:v>
                </c:pt>
                <c:pt idx="11">
                  <c:v>824.05210967873688</c:v>
                </c:pt>
                <c:pt idx="12" formatCode="0.0">
                  <c:v>942.31584033586614</c:v>
                </c:pt>
                <c:pt idx="13" formatCode="0.0">
                  <c:v>1069.8414300319978</c:v>
                </c:pt>
                <c:pt idx="14" formatCode="0.0">
                  <c:v>1211.5382296091946</c:v>
                </c:pt>
                <c:pt idx="15" formatCode="0.0">
                  <c:v>1377.1747602339026</c:v>
                </c:pt>
                <c:pt idx="16" formatCode="0.0">
                  <c:v>1585.5547984575198</c:v>
                </c:pt>
                <c:pt idx="17" formatCode="0.0">
                  <c:v>1876.5271233777935</c:v>
                </c:pt>
                <c:pt idx="18" formatCode="0.0">
                  <c:v>2355.6058045990421</c:v>
                </c:pt>
                <c:pt idx="19" formatCode="0.0">
                  <c:v>3473.9432076150269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6B-46DE-AE13-713C673E3ACA}"/>
            </c:ext>
          </c:extLst>
        </c:ser>
        <c:ser>
          <c:idx val="1"/>
          <c:order val="1"/>
          <c:tx>
            <c:strRef>
              <c:f>Calculations!$A$15</c:f>
              <c:strCache>
                <c:ptCount val="1"/>
                <c:pt idx="0">
                  <c:v>f0 double, MHz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Calculations!$B$13:$U$13</c:f>
              <c:numCache>
                <c:formatCode>0.00E+00</c:formatCode>
                <c:ptCount val="20"/>
                <c:pt idx="0">
                  <c:v>1.52231844552102E-5</c:v>
                </c:pt>
                <c:pt idx="1">
                  <c:v>2.3814997996478789E-5</c:v>
                </c:pt>
                <c:pt idx="2">
                  <c:v>3.7255945445644112E-5</c:v>
                </c:pt>
                <c:pt idx="3">
                  <c:v>5.8282829637610573E-5</c:v>
                </c:pt>
                <c:pt idx="4">
                  <c:v>9.1177077643157608E-5</c:v>
                </c:pt>
                <c:pt idx="5">
                  <c:v>1.4263651128876815E-4</c:v>
                </c:pt>
                <c:pt idx="6">
                  <c:v>2.2313913626686288E-4</c:v>
                </c:pt>
                <c:pt idx="7">
                  <c:v>3.4907664022376E-4</c:v>
                </c:pt>
                <c:pt idx="8">
                  <c:v>5.4609201589889047E-4</c:v>
                </c:pt>
                <c:pt idx="9">
                  <c:v>8.5430090548985367E-4</c:v>
                </c:pt>
                <c:pt idx="10">
                  <c:v>1.3364598197237016E-3</c:v>
                </c:pt>
                <c:pt idx="11">
                  <c:v>2.0907444183402217E-3</c:v>
                </c:pt>
                <c:pt idx="12">
                  <c:v>3.2707397246888367E-3</c:v>
                </c:pt>
                <c:pt idx="13">
                  <c:v>5.1167126181545499E-3</c:v>
                </c:pt>
                <c:pt idx="14">
                  <c:v>8.0045342095426773E-3</c:v>
                </c:pt>
                <c:pt idx="15">
                  <c:v>1.2522213517406441E-2</c:v>
                </c:pt>
                <c:pt idx="16">
                  <c:v>1.9589625988302869E-2</c:v>
                </c:pt>
                <c:pt idx="17">
                  <c:v>3.0645815600265608E-2</c:v>
                </c:pt>
                <c:pt idx="18">
                  <c:v>4.7942008406197591E-2</c:v>
                </c:pt>
                <c:pt idx="19">
                  <c:v>7.4999999999999997E-2</c:v>
                </c:pt>
              </c:numCache>
            </c:numRef>
          </c:xVal>
          <c:yVal>
            <c:numRef>
              <c:f>Calculations!$B$15:$U$15</c:f>
              <c:numCache>
                <c:formatCode>0.00</c:formatCode>
                <c:ptCount val="20"/>
                <c:pt idx="0">
                  <c:v>99.999958366415441</c:v>
                </c:pt>
                <c:pt idx="1">
                  <c:v>124.81711784949285</c:v>
                </c:pt>
                <c:pt idx="2">
                  <c:v>155.64334251326039</c:v>
                </c:pt>
                <c:pt idx="3">
                  <c:v>193.81460908354069</c:v>
                </c:pt>
                <c:pt idx="4">
                  <c:v>240.87385441304201</c:v>
                </c:pt>
                <c:pt idx="5">
                  <c:v>298.53788298640444</c:v>
                </c:pt>
                <c:pt idx="6">
                  <c:v>368.61367255647497</c:v>
                </c:pt>
                <c:pt idx="7">
                  <c:v>452.84760874771359</c:v>
                </c:pt>
                <c:pt idx="8">
                  <c:v>552.70860619456926</c:v>
                </c:pt>
                <c:pt idx="9">
                  <c:v>669.14914412390101</c:v>
                </c:pt>
                <c:pt idx="10">
                  <c:v>802.45698234274755</c:v>
                </c:pt>
                <c:pt idx="11">
                  <c:v>952.37650555060588</c:v>
                </c:pt>
                <c:pt idx="12" formatCode="0.0">
                  <c:v>1118.6866678625126</c:v>
                </c:pt>
                <c:pt idx="13" formatCode="0.0">
                  <c:v>1302.347340016091</c:v>
                </c:pt>
                <c:pt idx="14" formatCode="0.0">
                  <c:v>1507.2727804114079</c:v>
                </c:pt>
                <c:pt idx="15" formatCode="0.0">
                  <c:v>1743.0481345435082</c:v>
                </c:pt>
                <c:pt idx="16" formatCode="0.0">
                  <c:v>2030.0336681224935</c:v>
                </c:pt>
                <c:pt idx="17" formatCode="0.0">
                  <c:v>2412.178883255559</c:v>
                </c:pt>
                <c:pt idx="18" formatCode="0.0">
                  <c:v>3000.2074026552127</c:v>
                </c:pt>
                <c:pt idx="19" formatCode="0.0">
                  <c:v>4198.1474079675199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6B-46DE-AE13-713C673E3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843215"/>
        <c:axId val="921850287"/>
      </c:scatterChart>
      <c:valAx>
        <c:axId val="921843215"/>
        <c:scaling>
          <c:logBase val="10"/>
          <c:orientation val="minMax"/>
          <c:max val="0.1"/>
          <c:min val="1.0000000000000004E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0" baseline="0"/>
                  <a:t>Gap, meters</a:t>
                </a:r>
              </a:p>
            </c:rich>
          </c:tx>
          <c:layout>
            <c:manualLayout>
              <c:xMode val="edge"/>
              <c:yMode val="edge"/>
              <c:x val="0.46529195132196932"/>
              <c:y val="0.90930039040435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850287"/>
        <c:crosses val="autoZero"/>
        <c:crossBetween val="midCat"/>
        <c:majorUnit val="2.5000000000000005E-3"/>
      </c:valAx>
      <c:valAx>
        <c:axId val="921850287"/>
        <c:scaling>
          <c:logBase val="10"/>
          <c:orientation val="minMax"/>
          <c:max val="1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0" baseline="0"/>
                  <a:t>Frequency, MHz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843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228766523367324"/>
          <c:y val="0.34812752064528518"/>
          <c:w val="0.27257596861764122"/>
          <c:h val="3.81876399869568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 Floch et al single gap reentrant cavity,  f &amp; Q vs 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01255248499344"/>
          <c:y val="0.12126711238459092"/>
          <c:w val="0.75865415471714681"/>
          <c:h val="0.725699766556825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Calculations!$A$200</c:f>
              <c:strCache>
                <c:ptCount val="1"/>
                <c:pt idx="0">
                  <c:v>f0, MHz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Calculations!$B$199:$I$199</c:f>
              <c:numCache>
                <c:formatCode>0.00E+00</c:formatCode>
                <c:ptCount val="8"/>
                <c:pt idx="0">
                  <c:v>7.1788209206818773E-7</c:v>
                </c:pt>
                <c:pt idx="1">
                  <c:v>2.9893746493689502E-6</c:v>
                </c:pt>
                <c:pt idx="2">
                  <c:v>5.0579999999999997E-6</c:v>
                </c:pt>
                <c:pt idx="3">
                  <c:v>7.311E-6</c:v>
                </c:pt>
                <c:pt idx="4">
                  <c:v>1.0000000000000001E-5</c:v>
                </c:pt>
                <c:pt idx="5">
                  <c:v>2.3590291208827973E-5</c:v>
                </c:pt>
                <c:pt idx="6">
                  <c:v>7.2559384958388213E-5</c:v>
                </c:pt>
                <c:pt idx="7">
                  <c:v>2.7208230127978431E-4</c:v>
                </c:pt>
              </c:numCache>
            </c:numRef>
          </c:xVal>
          <c:yVal>
            <c:numRef>
              <c:f>Calculations!$B$200:$I$200</c:f>
              <c:numCache>
                <c:formatCode>0.00E+00</c:formatCode>
                <c:ptCount val="8"/>
                <c:pt idx="0">
                  <c:v>2000.0000017447796</c:v>
                </c:pt>
                <c:pt idx="1">
                  <c:v>3999.9999969551395</c:v>
                </c:pt>
                <c:pt idx="2">
                  <c:v>5122.3957816263455</c:v>
                </c:pt>
                <c:pt idx="3">
                  <c:v>6064.5143524338318</c:v>
                </c:pt>
                <c:pt idx="4">
                  <c:v>6974.7729572454091</c:v>
                </c:pt>
                <c:pt idx="5">
                  <c:v>9999.9999689947672</c:v>
                </c:pt>
                <c:pt idx="6">
                  <c:v>14999.999182642636</c:v>
                </c:pt>
                <c:pt idx="7">
                  <c:v>21999.999465291348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F6-4A1C-8E02-C1A9ED9A6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497791"/>
        <c:axId val="919517759"/>
      </c:scatterChart>
      <c:scatterChart>
        <c:scatterStyle val="smoothMarker"/>
        <c:varyColors val="0"/>
        <c:ser>
          <c:idx val="1"/>
          <c:order val="1"/>
          <c:tx>
            <c:strRef>
              <c:f>Calculations!$A$201</c:f>
              <c:strCache>
                <c:ptCount val="1"/>
                <c:pt idx="0">
                  <c:v>Q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Calculations!$B$199:$I$199</c:f>
              <c:numCache>
                <c:formatCode>0.00E+00</c:formatCode>
                <c:ptCount val="8"/>
                <c:pt idx="0">
                  <c:v>7.1788209206818773E-7</c:v>
                </c:pt>
                <c:pt idx="1">
                  <c:v>2.9893746493689502E-6</c:v>
                </c:pt>
                <c:pt idx="2">
                  <c:v>5.0579999999999997E-6</c:v>
                </c:pt>
                <c:pt idx="3">
                  <c:v>7.311E-6</c:v>
                </c:pt>
                <c:pt idx="4">
                  <c:v>1.0000000000000001E-5</c:v>
                </c:pt>
                <c:pt idx="5">
                  <c:v>2.3590291208827973E-5</c:v>
                </c:pt>
                <c:pt idx="6">
                  <c:v>7.2559384958388213E-5</c:v>
                </c:pt>
                <c:pt idx="7">
                  <c:v>2.7208230127978431E-4</c:v>
                </c:pt>
              </c:numCache>
            </c:numRef>
          </c:xVal>
          <c:yVal>
            <c:numRef>
              <c:f>Calculations!$B$201:$I$201</c:f>
              <c:numCache>
                <c:formatCode>0.0</c:formatCode>
                <c:ptCount val="8"/>
                <c:pt idx="0">
                  <c:v>427.68159032274963</c:v>
                </c:pt>
                <c:pt idx="1">
                  <c:v>604.83310491769726</c:v>
                </c:pt>
                <c:pt idx="2">
                  <c:v>684.45062419613907</c:v>
                </c:pt>
                <c:pt idx="3">
                  <c:v>744.7380999278505</c:v>
                </c:pt>
                <c:pt idx="4">
                  <c:v>798.67592942506496</c:v>
                </c:pt>
                <c:pt idx="5">
                  <c:v>956.32510678718609</c:v>
                </c:pt>
                <c:pt idx="6">
                  <c:v>1171.2542398252601</c:v>
                </c:pt>
                <c:pt idx="7">
                  <c:v>1418.4593469865454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F6-4A1C-8E02-C1A9ED9A6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536063"/>
        <c:axId val="919517343"/>
      </c:scatterChart>
      <c:valAx>
        <c:axId val="919497791"/>
        <c:scaling>
          <c:orientation val="minMax"/>
          <c:max val="3.0000000000000008E-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n>
                      <a:noFill/>
                    </a:ln>
                    <a:solidFill>
                      <a:schemeClr val="tx1"/>
                    </a:solidFill>
                  </a:rPr>
                  <a:t>Gap, m</a:t>
                </a:r>
              </a:p>
            </c:rich>
          </c:tx>
          <c:overlay val="0"/>
          <c:spPr>
            <a:noFill/>
            <a:ln>
              <a:solidFill>
                <a:schemeClr val="accent2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517759"/>
        <c:crosses val="autoZero"/>
        <c:crossBetween val="midCat"/>
        <c:majorUnit val="4.0000000000000017E-5"/>
        <c:minorUnit val="2.0000000000000008E-6"/>
      </c:valAx>
      <c:valAx>
        <c:axId val="919517759"/>
        <c:scaling>
          <c:orientation val="minMax"/>
          <c:max val="2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Frequency, MHz</a:t>
                </a:r>
              </a:p>
            </c:rich>
          </c:tx>
          <c:overlay val="0"/>
          <c:spPr>
            <a:noFill/>
            <a:ln>
              <a:solidFill>
                <a:schemeClr val="accent5">
                  <a:lumMod val="50000"/>
                </a:schemeClr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497791"/>
        <c:crosses val="autoZero"/>
        <c:crossBetween val="midCat"/>
        <c:majorUnit val="2500"/>
      </c:valAx>
      <c:valAx>
        <c:axId val="91951734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accent4">
                        <a:lumMod val="50000"/>
                      </a:schemeClr>
                    </a:solidFill>
                  </a:rPr>
                  <a:t>Quality Factor Q</a:t>
                </a:r>
              </a:p>
            </c:rich>
          </c:tx>
          <c:overlay val="0"/>
          <c:spPr>
            <a:noFill/>
            <a:ln>
              <a:solidFill>
                <a:schemeClr val="accent2">
                  <a:lumMod val="50000"/>
                </a:schemeClr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accent4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4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536063"/>
        <c:crosses val="max"/>
        <c:crossBetween val="midCat"/>
      </c:valAx>
      <c:valAx>
        <c:axId val="919536063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919517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8177356208852273"/>
          <c:y val="0.48879848074281473"/>
          <c:w val="0.21234305171313045"/>
          <c:h val="5.36228729273473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/>
              <a:t>Re-entrant cylindrical cavity: single post and double equal posts, low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09189235960891"/>
          <c:y val="9.5375722543352595E-2"/>
          <c:w val="0.7612027342736003"/>
          <c:h val="0.7194373102206155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Calculations!$A$14</c:f>
              <c:strCache>
                <c:ptCount val="1"/>
                <c:pt idx="0">
                  <c:v>f0 single, MHz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Calculations!$B$13:$U$13</c:f>
              <c:numCache>
                <c:formatCode>0.00E+00</c:formatCode>
                <c:ptCount val="20"/>
                <c:pt idx="0">
                  <c:v>1.52231844552102E-5</c:v>
                </c:pt>
                <c:pt idx="1">
                  <c:v>2.3814997996478789E-5</c:v>
                </c:pt>
                <c:pt idx="2">
                  <c:v>3.7255945445644112E-5</c:v>
                </c:pt>
                <c:pt idx="3">
                  <c:v>5.8282829637610573E-5</c:v>
                </c:pt>
                <c:pt idx="4">
                  <c:v>9.1177077643157608E-5</c:v>
                </c:pt>
                <c:pt idx="5">
                  <c:v>1.4263651128876815E-4</c:v>
                </c:pt>
                <c:pt idx="6">
                  <c:v>2.2313913626686288E-4</c:v>
                </c:pt>
                <c:pt idx="7">
                  <c:v>3.4907664022376E-4</c:v>
                </c:pt>
                <c:pt idx="8">
                  <c:v>5.4609201589889047E-4</c:v>
                </c:pt>
                <c:pt idx="9">
                  <c:v>8.5430090548985367E-4</c:v>
                </c:pt>
                <c:pt idx="10">
                  <c:v>1.3364598197237016E-3</c:v>
                </c:pt>
                <c:pt idx="11">
                  <c:v>2.0907444183402217E-3</c:v>
                </c:pt>
                <c:pt idx="12">
                  <c:v>3.2707397246888367E-3</c:v>
                </c:pt>
                <c:pt idx="13">
                  <c:v>5.1167126181545499E-3</c:v>
                </c:pt>
                <c:pt idx="14">
                  <c:v>8.0045342095426773E-3</c:v>
                </c:pt>
                <c:pt idx="15">
                  <c:v>1.2522213517406441E-2</c:v>
                </c:pt>
                <c:pt idx="16">
                  <c:v>1.9589625988302869E-2</c:v>
                </c:pt>
                <c:pt idx="17">
                  <c:v>3.0645815600265608E-2</c:v>
                </c:pt>
                <c:pt idx="18">
                  <c:v>4.7942008406197591E-2</c:v>
                </c:pt>
                <c:pt idx="19">
                  <c:v>7.4999999999999997E-2</c:v>
                </c:pt>
              </c:numCache>
            </c:numRef>
          </c:xVal>
          <c:yVal>
            <c:numRef>
              <c:f>Calculations!$B$14:$U$14</c:f>
              <c:numCache>
                <c:formatCode>0.00</c:formatCode>
                <c:ptCount val="20"/>
                <c:pt idx="0">
                  <c:v>99.581059907908198</c:v>
                </c:pt>
                <c:pt idx="1">
                  <c:v>124.04639881165591</c:v>
                </c:pt>
                <c:pt idx="2">
                  <c:v>154.23539067647496</c:v>
                </c:pt>
                <c:pt idx="3">
                  <c:v>191.26628369135315</c:v>
                </c:pt>
                <c:pt idx="4">
                  <c:v>236.31701936510365</c:v>
                </c:pt>
                <c:pt idx="5">
                  <c:v>290.51712831812489</c:v>
                </c:pt>
                <c:pt idx="6">
                  <c:v>354.78059737723709</c:v>
                </c:pt>
                <c:pt idx="7">
                  <c:v>429.59765593396952</c:v>
                </c:pt>
                <c:pt idx="8">
                  <c:v>514.85084611945899</c:v>
                </c:pt>
                <c:pt idx="9">
                  <c:v>609.77392508643038</c:v>
                </c:pt>
                <c:pt idx="10">
                  <c:v>713.18505949919893</c:v>
                </c:pt>
                <c:pt idx="11">
                  <c:v>824.05210967873688</c:v>
                </c:pt>
                <c:pt idx="12" formatCode="0.0">
                  <c:v>942.31584033586614</c:v>
                </c:pt>
                <c:pt idx="13" formatCode="0.0">
                  <c:v>1069.8414300319978</c:v>
                </c:pt>
                <c:pt idx="14" formatCode="0.0">
                  <c:v>1211.5382296091946</c:v>
                </c:pt>
                <c:pt idx="15" formatCode="0.0">
                  <c:v>1377.1747602339026</c:v>
                </c:pt>
                <c:pt idx="16" formatCode="0.0">
                  <c:v>1585.5547984575198</c:v>
                </c:pt>
                <c:pt idx="17" formatCode="0.0">
                  <c:v>1876.5271233777935</c:v>
                </c:pt>
                <c:pt idx="18" formatCode="0.0">
                  <c:v>2355.6058045990421</c:v>
                </c:pt>
                <c:pt idx="19" formatCode="0.0">
                  <c:v>3473.9432076150269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78-443B-A5E4-E19352533C15}"/>
            </c:ext>
          </c:extLst>
        </c:ser>
        <c:ser>
          <c:idx val="1"/>
          <c:order val="1"/>
          <c:tx>
            <c:strRef>
              <c:f>Calculations!$A$15</c:f>
              <c:strCache>
                <c:ptCount val="1"/>
                <c:pt idx="0">
                  <c:v>f0 double, MHz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Calculations!$B$13:$U$13</c:f>
              <c:numCache>
                <c:formatCode>0.00E+00</c:formatCode>
                <c:ptCount val="20"/>
                <c:pt idx="0">
                  <c:v>1.52231844552102E-5</c:v>
                </c:pt>
                <c:pt idx="1">
                  <c:v>2.3814997996478789E-5</c:v>
                </c:pt>
                <c:pt idx="2">
                  <c:v>3.7255945445644112E-5</c:v>
                </c:pt>
                <c:pt idx="3">
                  <c:v>5.8282829637610573E-5</c:v>
                </c:pt>
                <c:pt idx="4">
                  <c:v>9.1177077643157608E-5</c:v>
                </c:pt>
                <c:pt idx="5">
                  <c:v>1.4263651128876815E-4</c:v>
                </c:pt>
                <c:pt idx="6">
                  <c:v>2.2313913626686288E-4</c:v>
                </c:pt>
                <c:pt idx="7">
                  <c:v>3.4907664022376E-4</c:v>
                </c:pt>
                <c:pt idx="8">
                  <c:v>5.4609201589889047E-4</c:v>
                </c:pt>
                <c:pt idx="9">
                  <c:v>8.5430090548985367E-4</c:v>
                </c:pt>
                <c:pt idx="10">
                  <c:v>1.3364598197237016E-3</c:v>
                </c:pt>
                <c:pt idx="11">
                  <c:v>2.0907444183402217E-3</c:v>
                </c:pt>
                <c:pt idx="12">
                  <c:v>3.2707397246888367E-3</c:v>
                </c:pt>
                <c:pt idx="13">
                  <c:v>5.1167126181545499E-3</c:v>
                </c:pt>
                <c:pt idx="14">
                  <c:v>8.0045342095426773E-3</c:v>
                </c:pt>
                <c:pt idx="15">
                  <c:v>1.2522213517406441E-2</c:v>
                </c:pt>
                <c:pt idx="16">
                  <c:v>1.9589625988302869E-2</c:v>
                </c:pt>
                <c:pt idx="17">
                  <c:v>3.0645815600265608E-2</c:v>
                </c:pt>
                <c:pt idx="18">
                  <c:v>4.7942008406197591E-2</c:v>
                </c:pt>
                <c:pt idx="19">
                  <c:v>7.4999999999999997E-2</c:v>
                </c:pt>
              </c:numCache>
            </c:numRef>
          </c:xVal>
          <c:yVal>
            <c:numRef>
              <c:f>Calculations!$B$15:$U$15</c:f>
              <c:numCache>
                <c:formatCode>0.00</c:formatCode>
                <c:ptCount val="20"/>
                <c:pt idx="0">
                  <c:v>99.999958366415441</c:v>
                </c:pt>
                <c:pt idx="1">
                  <c:v>124.81711784949285</c:v>
                </c:pt>
                <c:pt idx="2">
                  <c:v>155.64334251326039</c:v>
                </c:pt>
                <c:pt idx="3">
                  <c:v>193.81460908354069</c:v>
                </c:pt>
                <c:pt idx="4">
                  <c:v>240.87385441304201</c:v>
                </c:pt>
                <c:pt idx="5">
                  <c:v>298.53788298640444</c:v>
                </c:pt>
                <c:pt idx="6">
                  <c:v>368.61367255647497</c:v>
                </c:pt>
                <c:pt idx="7">
                  <c:v>452.84760874771359</c:v>
                </c:pt>
                <c:pt idx="8">
                  <c:v>552.70860619456926</c:v>
                </c:pt>
                <c:pt idx="9">
                  <c:v>669.14914412390101</c:v>
                </c:pt>
                <c:pt idx="10">
                  <c:v>802.45698234274755</c:v>
                </c:pt>
                <c:pt idx="11">
                  <c:v>952.37650555060588</c:v>
                </c:pt>
                <c:pt idx="12" formatCode="0.0">
                  <c:v>1118.6866678625126</c:v>
                </c:pt>
                <c:pt idx="13" formatCode="0.0">
                  <c:v>1302.347340016091</c:v>
                </c:pt>
                <c:pt idx="14" formatCode="0.0">
                  <c:v>1507.2727804114079</c:v>
                </c:pt>
                <c:pt idx="15" formatCode="0.0">
                  <c:v>1743.0481345435082</c:v>
                </c:pt>
                <c:pt idx="16" formatCode="0.0">
                  <c:v>2030.0336681224935</c:v>
                </c:pt>
                <c:pt idx="17" formatCode="0.0">
                  <c:v>2412.178883255559</c:v>
                </c:pt>
                <c:pt idx="18" formatCode="0.0">
                  <c:v>3000.2074026552127</c:v>
                </c:pt>
                <c:pt idx="19" formatCode="0.0">
                  <c:v>4198.1474079675199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78-443B-A5E4-E19352533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843215"/>
        <c:axId val="921850287"/>
      </c:scatterChart>
      <c:scatterChart>
        <c:scatterStyle val="smoothMarker"/>
        <c:varyColors val="0"/>
        <c:ser>
          <c:idx val="2"/>
          <c:order val="2"/>
          <c:tx>
            <c:v>Q single</c:v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Calculations!$B$13:$U$13</c:f>
              <c:numCache>
                <c:formatCode>0.00E+00</c:formatCode>
                <c:ptCount val="20"/>
                <c:pt idx="0">
                  <c:v>1.52231844552102E-5</c:v>
                </c:pt>
                <c:pt idx="1">
                  <c:v>2.3814997996478789E-5</c:v>
                </c:pt>
                <c:pt idx="2">
                  <c:v>3.7255945445644112E-5</c:v>
                </c:pt>
                <c:pt idx="3">
                  <c:v>5.8282829637610573E-5</c:v>
                </c:pt>
                <c:pt idx="4">
                  <c:v>9.1177077643157608E-5</c:v>
                </c:pt>
                <c:pt idx="5">
                  <c:v>1.4263651128876815E-4</c:v>
                </c:pt>
                <c:pt idx="6">
                  <c:v>2.2313913626686288E-4</c:v>
                </c:pt>
                <c:pt idx="7">
                  <c:v>3.4907664022376E-4</c:v>
                </c:pt>
                <c:pt idx="8">
                  <c:v>5.4609201589889047E-4</c:v>
                </c:pt>
                <c:pt idx="9">
                  <c:v>8.5430090548985367E-4</c:v>
                </c:pt>
                <c:pt idx="10">
                  <c:v>1.3364598197237016E-3</c:v>
                </c:pt>
                <c:pt idx="11">
                  <c:v>2.0907444183402217E-3</c:v>
                </c:pt>
                <c:pt idx="12">
                  <c:v>3.2707397246888367E-3</c:v>
                </c:pt>
                <c:pt idx="13">
                  <c:v>5.1167126181545499E-3</c:v>
                </c:pt>
                <c:pt idx="14">
                  <c:v>8.0045342095426773E-3</c:v>
                </c:pt>
                <c:pt idx="15">
                  <c:v>1.2522213517406441E-2</c:v>
                </c:pt>
                <c:pt idx="16">
                  <c:v>1.9589625988302869E-2</c:v>
                </c:pt>
                <c:pt idx="17">
                  <c:v>3.0645815600265608E-2</c:v>
                </c:pt>
                <c:pt idx="18">
                  <c:v>4.7942008406197591E-2</c:v>
                </c:pt>
                <c:pt idx="19">
                  <c:v>7.4999999999999997E-2</c:v>
                </c:pt>
              </c:numCache>
            </c:numRef>
          </c:xVal>
          <c:yVal>
            <c:numRef>
              <c:f>Calculations!$B$16:$U$16</c:f>
              <c:numCache>
                <c:formatCode>0</c:formatCode>
                <c:ptCount val="20"/>
                <c:pt idx="0">
                  <c:v>1682.9511729095098</c:v>
                </c:pt>
                <c:pt idx="1">
                  <c:v>1878.3443992794093</c:v>
                </c:pt>
                <c:pt idx="2">
                  <c:v>2094.4749125086792</c:v>
                </c:pt>
                <c:pt idx="3">
                  <c:v>2332.3963528234508</c:v>
                </c:pt>
                <c:pt idx="4">
                  <c:v>2592.5709116962998</c:v>
                </c:pt>
                <c:pt idx="5">
                  <c:v>2874.544360575183</c:v>
                </c:pt>
                <c:pt idx="6">
                  <c:v>3176.6039688122914</c:v>
                </c:pt>
                <c:pt idx="7">
                  <c:v>3495.5385444068529</c:v>
                </c:pt>
                <c:pt idx="8">
                  <c:v>3826.6950909547331</c:v>
                </c:pt>
                <c:pt idx="9">
                  <c:v>4164.5450889409994</c:v>
                </c:pt>
                <c:pt idx="10">
                  <c:v>4503.8535690361914</c:v>
                </c:pt>
                <c:pt idx="11">
                  <c:v>4841.2831260718494</c:v>
                </c:pt>
                <c:pt idx="12">
                  <c:v>5177.0384400979656</c:v>
                </c:pt>
                <c:pt idx="13">
                  <c:v>5516.2361481604648</c:v>
                </c:pt>
                <c:pt idx="14">
                  <c:v>5870.1838760488736</c:v>
                </c:pt>
                <c:pt idx="15">
                  <c:v>6258.6068510768091</c:v>
                </c:pt>
                <c:pt idx="16">
                  <c:v>6715.4291574366443</c:v>
                </c:pt>
                <c:pt idx="17">
                  <c:v>7305.6786772159849</c:v>
                </c:pt>
                <c:pt idx="18">
                  <c:v>8185.297179630049</c:v>
                </c:pt>
                <c:pt idx="19">
                  <c:v>9940.185771659957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78-443B-A5E4-E19352533C15}"/>
            </c:ext>
          </c:extLst>
        </c:ser>
        <c:ser>
          <c:idx val="3"/>
          <c:order val="3"/>
          <c:tx>
            <c:v>Q double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Calculations!$B$13:$U$13</c:f>
              <c:numCache>
                <c:formatCode>0.00E+00</c:formatCode>
                <c:ptCount val="20"/>
                <c:pt idx="0">
                  <c:v>1.52231844552102E-5</c:v>
                </c:pt>
                <c:pt idx="1">
                  <c:v>2.3814997996478789E-5</c:v>
                </c:pt>
                <c:pt idx="2">
                  <c:v>3.7255945445644112E-5</c:v>
                </c:pt>
                <c:pt idx="3">
                  <c:v>5.8282829637610573E-5</c:v>
                </c:pt>
                <c:pt idx="4">
                  <c:v>9.1177077643157608E-5</c:v>
                </c:pt>
                <c:pt idx="5">
                  <c:v>1.4263651128876815E-4</c:v>
                </c:pt>
                <c:pt idx="6">
                  <c:v>2.2313913626686288E-4</c:v>
                </c:pt>
                <c:pt idx="7">
                  <c:v>3.4907664022376E-4</c:v>
                </c:pt>
                <c:pt idx="8">
                  <c:v>5.4609201589889047E-4</c:v>
                </c:pt>
                <c:pt idx="9">
                  <c:v>8.5430090548985367E-4</c:v>
                </c:pt>
                <c:pt idx="10">
                  <c:v>1.3364598197237016E-3</c:v>
                </c:pt>
                <c:pt idx="11">
                  <c:v>2.0907444183402217E-3</c:v>
                </c:pt>
                <c:pt idx="12">
                  <c:v>3.2707397246888367E-3</c:v>
                </c:pt>
                <c:pt idx="13">
                  <c:v>5.1167126181545499E-3</c:v>
                </c:pt>
                <c:pt idx="14">
                  <c:v>8.0045342095426773E-3</c:v>
                </c:pt>
                <c:pt idx="15">
                  <c:v>1.2522213517406441E-2</c:v>
                </c:pt>
                <c:pt idx="16">
                  <c:v>1.9589625988302869E-2</c:v>
                </c:pt>
                <c:pt idx="17">
                  <c:v>3.0645815600265608E-2</c:v>
                </c:pt>
                <c:pt idx="18">
                  <c:v>4.7942008406197591E-2</c:v>
                </c:pt>
                <c:pt idx="19">
                  <c:v>7.4999999999999997E-2</c:v>
                </c:pt>
              </c:numCache>
            </c:numRef>
          </c:xVal>
          <c:yVal>
            <c:numRef>
              <c:f>Calculations!$B$17:$U$17</c:f>
              <c:numCache>
                <c:formatCode>0</c:formatCode>
                <c:ptCount val="20"/>
                <c:pt idx="0">
                  <c:v>1686.4872158503038</c:v>
                </c:pt>
                <c:pt idx="1">
                  <c:v>1884.1705824795747</c:v>
                </c:pt>
                <c:pt idx="2">
                  <c:v>2104.0129973132639</c:v>
                </c:pt>
                <c:pt idx="3">
                  <c:v>2347.882715295842</c:v>
                </c:pt>
                <c:pt idx="4">
                  <c:v>2617.4474725621017</c:v>
                </c:pt>
                <c:pt idx="5">
                  <c:v>2913.9551847321809</c:v>
                </c:pt>
                <c:pt idx="6">
                  <c:v>3237.9404990677085</c:v>
                </c:pt>
                <c:pt idx="7">
                  <c:v>3588.8820329185573</c:v>
                </c:pt>
                <c:pt idx="8">
                  <c:v>3964.891044270722</c:v>
                </c:pt>
                <c:pt idx="9">
                  <c:v>4362.5920865750668</c:v>
                </c:pt>
                <c:pt idx="10">
                  <c:v>4777.4266074290281</c:v>
                </c:pt>
                <c:pt idx="11">
                  <c:v>5204.6014742806565</c:v>
                </c:pt>
                <c:pt idx="12">
                  <c:v>5640.7567921172449</c:v>
                </c:pt>
                <c:pt idx="13">
                  <c:v>6086.2047340722975</c:v>
                </c:pt>
                <c:pt idx="14">
                  <c:v>6547.5537457244945</c:v>
                </c:pt>
                <c:pt idx="15">
                  <c:v>7041.0565772761647</c:v>
                </c:pt>
                <c:pt idx="16">
                  <c:v>7598.6206619387503</c:v>
                </c:pt>
                <c:pt idx="17">
                  <c:v>8283.0045411391457</c:v>
                </c:pt>
                <c:pt idx="18">
                  <c:v>9237.5921338572716</c:v>
                </c:pt>
                <c:pt idx="19">
                  <c:v>10927.2778400098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78-443B-A5E4-E19352533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188880"/>
        <c:axId val="1388198032"/>
      </c:scatterChart>
      <c:valAx>
        <c:axId val="921843215"/>
        <c:scaling>
          <c:orientation val="minMax"/>
          <c:max val="9.000000000000003E-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0" baseline="0"/>
                  <a:t>Gap, meters</a:t>
                </a:r>
              </a:p>
            </c:rich>
          </c:tx>
          <c:layout>
            <c:manualLayout>
              <c:xMode val="edge"/>
              <c:yMode val="edge"/>
              <c:x val="0.46529195132196932"/>
              <c:y val="0.90930039040435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850287"/>
        <c:crosses val="autoZero"/>
        <c:crossBetween val="midCat"/>
        <c:majorUnit val="1.0000000000000003E-4"/>
      </c:valAx>
      <c:valAx>
        <c:axId val="921850287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0" baseline="0"/>
                  <a:t>Frequency, MHz</a:t>
                </a:r>
              </a:p>
            </c:rich>
          </c:tx>
          <c:layout>
            <c:manualLayout>
              <c:xMode val="edge"/>
              <c:yMode val="edge"/>
              <c:x val="2.197802197802198E-2"/>
              <c:y val="0.357248190796959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843215"/>
        <c:crosses val="autoZero"/>
        <c:crossBetween val="midCat"/>
        <c:majorUnit val="100"/>
      </c:valAx>
      <c:valAx>
        <c:axId val="1388198032"/>
        <c:scaling>
          <c:orientation val="minMax"/>
          <c:max val="5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</a:t>
                </a:r>
                <a:r>
                  <a:rPr lang="en-US" baseline="0"/>
                  <a:t> (quality factor)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93956043956043955"/>
              <c:y val="0.35152289489825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188880"/>
        <c:crosses val="max"/>
        <c:crossBetween val="midCat"/>
      </c:valAx>
      <c:valAx>
        <c:axId val="1388188880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1388198032"/>
        <c:crosses val="autoZero"/>
        <c:crossBetween val="midCat"/>
      </c:valAx>
      <c:spPr>
        <a:noFill/>
        <a:ln>
          <a:solidFill>
            <a:srgbClr val="00B0F0"/>
          </a:solidFill>
        </a:ln>
        <a:effectLst/>
      </c:spPr>
    </c:plotArea>
    <c:legend>
      <c:legendPos val="b"/>
      <c:layout>
        <c:manualLayout>
          <c:xMode val="edge"/>
          <c:yMode val="edge"/>
          <c:x val="0.4568178016209512"/>
          <c:y val="0.54127822172517448"/>
          <c:w val="0.3311590378125811"/>
          <c:h val="0.142788654308384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rgbClr val="00B0F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/>
              <a:t>Re-entrant cylindrical cavity: single post and double equal posts, full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09189235960891"/>
          <c:y val="9.5375722543352595E-2"/>
          <c:w val="0.7612027342736003"/>
          <c:h val="0.7194373102206155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'rCav .025'!$A$7</c:f>
              <c:strCache>
                <c:ptCount val="1"/>
                <c:pt idx="0">
                  <c:v>f0 single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'rCav .025'!$B$6:$U$6</c:f>
              <c:numCache>
                <c:formatCode>0.00E+00</c:formatCode>
                <c:ptCount val="20"/>
                <c:pt idx="0">
                  <c:v>1.9197255597457132E-5</c:v>
                </c:pt>
                <c:pt idx="1">
                  <c:v>2.9667438800310255E-5</c:v>
                </c:pt>
                <c:pt idx="2">
                  <c:v>4.584805992199947E-5</c:v>
                </c:pt>
                <c:pt idx="3">
                  <c:v>7.0853591803457985E-5</c:v>
                </c:pt>
                <c:pt idx="4">
                  <c:v>1.0949714077306398E-4</c:v>
                </c:pt>
                <c:pt idx="5">
                  <c:v>1.6921688135069308E-4</c:v>
                </c:pt>
                <c:pt idx="6">
                  <c:v>2.615077684393611E-4</c:v>
                </c:pt>
                <c:pt idx="7">
                  <c:v>4.0413410534618864E-4</c:v>
                </c:pt>
                <c:pt idx="8">
                  <c:v>6.2454884640199997E-4</c:v>
                </c:pt>
                <c:pt idx="9">
                  <c:v>9.6517778722965083E-4</c:v>
                </c:pt>
                <c:pt idx="10">
                  <c:v>1.4915857523847024E-3</c:v>
                </c:pt>
                <c:pt idx="11">
                  <c:v>2.3050966217353194E-3</c:v>
                </c:pt>
                <c:pt idx="12">
                  <c:v>3.5622963192297628E-3</c:v>
                </c:pt>
                <c:pt idx="13">
                  <c:v>5.5051727317376757E-3</c:v>
                </c:pt>
                <c:pt idx="14">
                  <c:v>8.5076939396274039E-3</c:v>
                </c:pt>
                <c:pt idx="15">
                  <c:v>1.3147790214300192E-2</c:v>
                </c:pt>
                <c:pt idx="16">
                  <c:v>2.0318594997179518E-2</c:v>
                </c:pt>
                <c:pt idx="17">
                  <c:v>3.1400356708641233E-2</c:v>
                </c:pt>
                <c:pt idx="18">
                  <c:v>4.8526111257534164E-2</c:v>
                </c:pt>
                <c:pt idx="19" formatCode="General">
                  <c:v>7.4992252337393303E-2</c:v>
                </c:pt>
              </c:numCache>
            </c:numRef>
          </c:xVal>
          <c:yVal>
            <c:numRef>
              <c:f>'rCav .025'!$B$7:$U$7</c:f>
              <c:numCache>
                <c:formatCode>0.00</c:formatCode>
                <c:ptCount val="20"/>
                <c:pt idx="0">
                  <c:v>100.00001806919417</c:v>
                </c:pt>
                <c:pt idx="1">
                  <c:v>123.91549523653723</c:v>
                </c:pt>
                <c:pt idx="2">
                  <c:v>153.33236636947379</c:v>
                </c:pt>
                <c:pt idx="3">
                  <c:v>189.35332153743781</c:v>
                </c:pt>
                <c:pt idx="4">
                  <c:v>233.18772618834276</c:v>
                </c:pt>
                <c:pt idx="5">
                  <c:v>286.08487005060306</c:v>
                </c:pt>
                <c:pt idx="6">
                  <c:v>349.21932278124882</c:v>
                </c:pt>
                <c:pt idx="7">
                  <c:v>423.52992932851862</c:v>
                </c:pt>
                <c:pt idx="8">
                  <c:v>509.54305515287831</c:v>
                </c:pt>
                <c:pt idx="9">
                  <c:v>607.2553289374074</c:v>
                </c:pt>
                <c:pt idx="10">
                  <c:v>716.19148283117852</c:v>
                </c:pt>
                <c:pt idx="11">
                  <c:v>835.75111569579474</c:v>
                </c:pt>
                <c:pt idx="12" formatCode="0.0">
                  <c:v>965.89368100655543</c:v>
                </c:pt>
                <c:pt idx="13" formatCode="0.0">
                  <c:v>1108.137401003497</c:v>
                </c:pt>
                <c:pt idx="14" formatCode="0.0">
                  <c:v>1266.9063798668099</c:v>
                </c:pt>
                <c:pt idx="15" formatCode="0.0">
                  <c:v>1451.646461629271</c:v>
                </c:pt>
                <c:pt idx="16" formatCode="0.0">
                  <c:v>1681.2642176316781</c:v>
                </c:pt>
                <c:pt idx="17" formatCode="0.0">
                  <c:v>1996.2485722063934</c:v>
                </c:pt>
                <c:pt idx="18" formatCode="0.0">
                  <c:v>2502.263693976332</c:v>
                </c:pt>
                <c:pt idx="19" formatCode="0.0">
                  <c:v>3627.6101246199319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F0-4527-9170-2DC82D185481}"/>
            </c:ext>
          </c:extLst>
        </c:ser>
        <c:ser>
          <c:idx val="1"/>
          <c:order val="1"/>
          <c:tx>
            <c:strRef>
              <c:f>'rCav .025'!$A$8</c:f>
              <c:strCache>
                <c:ptCount val="1"/>
                <c:pt idx="0">
                  <c:v>f0 double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'rCav .025'!$B$6:$U$6</c:f>
              <c:numCache>
                <c:formatCode>0.00E+00</c:formatCode>
                <c:ptCount val="20"/>
                <c:pt idx="0">
                  <c:v>1.9197255597457132E-5</c:v>
                </c:pt>
                <c:pt idx="1">
                  <c:v>2.9667438800310255E-5</c:v>
                </c:pt>
                <c:pt idx="2">
                  <c:v>4.584805992199947E-5</c:v>
                </c:pt>
                <c:pt idx="3">
                  <c:v>7.0853591803457985E-5</c:v>
                </c:pt>
                <c:pt idx="4">
                  <c:v>1.0949714077306398E-4</c:v>
                </c:pt>
                <c:pt idx="5">
                  <c:v>1.6921688135069308E-4</c:v>
                </c:pt>
                <c:pt idx="6">
                  <c:v>2.615077684393611E-4</c:v>
                </c:pt>
                <c:pt idx="7">
                  <c:v>4.0413410534618864E-4</c:v>
                </c:pt>
                <c:pt idx="8">
                  <c:v>6.2454884640199997E-4</c:v>
                </c:pt>
                <c:pt idx="9">
                  <c:v>9.6517778722965083E-4</c:v>
                </c:pt>
                <c:pt idx="10">
                  <c:v>1.4915857523847024E-3</c:v>
                </c:pt>
                <c:pt idx="11">
                  <c:v>2.3050966217353194E-3</c:v>
                </c:pt>
                <c:pt idx="12">
                  <c:v>3.5622963192297628E-3</c:v>
                </c:pt>
                <c:pt idx="13">
                  <c:v>5.5051727317376757E-3</c:v>
                </c:pt>
                <c:pt idx="14">
                  <c:v>8.5076939396274039E-3</c:v>
                </c:pt>
                <c:pt idx="15">
                  <c:v>1.3147790214300192E-2</c:v>
                </c:pt>
                <c:pt idx="16">
                  <c:v>2.0318594997179518E-2</c:v>
                </c:pt>
                <c:pt idx="17">
                  <c:v>3.1400356708641233E-2</c:v>
                </c:pt>
                <c:pt idx="18">
                  <c:v>4.8526111257534164E-2</c:v>
                </c:pt>
                <c:pt idx="19" formatCode="General">
                  <c:v>7.4992252337393303E-2</c:v>
                </c:pt>
              </c:numCache>
            </c:numRef>
          </c:xVal>
          <c:yVal>
            <c:numRef>
              <c:f>'rCav .025'!$B$8:$U$8</c:f>
              <c:numCache>
                <c:formatCode>0.00</c:formatCode>
                <c:ptCount val="20"/>
                <c:pt idx="0">
                  <c:v>100.34573114002174</c:v>
                </c:pt>
                <c:pt idx="1">
                  <c:v>124.54133249160233</c:v>
                </c:pt>
                <c:pt idx="2">
                  <c:v>154.45841535198204</c:v>
                </c:pt>
                <c:pt idx="3">
                  <c:v>191.36370562262991</c:v>
                </c:pt>
                <c:pt idx="4">
                  <c:v>236.74135163151649</c:v>
                </c:pt>
                <c:pt idx="5">
                  <c:v>292.28641157041534</c:v>
                </c:pt>
                <c:pt idx="6">
                  <c:v>359.86590536390906</c:v>
                </c:pt>
                <c:pt idx="7">
                  <c:v>441.4331530422462</c:v>
                </c:pt>
                <c:pt idx="8">
                  <c:v>538.88807747542592</c:v>
                </c:pt>
                <c:pt idx="9">
                  <c:v>653.89908981242809</c:v>
                </c:pt>
                <c:pt idx="10">
                  <c:v>787.74789991931289</c:v>
                </c:pt>
                <c:pt idx="11">
                  <c:v>941.32282560274882</c:v>
                </c:pt>
                <c:pt idx="12" formatCode="0.0">
                  <c:v>1115.4445784708923</c:v>
                </c:pt>
                <c:pt idx="13" formatCode="0.0">
                  <c:v>1311.7315629177483</c:v>
                </c:pt>
                <c:pt idx="14" formatCode="0.0">
                  <c:v>1534.2286924146877</c:v>
                </c:pt>
                <c:pt idx="15" formatCode="0.0">
                  <c:v>1792.2320750183117</c:v>
                </c:pt>
                <c:pt idx="16" formatCode="0.0">
                  <c:v>2105.7130297869548</c:v>
                </c:pt>
                <c:pt idx="17" formatCode="0.0">
                  <c:v>2518.4127402363451</c:v>
                </c:pt>
                <c:pt idx="18" formatCode="0.0">
                  <c:v>3140.1440390952171</c:v>
                </c:pt>
                <c:pt idx="19" formatCode="0.0">
                  <c:v>4357.306518271741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F0-4527-9170-2DC82D185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843215"/>
        <c:axId val="921850287"/>
      </c:scatterChart>
      <c:scatterChart>
        <c:scatterStyle val="smoothMarker"/>
        <c:varyColors val="0"/>
        <c:ser>
          <c:idx val="2"/>
          <c:order val="2"/>
          <c:tx>
            <c:strRef>
              <c:f>'rCav .025'!$A$9</c:f>
              <c:strCache>
                <c:ptCount val="1"/>
                <c:pt idx="0">
                  <c:v>Q single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'rCav .025'!$B$6:$U$6</c:f>
              <c:numCache>
                <c:formatCode>0.00E+00</c:formatCode>
                <c:ptCount val="20"/>
                <c:pt idx="0">
                  <c:v>1.9197255597457132E-5</c:v>
                </c:pt>
                <c:pt idx="1">
                  <c:v>2.9667438800310255E-5</c:v>
                </c:pt>
                <c:pt idx="2">
                  <c:v>4.584805992199947E-5</c:v>
                </c:pt>
                <c:pt idx="3">
                  <c:v>7.0853591803457985E-5</c:v>
                </c:pt>
                <c:pt idx="4">
                  <c:v>1.0949714077306398E-4</c:v>
                </c:pt>
                <c:pt idx="5">
                  <c:v>1.6921688135069308E-4</c:v>
                </c:pt>
                <c:pt idx="6">
                  <c:v>2.615077684393611E-4</c:v>
                </c:pt>
                <c:pt idx="7">
                  <c:v>4.0413410534618864E-4</c:v>
                </c:pt>
                <c:pt idx="8">
                  <c:v>6.2454884640199997E-4</c:v>
                </c:pt>
                <c:pt idx="9">
                  <c:v>9.6517778722965083E-4</c:v>
                </c:pt>
                <c:pt idx="10">
                  <c:v>1.4915857523847024E-3</c:v>
                </c:pt>
                <c:pt idx="11">
                  <c:v>2.3050966217353194E-3</c:v>
                </c:pt>
                <c:pt idx="12">
                  <c:v>3.5622963192297628E-3</c:v>
                </c:pt>
                <c:pt idx="13">
                  <c:v>5.5051727317376757E-3</c:v>
                </c:pt>
                <c:pt idx="14">
                  <c:v>8.5076939396274039E-3</c:v>
                </c:pt>
                <c:pt idx="15">
                  <c:v>1.3147790214300192E-2</c:v>
                </c:pt>
                <c:pt idx="16">
                  <c:v>2.0318594997179518E-2</c:v>
                </c:pt>
                <c:pt idx="17">
                  <c:v>3.1400356708641233E-2</c:v>
                </c:pt>
                <c:pt idx="18">
                  <c:v>4.8526111257534164E-2</c:v>
                </c:pt>
                <c:pt idx="19" formatCode="General">
                  <c:v>7.4992252337393303E-2</c:v>
                </c:pt>
              </c:numCache>
            </c:numRef>
          </c:xVal>
          <c:yVal>
            <c:numRef>
              <c:f>'rCav .025'!$B$9:$U$9</c:f>
              <c:numCache>
                <c:formatCode>0</c:formatCode>
                <c:ptCount val="20"/>
                <c:pt idx="0">
                  <c:v>1285.2586095687384</c:v>
                </c:pt>
                <c:pt idx="1">
                  <c:v>1430.7155288730723</c:v>
                </c:pt>
                <c:pt idx="2">
                  <c:v>1591.5027801234476</c:v>
                </c:pt>
                <c:pt idx="3">
                  <c:v>1768.5891092996837</c:v>
                </c:pt>
                <c:pt idx="4">
                  <c:v>1962.6521136761962</c:v>
                </c:pt>
                <c:pt idx="5">
                  <c:v>2173.8918163122976</c:v>
                </c:pt>
                <c:pt idx="6">
                  <c:v>2401.8153464141437</c:v>
                </c:pt>
                <c:pt idx="7">
                  <c:v>2645.0417741834822</c:v>
                </c:pt>
                <c:pt idx="8">
                  <c:v>2901.2217583227798</c:v>
                </c:pt>
                <c:pt idx="9">
                  <c:v>3167.2048211653878</c:v>
                </c:pt>
                <c:pt idx="10">
                  <c:v>3439.5771764406895</c:v>
                </c:pt>
                <c:pt idx="11">
                  <c:v>3715.6000926725487</c:v>
                </c:pt>
                <c:pt idx="12">
                  <c:v>3994.4330365398973</c:v>
                </c:pt>
                <c:pt idx="13">
                  <c:v>4278.4581579193318</c:v>
                </c:pt>
                <c:pt idx="14">
                  <c:v>4574.7013163090141</c:v>
                </c:pt>
                <c:pt idx="15">
                  <c:v>4896.8963591610445</c:v>
                </c:pt>
                <c:pt idx="16">
                  <c:v>5269.9739385291687</c:v>
                </c:pt>
                <c:pt idx="17">
                  <c:v>5742.4575280855224</c:v>
                </c:pt>
                <c:pt idx="18">
                  <c:v>6429.2012408553983</c:v>
                </c:pt>
                <c:pt idx="19">
                  <c:v>7741.0662663542817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F0-4527-9170-2DC82D185481}"/>
            </c:ext>
          </c:extLst>
        </c:ser>
        <c:ser>
          <c:idx val="3"/>
          <c:order val="3"/>
          <c:tx>
            <c:strRef>
              <c:f>'rCav .025'!$A$10</c:f>
              <c:strCache>
                <c:ptCount val="1"/>
                <c:pt idx="0">
                  <c:v>Q double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'rCav .025'!$B$6:$U$6</c:f>
              <c:numCache>
                <c:formatCode>0.00E+00</c:formatCode>
                <c:ptCount val="20"/>
                <c:pt idx="0">
                  <c:v>1.9197255597457132E-5</c:v>
                </c:pt>
                <c:pt idx="1">
                  <c:v>2.9667438800310255E-5</c:v>
                </c:pt>
                <c:pt idx="2">
                  <c:v>4.584805992199947E-5</c:v>
                </c:pt>
                <c:pt idx="3">
                  <c:v>7.0853591803457985E-5</c:v>
                </c:pt>
                <c:pt idx="4">
                  <c:v>1.0949714077306398E-4</c:v>
                </c:pt>
                <c:pt idx="5">
                  <c:v>1.6921688135069308E-4</c:v>
                </c:pt>
                <c:pt idx="6">
                  <c:v>2.615077684393611E-4</c:v>
                </c:pt>
                <c:pt idx="7">
                  <c:v>4.0413410534618864E-4</c:v>
                </c:pt>
                <c:pt idx="8">
                  <c:v>6.2454884640199997E-4</c:v>
                </c:pt>
                <c:pt idx="9">
                  <c:v>9.6517778722965083E-4</c:v>
                </c:pt>
                <c:pt idx="10">
                  <c:v>1.4915857523847024E-3</c:v>
                </c:pt>
                <c:pt idx="11">
                  <c:v>2.3050966217353194E-3</c:v>
                </c:pt>
                <c:pt idx="12">
                  <c:v>3.5622963192297628E-3</c:v>
                </c:pt>
                <c:pt idx="13">
                  <c:v>5.5051727317376757E-3</c:v>
                </c:pt>
                <c:pt idx="14">
                  <c:v>8.5076939396274039E-3</c:v>
                </c:pt>
                <c:pt idx="15">
                  <c:v>1.3147790214300192E-2</c:v>
                </c:pt>
                <c:pt idx="16">
                  <c:v>2.0318594997179518E-2</c:v>
                </c:pt>
                <c:pt idx="17">
                  <c:v>3.1400356708641233E-2</c:v>
                </c:pt>
                <c:pt idx="18">
                  <c:v>4.8526111257534164E-2</c:v>
                </c:pt>
                <c:pt idx="19" formatCode="General">
                  <c:v>7.4992252337393303E-2</c:v>
                </c:pt>
              </c:numCache>
            </c:numRef>
          </c:xVal>
          <c:yVal>
            <c:numRef>
              <c:f>'rCav .025'!$B$10:$U$10</c:f>
              <c:numCache>
                <c:formatCode>0</c:formatCode>
                <c:ptCount val="20"/>
                <c:pt idx="0">
                  <c:v>1287.4783458468935</c:v>
                </c:pt>
                <c:pt idx="1">
                  <c:v>1434.3239047735542</c:v>
                </c:pt>
                <c:pt idx="2">
                  <c:v>1597.3359643059071</c:v>
                </c:pt>
                <c:pt idx="3">
                  <c:v>1777.9529687354654</c:v>
                </c:pt>
                <c:pt idx="4">
                  <c:v>1977.550323291674</c:v>
                </c:pt>
                <c:pt idx="5">
                  <c:v>2197.3275212678482</c:v>
                </c:pt>
                <c:pt idx="6">
                  <c:v>2438.1523182283017</c:v>
                </c:pt>
                <c:pt idx="7">
                  <c:v>2700.3680195602315</c:v>
                </c:pt>
                <c:pt idx="8">
                  <c:v>2983.5943093303408</c:v>
                </c:pt>
                <c:pt idx="9">
                  <c:v>3286.592417463879</c:v>
                </c:pt>
                <c:pt idx="10">
                  <c:v>3607.3153477348774</c:v>
                </c:pt>
                <c:pt idx="11">
                  <c:v>3943.2996245185523</c:v>
                </c:pt>
                <c:pt idx="12">
                  <c:v>4292.5412867814439</c:v>
                </c:pt>
                <c:pt idx="13">
                  <c:v>4654.9279885452161</c:v>
                </c:pt>
                <c:pt idx="14">
                  <c:v>5034.2587403562275</c:v>
                </c:pt>
                <c:pt idx="15">
                  <c:v>5441.1112450299415</c:v>
                </c:pt>
                <c:pt idx="16">
                  <c:v>5897.8004567736898</c:v>
                </c:pt>
                <c:pt idx="17">
                  <c:v>6449.9141837684474</c:v>
                </c:pt>
                <c:pt idx="18">
                  <c:v>7202.2014946226645</c:v>
                </c:pt>
                <c:pt idx="19">
                  <c:v>8483.9780929955523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BF0-4527-9170-2DC82D185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188880"/>
        <c:axId val="1388198032"/>
      </c:scatterChart>
      <c:valAx>
        <c:axId val="921843215"/>
        <c:scaling>
          <c:orientation val="minMax"/>
          <c:max val="7.5000000000000011E-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0" baseline="0"/>
                  <a:t>Gap d, meters</a:t>
                </a:r>
              </a:p>
            </c:rich>
          </c:tx>
          <c:layout>
            <c:manualLayout>
              <c:xMode val="edge"/>
              <c:yMode val="edge"/>
              <c:x val="0.46529195132196932"/>
              <c:y val="0.90930039040435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850287"/>
        <c:crosses val="autoZero"/>
        <c:crossBetween val="midCat"/>
        <c:majorUnit val="5.000000000000001E-3"/>
        <c:minorUnit val="2.0000000000000005E-3"/>
      </c:valAx>
      <c:valAx>
        <c:axId val="921850287"/>
        <c:scaling>
          <c:orientation val="minMax"/>
          <c:max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0" baseline="0"/>
                  <a:t>Frequency, MHz</a:t>
                </a:r>
              </a:p>
            </c:rich>
          </c:tx>
          <c:layout>
            <c:manualLayout>
              <c:xMode val="edge"/>
              <c:yMode val="edge"/>
              <c:x val="2.197802197802198E-2"/>
              <c:y val="0.357248190796959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843215"/>
        <c:crosses val="autoZero"/>
        <c:crossBetween val="midCat"/>
        <c:majorUnit val="500"/>
      </c:valAx>
      <c:valAx>
        <c:axId val="1388198032"/>
        <c:scaling>
          <c:orientation val="minMax"/>
          <c:max val="9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</a:t>
                </a:r>
                <a:r>
                  <a:rPr lang="en-US" baseline="0"/>
                  <a:t> (quality factor)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93956043956043955"/>
              <c:y val="0.35152289489825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188880"/>
        <c:crosses val="max"/>
        <c:crossBetween val="midCat"/>
      </c:valAx>
      <c:valAx>
        <c:axId val="1388188880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1388198032"/>
        <c:crosses val="autoZero"/>
        <c:crossBetween val="midCat"/>
      </c:valAx>
      <c:spPr>
        <a:noFill/>
        <a:ln>
          <a:solidFill>
            <a:srgbClr val="00B0F0"/>
          </a:solidFill>
        </a:ln>
        <a:effectLst/>
      </c:spPr>
    </c:plotArea>
    <c:legend>
      <c:legendPos val="b"/>
      <c:layout>
        <c:manualLayout>
          <c:xMode val="edge"/>
          <c:yMode val="edge"/>
          <c:x val="0.4568178016209512"/>
          <c:y val="0.54127822172517448"/>
          <c:w val="0.3311590378125811"/>
          <c:h val="0.142788654308384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rgbClr val="00B0F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/>
              <a:t>Re-entrant cylindrical cavity: single post and double equal posts, log-log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09189235960891"/>
          <c:y val="9.5375722543352595E-2"/>
          <c:w val="0.7612027342736003"/>
          <c:h val="0.7194373102206155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'rCav .05'!$A$7</c:f>
              <c:strCache>
                <c:ptCount val="1"/>
                <c:pt idx="0">
                  <c:v>f0 single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'rCav .05'!$B$6:$U$6</c:f>
              <c:numCache>
                <c:formatCode>0.00E+00</c:formatCode>
                <c:ptCount val="20"/>
                <c:pt idx="0">
                  <c:v>1.5877224526913882E-4</c:v>
                </c:pt>
                <c:pt idx="1">
                  <c:v>2.2770321555273546E-4</c:v>
                </c:pt>
                <c:pt idx="2">
                  <c:v>3.2656056658495559E-4</c:v>
                </c:pt>
                <c:pt idx="3">
                  <c:v>4.6833683656781407E-4</c:v>
                </c:pt>
                <c:pt idx="4">
                  <c:v>6.7166527416373056E-4</c:v>
                </c:pt>
                <c:pt idx="5">
                  <c:v>9.632687529419142E-4</c:v>
                </c:pt>
                <c:pt idx="6">
                  <c:v>1.3814718820316463E-3</c:v>
                </c:pt>
                <c:pt idx="7">
                  <c:v>1.9812378996156856E-3</c:v>
                </c:pt>
                <c:pt idx="8">
                  <c:v>2.8413923337338356E-3</c:v>
                </c:pt>
                <c:pt idx="9">
                  <c:v>4.0749828154243804E-3</c:v>
                </c:pt>
                <c:pt idx="10">
                  <c:v>5.8441366047408752E-3</c:v>
                </c:pt>
                <c:pt idx="11">
                  <c:v>8.381368511689127E-3</c:v>
                </c:pt>
                <c:pt idx="12">
                  <c:v>1.2020139651038961E-2</c:v>
                </c:pt>
                <c:pt idx="13">
                  <c:v>1.7238683280537528E-2</c:v>
                </c:pt>
                <c:pt idx="14">
                  <c:v>2.4722857626782897E-2</c:v>
                </c:pt>
                <c:pt idx="15">
                  <c:v>3.5456286265450693E-2</c:v>
                </c:pt>
                <c:pt idx="16">
                  <c:v>5.0849632947596111E-2</c:v>
                </c:pt>
                <c:pt idx="17">
                  <c:v>7.2926001091794965E-2</c:v>
                </c:pt>
                <c:pt idx="18">
                  <c:v>0.10458682446579776</c:v>
                </c:pt>
                <c:pt idx="19" formatCode="General">
                  <c:v>0.14999319430762387</c:v>
                </c:pt>
              </c:numCache>
            </c:numRef>
          </c:xVal>
          <c:yVal>
            <c:numRef>
              <c:f>'rCav .05'!$B$7:$U$7</c:f>
              <c:numCache>
                <c:formatCode>0.00</c:formatCode>
                <c:ptCount val="20"/>
                <c:pt idx="0">
                  <c:v>99.99971423559515</c:v>
                </c:pt>
                <c:pt idx="1">
                  <c:v>118.76944926171264</c:v>
                </c:pt>
                <c:pt idx="2">
                  <c:v>140.68714984888626</c:v>
                </c:pt>
                <c:pt idx="3">
                  <c:v>166.08830840275766</c:v>
                </c:pt>
                <c:pt idx="4">
                  <c:v>195.2566448720298</c:v>
                </c:pt>
                <c:pt idx="5">
                  <c:v>228.38853719584438</c:v>
                </c:pt>
                <c:pt idx="6">
                  <c:v>265.56261104814081</c:v>
                </c:pt>
                <c:pt idx="7">
                  <c:v>306.7288190222398</c:v>
                </c:pt>
                <c:pt idx="8">
                  <c:v>351.73417298449277</c:v>
                </c:pt>
                <c:pt idx="9">
                  <c:v>400.39931156342351</c:v>
                </c:pt>
                <c:pt idx="10">
                  <c:v>452.65089108494078</c:v>
                </c:pt>
                <c:pt idx="11">
                  <c:v>508.70517504028476</c:v>
                </c:pt>
                <c:pt idx="12" formatCode="0.0">
                  <c:v>569.29993800627744</c:v>
                </c:pt>
                <c:pt idx="13" formatCode="0.0">
                  <c:v>635.99893322851017</c:v>
                </c:pt>
                <c:pt idx="14" formatCode="0.0">
                  <c:v>711.66381816016201</c:v>
                </c:pt>
                <c:pt idx="15" formatCode="0.0">
                  <c:v>801.35194009593761</c:v>
                </c:pt>
                <c:pt idx="16" formatCode="0.0">
                  <c:v>914.34347238729515</c:v>
                </c:pt>
                <c:pt idx="17" formatCode="0.0">
                  <c:v>1069.5401663133825</c:v>
                </c:pt>
                <c:pt idx="18" formatCode="0.0">
                  <c:v>1313.5877856098577</c:v>
                </c:pt>
                <c:pt idx="19" formatCode="0.0">
                  <c:v>1813.9336447726585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2A-48AD-9170-6AACAD51D8F6}"/>
            </c:ext>
          </c:extLst>
        </c:ser>
        <c:ser>
          <c:idx val="1"/>
          <c:order val="1"/>
          <c:tx>
            <c:strRef>
              <c:f>'rCav .05'!$A$8</c:f>
              <c:strCache>
                <c:ptCount val="1"/>
                <c:pt idx="0">
                  <c:v>f0 double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'rCav .05'!$B$6:$U$6</c:f>
              <c:numCache>
                <c:formatCode>0.00E+00</c:formatCode>
                <c:ptCount val="20"/>
                <c:pt idx="0">
                  <c:v>1.5877224526913882E-4</c:v>
                </c:pt>
                <c:pt idx="1">
                  <c:v>2.2770321555273546E-4</c:v>
                </c:pt>
                <c:pt idx="2">
                  <c:v>3.2656056658495559E-4</c:v>
                </c:pt>
                <c:pt idx="3">
                  <c:v>4.6833683656781407E-4</c:v>
                </c:pt>
                <c:pt idx="4">
                  <c:v>6.7166527416373056E-4</c:v>
                </c:pt>
                <c:pt idx="5">
                  <c:v>9.632687529419142E-4</c:v>
                </c:pt>
                <c:pt idx="6">
                  <c:v>1.3814718820316463E-3</c:v>
                </c:pt>
                <c:pt idx="7">
                  <c:v>1.9812378996156856E-3</c:v>
                </c:pt>
                <c:pt idx="8">
                  <c:v>2.8413923337338356E-3</c:v>
                </c:pt>
                <c:pt idx="9">
                  <c:v>4.0749828154243804E-3</c:v>
                </c:pt>
                <c:pt idx="10">
                  <c:v>5.8441366047408752E-3</c:v>
                </c:pt>
                <c:pt idx="11">
                  <c:v>8.381368511689127E-3</c:v>
                </c:pt>
                <c:pt idx="12">
                  <c:v>1.2020139651038961E-2</c:v>
                </c:pt>
                <c:pt idx="13">
                  <c:v>1.7238683280537528E-2</c:v>
                </c:pt>
                <c:pt idx="14">
                  <c:v>2.4722857626782897E-2</c:v>
                </c:pt>
                <c:pt idx="15">
                  <c:v>3.5456286265450693E-2</c:v>
                </c:pt>
                <c:pt idx="16">
                  <c:v>5.0849632947596111E-2</c:v>
                </c:pt>
                <c:pt idx="17">
                  <c:v>7.2926001091794965E-2</c:v>
                </c:pt>
                <c:pt idx="18">
                  <c:v>0.10458682446579776</c:v>
                </c:pt>
                <c:pt idx="19" formatCode="General">
                  <c:v>0.14999319430762387</c:v>
                </c:pt>
              </c:numCache>
            </c:numRef>
          </c:xVal>
          <c:yVal>
            <c:numRef>
              <c:f>'rCav .05'!$B$8:$U$8</c:f>
              <c:numCache>
                <c:formatCode>0.00</c:formatCode>
                <c:ptCount val="20"/>
                <c:pt idx="0">
                  <c:v>101.16743063982062</c:v>
                </c:pt>
                <c:pt idx="1">
                  <c:v>120.63821524298021</c:v>
                </c:pt>
                <c:pt idx="2">
                  <c:v>143.65111824098935</c:v>
                </c:pt>
                <c:pt idx="3">
                  <c:v>170.73784963430953</c:v>
                </c:pt>
                <c:pt idx="4">
                  <c:v>202.45326462778124</c:v>
                </c:pt>
                <c:pt idx="5">
                  <c:v>239.34975648796814</c:v>
                </c:pt>
                <c:pt idx="6">
                  <c:v>281.94375913829543</c:v>
                </c:pt>
                <c:pt idx="7">
                  <c:v>330.67983121071359</c:v>
                </c:pt>
                <c:pt idx="8">
                  <c:v>385.90440449659718</c:v>
                </c:pt>
                <c:pt idx="9">
                  <c:v>447.86898782108096</c:v>
                </c:pt>
                <c:pt idx="10">
                  <c:v>516.78880810624094</c:v>
                </c:pt>
                <c:pt idx="11">
                  <c:v>592.98495989199921</c:v>
                </c:pt>
                <c:pt idx="12" formatCode="0.0">
                  <c:v>677.13771119975604</c:v>
                </c:pt>
                <c:pt idx="13" formatCode="0.0">
                  <c:v>770.6874034026057</c:v>
                </c:pt>
                <c:pt idx="14" formatCode="0.0">
                  <c:v>876.46638103362</c:v>
                </c:pt>
                <c:pt idx="15" formatCode="0.0">
                  <c:v>999.79533988087155</c:v>
                </c:pt>
                <c:pt idx="16" formatCode="0.0">
                  <c:v>1150.7144173303484</c:v>
                </c:pt>
                <c:pt idx="17" formatCode="0.0">
                  <c:v>1349.4464566835168</c:v>
                </c:pt>
                <c:pt idx="18" formatCode="0.0">
                  <c:v>1643.1351841826222</c:v>
                </c:pt>
                <c:pt idx="19" formatCode="0.0">
                  <c:v>2178.7797980217856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2A-48AD-9170-6AACAD51D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843215"/>
        <c:axId val="921850287"/>
      </c:scatterChart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388188880"/>
        <c:axId val="138819803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Q single</c:v>
                </c:tx>
                <c:spPr>
                  <a:ln w="19050" cap="rnd">
                    <a:solidFill>
                      <a:schemeClr val="accent3"/>
                    </a:solidFill>
                    <a:prstDash val="sysDash"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'rCav .05'!$B$6:$U$6</c15:sqref>
                        </c15:formulaRef>
                      </c:ext>
                    </c:extLst>
                    <c:numCache>
                      <c:formatCode>0.00E+00</c:formatCode>
                      <c:ptCount val="20"/>
                      <c:pt idx="0">
                        <c:v>1.5877224526913882E-4</c:v>
                      </c:pt>
                      <c:pt idx="1">
                        <c:v>2.2770321555273546E-4</c:v>
                      </c:pt>
                      <c:pt idx="2">
                        <c:v>3.2656056658495559E-4</c:v>
                      </c:pt>
                      <c:pt idx="3">
                        <c:v>4.6833683656781407E-4</c:v>
                      </c:pt>
                      <c:pt idx="4">
                        <c:v>6.7166527416373056E-4</c:v>
                      </c:pt>
                      <c:pt idx="5">
                        <c:v>9.632687529419142E-4</c:v>
                      </c:pt>
                      <c:pt idx="6">
                        <c:v>1.3814718820316463E-3</c:v>
                      </c:pt>
                      <c:pt idx="7">
                        <c:v>1.9812378996156856E-3</c:v>
                      </c:pt>
                      <c:pt idx="8">
                        <c:v>2.8413923337338356E-3</c:v>
                      </c:pt>
                      <c:pt idx="9">
                        <c:v>4.0749828154243804E-3</c:v>
                      </c:pt>
                      <c:pt idx="10">
                        <c:v>5.8441366047408752E-3</c:v>
                      </c:pt>
                      <c:pt idx="11">
                        <c:v>8.381368511689127E-3</c:v>
                      </c:pt>
                      <c:pt idx="12">
                        <c:v>1.2020139651038961E-2</c:v>
                      </c:pt>
                      <c:pt idx="13">
                        <c:v>1.7238683280537528E-2</c:v>
                      </c:pt>
                      <c:pt idx="14">
                        <c:v>2.4722857626782897E-2</c:v>
                      </c:pt>
                      <c:pt idx="15">
                        <c:v>3.5456286265450693E-2</c:v>
                      </c:pt>
                      <c:pt idx="16">
                        <c:v>5.0849632947596111E-2</c:v>
                      </c:pt>
                      <c:pt idx="17">
                        <c:v>7.2926001091794965E-2</c:v>
                      </c:pt>
                      <c:pt idx="18">
                        <c:v>0.10458682446579776</c:v>
                      </c:pt>
                      <c:pt idx="19" formatCode="General">
                        <c:v>0.14999319430762387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Calculations!$B$16:$U$16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1682.9511729095098</c:v>
                      </c:pt>
                      <c:pt idx="1">
                        <c:v>1878.3443992794093</c:v>
                      </c:pt>
                      <c:pt idx="2">
                        <c:v>2094.4749125086792</c:v>
                      </c:pt>
                      <c:pt idx="3">
                        <c:v>2332.3963528234508</c:v>
                      </c:pt>
                      <c:pt idx="4">
                        <c:v>2592.5709116962998</c:v>
                      </c:pt>
                      <c:pt idx="5">
                        <c:v>2874.544360575183</c:v>
                      </c:pt>
                      <c:pt idx="6">
                        <c:v>3176.6039688122914</c:v>
                      </c:pt>
                      <c:pt idx="7">
                        <c:v>3495.5385444068529</c:v>
                      </c:pt>
                      <c:pt idx="8">
                        <c:v>3826.6950909547331</c:v>
                      </c:pt>
                      <c:pt idx="9">
                        <c:v>4164.5450889409994</c:v>
                      </c:pt>
                      <c:pt idx="10">
                        <c:v>4503.8535690361914</c:v>
                      </c:pt>
                      <c:pt idx="11">
                        <c:v>4841.2831260718494</c:v>
                      </c:pt>
                      <c:pt idx="12">
                        <c:v>5177.0384400979656</c:v>
                      </c:pt>
                      <c:pt idx="13">
                        <c:v>5516.2361481604648</c:v>
                      </c:pt>
                      <c:pt idx="14">
                        <c:v>5870.1838760488736</c:v>
                      </c:pt>
                      <c:pt idx="15">
                        <c:v>6258.6068510768091</c:v>
                      </c:pt>
                      <c:pt idx="16">
                        <c:v>6715.4291574366443</c:v>
                      </c:pt>
                      <c:pt idx="17">
                        <c:v>7305.6786772159849</c:v>
                      </c:pt>
                      <c:pt idx="18">
                        <c:v>8185.297179630049</c:v>
                      </c:pt>
                      <c:pt idx="19">
                        <c:v>9940.185771659957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D62A-48AD-9170-6AACAD51D8F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Q double</c:v>
                </c:tx>
                <c:spPr>
                  <a:ln w="19050" cap="rnd">
                    <a:solidFill>
                      <a:schemeClr val="accent4"/>
                    </a:solidFill>
                    <a:prstDash val="sysDash"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2">
                        <a:lumMod val="75000"/>
                      </a:schemeClr>
                    </a:solidFill>
                    <a:ln w="9525">
                      <a:solidFill>
                        <a:srgbClr val="FFC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'rCav .05'!$B$6:$U$6</c15:sqref>
                        </c15:formulaRef>
                      </c:ext>
                    </c:extLst>
                    <c:numCache>
                      <c:formatCode>0.00E+00</c:formatCode>
                      <c:ptCount val="20"/>
                      <c:pt idx="0">
                        <c:v>1.5877224526913882E-4</c:v>
                      </c:pt>
                      <c:pt idx="1">
                        <c:v>2.2770321555273546E-4</c:v>
                      </c:pt>
                      <c:pt idx="2">
                        <c:v>3.2656056658495559E-4</c:v>
                      </c:pt>
                      <c:pt idx="3">
                        <c:v>4.6833683656781407E-4</c:v>
                      </c:pt>
                      <c:pt idx="4">
                        <c:v>6.7166527416373056E-4</c:v>
                      </c:pt>
                      <c:pt idx="5">
                        <c:v>9.632687529419142E-4</c:v>
                      </c:pt>
                      <c:pt idx="6">
                        <c:v>1.3814718820316463E-3</c:v>
                      </c:pt>
                      <c:pt idx="7">
                        <c:v>1.9812378996156856E-3</c:v>
                      </c:pt>
                      <c:pt idx="8">
                        <c:v>2.8413923337338356E-3</c:v>
                      </c:pt>
                      <c:pt idx="9">
                        <c:v>4.0749828154243804E-3</c:v>
                      </c:pt>
                      <c:pt idx="10">
                        <c:v>5.8441366047408752E-3</c:v>
                      </c:pt>
                      <c:pt idx="11">
                        <c:v>8.381368511689127E-3</c:v>
                      </c:pt>
                      <c:pt idx="12">
                        <c:v>1.2020139651038961E-2</c:v>
                      </c:pt>
                      <c:pt idx="13">
                        <c:v>1.7238683280537528E-2</c:v>
                      </c:pt>
                      <c:pt idx="14">
                        <c:v>2.4722857626782897E-2</c:v>
                      </c:pt>
                      <c:pt idx="15">
                        <c:v>3.5456286265450693E-2</c:v>
                      </c:pt>
                      <c:pt idx="16">
                        <c:v>5.0849632947596111E-2</c:v>
                      </c:pt>
                      <c:pt idx="17">
                        <c:v>7.2926001091794965E-2</c:v>
                      </c:pt>
                      <c:pt idx="18">
                        <c:v>0.10458682446579776</c:v>
                      </c:pt>
                      <c:pt idx="19" formatCode="General">
                        <c:v>0.14999319430762387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'rCav .05'!$B$10:$U$10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2585.4779503376126</c:v>
                      </c:pt>
                      <c:pt idx="1">
                        <c:v>2823.3383671823267</c:v>
                      </c:pt>
                      <c:pt idx="2">
                        <c:v>3080.8814245301987</c:v>
                      </c:pt>
                      <c:pt idx="3">
                        <c:v>3358.8095696772111</c:v>
                      </c:pt>
                      <c:pt idx="4">
                        <c:v>3657.487666796555</c:v>
                      </c:pt>
                      <c:pt idx="5">
                        <c:v>3976.8295132444728</c:v>
                      </c:pt>
                      <c:pt idx="6">
                        <c:v>4316.2015972540039</c:v>
                      </c:pt>
                      <c:pt idx="7">
                        <c:v>4674.383408806867</c:v>
                      </c:pt>
                      <c:pt idx="8">
                        <c:v>5049.6391683639413</c:v>
                      </c:pt>
                      <c:pt idx="9">
                        <c:v>5439.9633503376244</c:v>
                      </c:pt>
                      <c:pt idx="10">
                        <c:v>5843.5535474877315</c:v>
                      </c:pt>
                      <c:pt idx="11">
                        <c:v>6259.5385345332315</c:v>
                      </c:pt>
                      <c:pt idx="12">
                        <c:v>6688.9658515407646</c:v>
                      </c:pt>
                      <c:pt idx="13">
                        <c:v>7136.0783306552639</c:v>
                      </c:pt>
                      <c:pt idx="14">
                        <c:v>7610.060498819912</c:v>
                      </c:pt>
                      <c:pt idx="15">
                        <c:v>8127.8565910259513</c:v>
                      </c:pt>
                      <c:pt idx="16">
                        <c:v>8719.7544521555919</c:v>
                      </c:pt>
                      <c:pt idx="17">
                        <c:v>9442.7459796373059</c:v>
                      </c:pt>
                      <c:pt idx="18">
                        <c:v>10419.745841971479</c:v>
                      </c:pt>
                      <c:pt idx="19">
                        <c:v>11998.505310854545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62A-48AD-9170-6AACAD51D8F6}"/>
                  </c:ext>
                </c:extLst>
              </c15:ser>
            </c15:filteredScatterSeries>
          </c:ext>
        </c:extLst>
      </c:scatterChart>
      <c:valAx>
        <c:axId val="921843215"/>
        <c:scaling>
          <c:logBase val="10"/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0" baseline="0"/>
                  <a:t>Gap d, meters</a:t>
                </a:r>
              </a:p>
            </c:rich>
          </c:tx>
          <c:layout>
            <c:manualLayout>
              <c:xMode val="edge"/>
              <c:yMode val="edge"/>
              <c:x val="0.46529195132196932"/>
              <c:y val="0.90930039040435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850287"/>
        <c:crosses val="autoZero"/>
        <c:crossBetween val="midCat"/>
      </c:valAx>
      <c:valAx>
        <c:axId val="921850287"/>
        <c:scaling>
          <c:logBase val="10"/>
          <c:orientation val="minMax"/>
          <c:max val="3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0" baseline="0"/>
                  <a:t>Frequency, MHz</a:t>
                </a:r>
              </a:p>
            </c:rich>
          </c:tx>
          <c:layout>
            <c:manualLayout>
              <c:xMode val="edge"/>
              <c:yMode val="edge"/>
              <c:x val="2.197802197802198E-2"/>
              <c:y val="0.357248190796959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out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843215"/>
        <c:crosses val="autoZero"/>
        <c:crossBetween val="midCat"/>
        <c:majorUnit val="1000"/>
      </c:valAx>
      <c:valAx>
        <c:axId val="1388198032"/>
        <c:scaling>
          <c:logBase val="10"/>
          <c:orientation val="minMax"/>
          <c:max val="12000"/>
        </c:scaling>
        <c:delete val="1"/>
        <c:axPos val="r"/>
        <c:numFmt formatCode="0" sourceLinked="1"/>
        <c:majorTickMark val="out"/>
        <c:minorTickMark val="none"/>
        <c:tickLblPos val="nextTo"/>
        <c:crossAx val="1388188880"/>
        <c:crosses val="max"/>
        <c:crossBetween val="midCat"/>
      </c:valAx>
      <c:valAx>
        <c:axId val="1388188880"/>
        <c:scaling>
          <c:logBase val="10"/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1388198032"/>
        <c:crosses val="autoZero"/>
        <c:crossBetween val="midCat"/>
      </c:valAx>
      <c:spPr>
        <a:noFill/>
        <a:ln>
          <a:solidFill>
            <a:srgbClr val="00B0F0"/>
          </a:solidFill>
        </a:ln>
        <a:effectLst/>
      </c:spPr>
    </c:plotArea>
    <c:legend>
      <c:legendPos val="b"/>
      <c:layout>
        <c:manualLayout>
          <c:xMode val="edge"/>
          <c:yMode val="edge"/>
          <c:x val="0.4568178016209512"/>
          <c:y val="0.54127822172517448"/>
          <c:w val="0.3311590378125811"/>
          <c:h val="0.142788654308384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rgbClr val="00B0F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/>
              <a:t>Re-entrant cylindrical cavity: single post and double equal posts, low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09189235960891"/>
          <c:y val="9.5375722543352595E-2"/>
          <c:w val="0.7612027342736003"/>
          <c:h val="0.7194373102206155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'rCav .025'!$A$7</c:f>
              <c:strCache>
                <c:ptCount val="1"/>
                <c:pt idx="0">
                  <c:v>f0 single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'rCav .025'!$B$6:$U$6</c:f>
              <c:numCache>
                <c:formatCode>0.00E+00</c:formatCode>
                <c:ptCount val="20"/>
                <c:pt idx="0">
                  <c:v>1.9197255597457132E-5</c:v>
                </c:pt>
                <c:pt idx="1">
                  <c:v>2.9667438800310255E-5</c:v>
                </c:pt>
                <c:pt idx="2">
                  <c:v>4.584805992199947E-5</c:v>
                </c:pt>
                <c:pt idx="3">
                  <c:v>7.0853591803457985E-5</c:v>
                </c:pt>
                <c:pt idx="4">
                  <c:v>1.0949714077306398E-4</c:v>
                </c:pt>
                <c:pt idx="5">
                  <c:v>1.6921688135069308E-4</c:v>
                </c:pt>
                <c:pt idx="6">
                  <c:v>2.615077684393611E-4</c:v>
                </c:pt>
                <c:pt idx="7">
                  <c:v>4.0413410534618864E-4</c:v>
                </c:pt>
                <c:pt idx="8">
                  <c:v>6.2454884640199997E-4</c:v>
                </c:pt>
                <c:pt idx="9">
                  <c:v>9.6517778722965083E-4</c:v>
                </c:pt>
                <c:pt idx="10">
                  <c:v>1.4915857523847024E-3</c:v>
                </c:pt>
                <c:pt idx="11">
                  <c:v>2.3050966217353194E-3</c:v>
                </c:pt>
                <c:pt idx="12">
                  <c:v>3.5622963192297628E-3</c:v>
                </c:pt>
                <c:pt idx="13">
                  <c:v>5.5051727317376757E-3</c:v>
                </c:pt>
                <c:pt idx="14">
                  <c:v>8.5076939396274039E-3</c:v>
                </c:pt>
                <c:pt idx="15">
                  <c:v>1.3147790214300192E-2</c:v>
                </c:pt>
                <c:pt idx="16">
                  <c:v>2.0318594997179518E-2</c:v>
                </c:pt>
                <c:pt idx="17">
                  <c:v>3.1400356708641233E-2</c:v>
                </c:pt>
                <c:pt idx="18">
                  <c:v>4.8526111257534164E-2</c:v>
                </c:pt>
                <c:pt idx="19" formatCode="General">
                  <c:v>7.4992252337393303E-2</c:v>
                </c:pt>
              </c:numCache>
            </c:numRef>
          </c:xVal>
          <c:yVal>
            <c:numRef>
              <c:f>'rCav .025'!$B$7:$U$7</c:f>
              <c:numCache>
                <c:formatCode>0.00</c:formatCode>
                <c:ptCount val="20"/>
                <c:pt idx="0">
                  <c:v>100.00001806919417</c:v>
                </c:pt>
                <c:pt idx="1">
                  <c:v>123.91549523653723</c:v>
                </c:pt>
                <c:pt idx="2">
                  <c:v>153.33236636947379</c:v>
                </c:pt>
                <c:pt idx="3">
                  <c:v>189.35332153743781</c:v>
                </c:pt>
                <c:pt idx="4">
                  <c:v>233.18772618834276</c:v>
                </c:pt>
                <c:pt idx="5">
                  <c:v>286.08487005060306</c:v>
                </c:pt>
                <c:pt idx="6">
                  <c:v>349.21932278124882</c:v>
                </c:pt>
                <c:pt idx="7">
                  <c:v>423.52992932851862</c:v>
                </c:pt>
                <c:pt idx="8">
                  <c:v>509.54305515287831</c:v>
                </c:pt>
                <c:pt idx="9">
                  <c:v>607.2553289374074</c:v>
                </c:pt>
                <c:pt idx="10">
                  <c:v>716.19148283117852</c:v>
                </c:pt>
                <c:pt idx="11">
                  <c:v>835.75111569579474</c:v>
                </c:pt>
                <c:pt idx="12" formatCode="0.0">
                  <c:v>965.89368100655543</c:v>
                </c:pt>
                <c:pt idx="13" formatCode="0.0">
                  <c:v>1108.137401003497</c:v>
                </c:pt>
                <c:pt idx="14" formatCode="0.0">
                  <c:v>1266.9063798668099</c:v>
                </c:pt>
                <c:pt idx="15" formatCode="0.0">
                  <c:v>1451.646461629271</c:v>
                </c:pt>
                <c:pt idx="16" formatCode="0.0">
                  <c:v>1681.2642176316781</c:v>
                </c:pt>
                <c:pt idx="17" formatCode="0.0">
                  <c:v>1996.2485722063934</c:v>
                </c:pt>
                <c:pt idx="18" formatCode="0.0">
                  <c:v>2502.263693976332</c:v>
                </c:pt>
                <c:pt idx="19" formatCode="0.0">
                  <c:v>3627.6101246199319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AF-41C9-A7A9-9B0D58B8577E}"/>
            </c:ext>
          </c:extLst>
        </c:ser>
        <c:ser>
          <c:idx val="1"/>
          <c:order val="1"/>
          <c:tx>
            <c:strRef>
              <c:f>'rCav .025'!$A$8</c:f>
              <c:strCache>
                <c:ptCount val="1"/>
                <c:pt idx="0">
                  <c:v>f0 double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'rCav .025'!$B$6:$U$6</c:f>
              <c:numCache>
                <c:formatCode>0.00E+00</c:formatCode>
                <c:ptCount val="20"/>
                <c:pt idx="0">
                  <c:v>1.9197255597457132E-5</c:v>
                </c:pt>
                <c:pt idx="1">
                  <c:v>2.9667438800310255E-5</c:v>
                </c:pt>
                <c:pt idx="2">
                  <c:v>4.584805992199947E-5</c:v>
                </c:pt>
                <c:pt idx="3">
                  <c:v>7.0853591803457985E-5</c:v>
                </c:pt>
                <c:pt idx="4">
                  <c:v>1.0949714077306398E-4</c:v>
                </c:pt>
                <c:pt idx="5">
                  <c:v>1.6921688135069308E-4</c:v>
                </c:pt>
                <c:pt idx="6">
                  <c:v>2.615077684393611E-4</c:v>
                </c:pt>
                <c:pt idx="7">
                  <c:v>4.0413410534618864E-4</c:v>
                </c:pt>
                <c:pt idx="8">
                  <c:v>6.2454884640199997E-4</c:v>
                </c:pt>
                <c:pt idx="9">
                  <c:v>9.6517778722965083E-4</c:v>
                </c:pt>
                <c:pt idx="10">
                  <c:v>1.4915857523847024E-3</c:v>
                </c:pt>
                <c:pt idx="11">
                  <c:v>2.3050966217353194E-3</c:v>
                </c:pt>
                <c:pt idx="12">
                  <c:v>3.5622963192297628E-3</c:v>
                </c:pt>
                <c:pt idx="13">
                  <c:v>5.5051727317376757E-3</c:v>
                </c:pt>
                <c:pt idx="14">
                  <c:v>8.5076939396274039E-3</c:v>
                </c:pt>
                <c:pt idx="15">
                  <c:v>1.3147790214300192E-2</c:v>
                </c:pt>
                <c:pt idx="16">
                  <c:v>2.0318594997179518E-2</c:v>
                </c:pt>
                <c:pt idx="17">
                  <c:v>3.1400356708641233E-2</c:v>
                </c:pt>
                <c:pt idx="18">
                  <c:v>4.8526111257534164E-2</c:v>
                </c:pt>
                <c:pt idx="19" formatCode="General">
                  <c:v>7.4992252337393303E-2</c:v>
                </c:pt>
              </c:numCache>
            </c:numRef>
          </c:xVal>
          <c:yVal>
            <c:numRef>
              <c:f>'rCav .025'!$B$8:$U$8</c:f>
              <c:numCache>
                <c:formatCode>0.00</c:formatCode>
                <c:ptCount val="20"/>
                <c:pt idx="0">
                  <c:v>100.34573114002174</c:v>
                </c:pt>
                <c:pt idx="1">
                  <c:v>124.54133249160233</c:v>
                </c:pt>
                <c:pt idx="2">
                  <c:v>154.45841535198204</c:v>
                </c:pt>
                <c:pt idx="3">
                  <c:v>191.36370562262991</c:v>
                </c:pt>
                <c:pt idx="4">
                  <c:v>236.74135163151649</c:v>
                </c:pt>
                <c:pt idx="5">
                  <c:v>292.28641157041534</c:v>
                </c:pt>
                <c:pt idx="6">
                  <c:v>359.86590536390906</c:v>
                </c:pt>
                <c:pt idx="7">
                  <c:v>441.4331530422462</c:v>
                </c:pt>
                <c:pt idx="8">
                  <c:v>538.88807747542592</c:v>
                </c:pt>
                <c:pt idx="9">
                  <c:v>653.89908981242809</c:v>
                </c:pt>
                <c:pt idx="10">
                  <c:v>787.74789991931289</c:v>
                </c:pt>
                <c:pt idx="11">
                  <c:v>941.32282560274882</c:v>
                </c:pt>
                <c:pt idx="12" formatCode="0.0">
                  <c:v>1115.4445784708923</c:v>
                </c:pt>
                <c:pt idx="13" formatCode="0.0">
                  <c:v>1311.7315629177483</c:v>
                </c:pt>
                <c:pt idx="14" formatCode="0.0">
                  <c:v>1534.2286924146877</c:v>
                </c:pt>
                <c:pt idx="15" formatCode="0.0">
                  <c:v>1792.2320750183117</c:v>
                </c:pt>
                <c:pt idx="16" formatCode="0.0">
                  <c:v>2105.7130297869548</c:v>
                </c:pt>
                <c:pt idx="17" formatCode="0.0">
                  <c:v>2518.4127402363451</c:v>
                </c:pt>
                <c:pt idx="18" formatCode="0.0">
                  <c:v>3140.1440390952171</c:v>
                </c:pt>
                <c:pt idx="19" formatCode="0.0">
                  <c:v>4357.306518271741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AF-41C9-A7A9-9B0D58B85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843215"/>
        <c:axId val="921850287"/>
      </c:scatterChart>
      <c:scatterChart>
        <c:scatterStyle val="smoothMarker"/>
        <c:varyColors val="0"/>
        <c:ser>
          <c:idx val="2"/>
          <c:order val="2"/>
          <c:tx>
            <c:strRef>
              <c:f>'rCav .025'!$A$9</c:f>
              <c:strCache>
                <c:ptCount val="1"/>
                <c:pt idx="0">
                  <c:v>Q single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'rCav .025'!$B$6:$U$6</c:f>
              <c:numCache>
                <c:formatCode>0.00E+00</c:formatCode>
                <c:ptCount val="20"/>
                <c:pt idx="0">
                  <c:v>1.9197255597457132E-5</c:v>
                </c:pt>
                <c:pt idx="1">
                  <c:v>2.9667438800310255E-5</c:v>
                </c:pt>
                <c:pt idx="2">
                  <c:v>4.584805992199947E-5</c:v>
                </c:pt>
                <c:pt idx="3">
                  <c:v>7.0853591803457985E-5</c:v>
                </c:pt>
                <c:pt idx="4">
                  <c:v>1.0949714077306398E-4</c:v>
                </c:pt>
                <c:pt idx="5">
                  <c:v>1.6921688135069308E-4</c:v>
                </c:pt>
                <c:pt idx="6">
                  <c:v>2.615077684393611E-4</c:v>
                </c:pt>
                <c:pt idx="7">
                  <c:v>4.0413410534618864E-4</c:v>
                </c:pt>
                <c:pt idx="8">
                  <c:v>6.2454884640199997E-4</c:v>
                </c:pt>
                <c:pt idx="9">
                  <c:v>9.6517778722965083E-4</c:v>
                </c:pt>
                <c:pt idx="10">
                  <c:v>1.4915857523847024E-3</c:v>
                </c:pt>
                <c:pt idx="11">
                  <c:v>2.3050966217353194E-3</c:v>
                </c:pt>
                <c:pt idx="12">
                  <c:v>3.5622963192297628E-3</c:v>
                </c:pt>
                <c:pt idx="13">
                  <c:v>5.5051727317376757E-3</c:v>
                </c:pt>
                <c:pt idx="14">
                  <c:v>8.5076939396274039E-3</c:v>
                </c:pt>
                <c:pt idx="15">
                  <c:v>1.3147790214300192E-2</c:v>
                </c:pt>
                <c:pt idx="16">
                  <c:v>2.0318594997179518E-2</c:v>
                </c:pt>
                <c:pt idx="17">
                  <c:v>3.1400356708641233E-2</c:v>
                </c:pt>
                <c:pt idx="18">
                  <c:v>4.8526111257534164E-2</c:v>
                </c:pt>
                <c:pt idx="19" formatCode="General">
                  <c:v>7.4992252337393303E-2</c:v>
                </c:pt>
              </c:numCache>
            </c:numRef>
          </c:xVal>
          <c:yVal>
            <c:numRef>
              <c:f>'rCav .025'!$B$9:$U$9</c:f>
              <c:numCache>
                <c:formatCode>0</c:formatCode>
                <c:ptCount val="20"/>
                <c:pt idx="0">
                  <c:v>1285.2586095687384</c:v>
                </c:pt>
                <c:pt idx="1">
                  <c:v>1430.7155288730723</c:v>
                </c:pt>
                <c:pt idx="2">
                  <c:v>1591.5027801234476</c:v>
                </c:pt>
                <c:pt idx="3">
                  <c:v>1768.5891092996837</c:v>
                </c:pt>
                <c:pt idx="4">
                  <c:v>1962.6521136761962</c:v>
                </c:pt>
                <c:pt idx="5">
                  <c:v>2173.8918163122976</c:v>
                </c:pt>
                <c:pt idx="6">
                  <c:v>2401.8153464141437</c:v>
                </c:pt>
                <c:pt idx="7">
                  <c:v>2645.0417741834822</c:v>
                </c:pt>
                <c:pt idx="8">
                  <c:v>2901.2217583227798</c:v>
                </c:pt>
                <c:pt idx="9">
                  <c:v>3167.2048211653878</c:v>
                </c:pt>
                <c:pt idx="10">
                  <c:v>3439.5771764406895</c:v>
                </c:pt>
                <c:pt idx="11">
                  <c:v>3715.6000926725487</c:v>
                </c:pt>
                <c:pt idx="12">
                  <c:v>3994.4330365398973</c:v>
                </c:pt>
                <c:pt idx="13">
                  <c:v>4278.4581579193318</c:v>
                </c:pt>
                <c:pt idx="14">
                  <c:v>4574.7013163090141</c:v>
                </c:pt>
                <c:pt idx="15">
                  <c:v>4896.8963591610445</c:v>
                </c:pt>
                <c:pt idx="16">
                  <c:v>5269.9739385291687</c:v>
                </c:pt>
                <c:pt idx="17">
                  <c:v>5742.4575280855224</c:v>
                </c:pt>
                <c:pt idx="18">
                  <c:v>6429.2012408553983</c:v>
                </c:pt>
                <c:pt idx="19">
                  <c:v>7741.0662663542817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AF-41C9-A7A9-9B0D58B8577E}"/>
            </c:ext>
          </c:extLst>
        </c:ser>
        <c:ser>
          <c:idx val="3"/>
          <c:order val="3"/>
          <c:tx>
            <c:strRef>
              <c:f>'rCav .025'!$A$10</c:f>
              <c:strCache>
                <c:ptCount val="1"/>
                <c:pt idx="0">
                  <c:v>Q double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'rCav .025'!$B$6:$U$6</c:f>
              <c:numCache>
                <c:formatCode>0.00E+00</c:formatCode>
                <c:ptCount val="20"/>
                <c:pt idx="0">
                  <c:v>1.9197255597457132E-5</c:v>
                </c:pt>
                <c:pt idx="1">
                  <c:v>2.9667438800310255E-5</c:v>
                </c:pt>
                <c:pt idx="2">
                  <c:v>4.584805992199947E-5</c:v>
                </c:pt>
                <c:pt idx="3">
                  <c:v>7.0853591803457985E-5</c:v>
                </c:pt>
                <c:pt idx="4">
                  <c:v>1.0949714077306398E-4</c:v>
                </c:pt>
                <c:pt idx="5">
                  <c:v>1.6921688135069308E-4</c:v>
                </c:pt>
                <c:pt idx="6">
                  <c:v>2.615077684393611E-4</c:v>
                </c:pt>
                <c:pt idx="7">
                  <c:v>4.0413410534618864E-4</c:v>
                </c:pt>
                <c:pt idx="8">
                  <c:v>6.2454884640199997E-4</c:v>
                </c:pt>
                <c:pt idx="9">
                  <c:v>9.6517778722965083E-4</c:v>
                </c:pt>
                <c:pt idx="10">
                  <c:v>1.4915857523847024E-3</c:v>
                </c:pt>
                <c:pt idx="11">
                  <c:v>2.3050966217353194E-3</c:v>
                </c:pt>
                <c:pt idx="12">
                  <c:v>3.5622963192297628E-3</c:v>
                </c:pt>
                <c:pt idx="13">
                  <c:v>5.5051727317376757E-3</c:v>
                </c:pt>
                <c:pt idx="14">
                  <c:v>8.5076939396274039E-3</c:v>
                </c:pt>
                <c:pt idx="15">
                  <c:v>1.3147790214300192E-2</c:v>
                </c:pt>
                <c:pt idx="16">
                  <c:v>2.0318594997179518E-2</c:v>
                </c:pt>
                <c:pt idx="17">
                  <c:v>3.1400356708641233E-2</c:v>
                </c:pt>
                <c:pt idx="18">
                  <c:v>4.8526111257534164E-2</c:v>
                </c:pt>
                <c:pt idx="19" formatCode="General">
                  <c:v>7.4992252337393303E-2</c:v>
                </c:pt>
              </c:numCache>
            </c:numRef>
          </c:xVal>
          <c:yVal>
            <c:numRef>
              <c:f>'rCav .025'!$B$10:$U$10</c:f>
              <c:numCache>
                <c:formatCode>0</c:formatCode>
                <c:ptCount val="20"/>
                <c:pt idx="0">
                  <c:v>1287.4783458468935</c:v>
                </c:pt>
                <c:pt idx="1">
                  <c:v>1434.3239047735542</c:v>
                </c:pt>
                <c:pt idx="2">
                  <c:v>1597.3359643059071</c:v>
                </c:pt>
                <c:pt idx="3">
                  <c:v>1777.9529687354654</c:v>
                </c:pt>
                <c:pt idx="4">
                  <c:v>1977.550323291674</c:v>
                </c:pt>
                <c:pt idx="5">
                  <c:v>2197.3275212678482</c:v>
                </c:pt>
                <c:pt idx="6">
                  <c:v>2438.1523182283017</c:v>
                </c:pt>
                <c:pt idx="7">
                  <c:v>2700.3680195602315</c:v>
                </c:pt>
                <c:pt idx="8">
                  <c:v>2983.5943093303408</c:v>
                </c:pt>
                <c:pt idx="9">
                  <c:v>3286.592417463879</c:v>
                </c:pt>
                <c:pt idx="10">
                  <c:v>3607.3153477348774</c:v>
                </c:pt>
                <c:pt idx="11">
                  <c:v>3943.2996245185523</c:v>
                </c:pt>
                <c:pt idx="12">
                  <c:v>4292.5412867814439</c:v>
                </c:pt>
                <c:pt idx="13">
                  <c:v>4654.9279885452161</c:v>
                </c:pt>
                <c:pt idx="14">
                  <c:v>5034.2587403562275</c:v>
                </c:pt>
                <c:pt idx="15">
                  <c:v>5441.1112450299415</c:v>
                </c:pt>
                <c:pt idx="16">
                  <c:v>5897.8004567736898</c:v>
                </c:pt>
                <c:pt idx="17">
                  <c:v>6449.9141837684474</c:v>
                </c:pt>
                <c:pt idx="18">
                  <c:v>7202.2014946226645</c:v>
                </c:pt>
                <c:pt idx="19">
                  <c:v>8483.9780929955523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9AF-41C9-A7A9-9B0D58B85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188880"/>
        <c:axId val="1388198032"/>
      </c:scatterChart>
      <c:valAx>
        <c:axId val="921843215"/>
        <c:scaling>
          <c:orientation val="minMax"/>
          <c:max val="1.0000000000000002E-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0" baseline="0"/>
                  <a:t>Gap d, meters</a:t>
                </a:r>
              </a:p>
            </c:rich>
          </c:tx>
          <c:layout>
            <c:manualLayout>
              <c:xMode val="edge"/>
              <c:yMode val="edge"/>
              <c:x val="0.46529195132196932"/>
              <c:y val="0.90930039040435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850287"/>
        <c:crosses val="autoZero"/>
        <c:crossBetween val="midCat"/>
        <c:majorUnit val="1.0000000000000003E-4"/>
      </c:valAx>
      <c:valAx>
        <c:axId val="921850287"/>
        <c:scaling>
          <c:orientation val="minMax"/>
          <c:max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0" baseline="0"/>
                  <a:t>Frequency, MHz</a:t>
                </a:r>
              </a:p>
            </c:rich>
          </c:tx>
          <c:layout>
            <c:manualLayout>
              <c:xMode val="edge"/>
              <c:yMode val="edge"/>
              <c:x val="2.197802197802198E-2"/>
              <c:y val="0.357248190796959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843215"/>
        <c:crosses val="autoZero"/>
        <c:crossBetween val="midCat"/>
        <c:majorUnit val="100"/>
      </c:valAx>
      <c:valAx>
        <c:axId val="1388198032"/>
        <c:scaling>
          <c:orientation val="minMax"/>
          <c:max val="35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</a:t>
                </a:r>
                <a:r>
                  <a:rPr lang="en-US" baseline="0"/>
                  <a:t> (quality factor)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93956043956043955"/>
              <c:y val="0.35152289489825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188880"/>
        <c:crosses val="max"/>
        <c:crossBetween val="midCat"/>
      </c:valAx>
      <c:valAx>
        <c:axId val="1388188880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1388198032"/>
        <c:crosses val="autoZero"/>
        <c:crossBetween val="midCat"/>
      </c:valAx>
      <c:spPr>
        <a:noFill/>
        <a:ln>
          <a:solidFill>
            <a:srgbClr val="00B0F0"/>
          </a:solidFill>
        </a:ln>
        <a:effectLst/>
      </c:spPr>
    </c:plotArea>
    <c:legend>
      <c:legendPos val="b"/>
      <c:layout>
        <c:manualLayout>
          <c:xMode val="edge"/>
          <c:yMode val="edge"/>
          <c:x val="0.4568178016209512"/>
          <c:y val="0.54127822172517448"/>
          <c:w val="0.3311590378125811"/>
          <c:h val="0.142788654308384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rgbClr val="00B0F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/>
              <a:t>Re-entrant cylindrical cavity: single post and double equal posts, log-log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09189235960891"/>
          <c:y val="9.5375722543352595E-2"/>
          <c:w val="0.7612027342736003"/>
          <c:h val="0.71943731022061552"/>
        </c:manualLayout>
      </c:layout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921843215"/>
        <c:axId val="92185028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'rCav .05'!$A$7</c15:sqref>
                        </c15:formulaRef>
                      </c:ext>
                    </c:extLst>
                    <c:strCache>
                      <c:ptCount val="1"/>
                      <c:pt idx="0">
                        <c:v>f0 single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'rCav .05'!$B$6:$U$6</c15:sqref>
                        </c15:formulaRef>
                      </c:ext>
                    </c:extLst>
                    <c:numCache>
                      <c:formatCode>0.00E+00</c:formatCode>
                      <c:ptCount val="20"/>
                      <c:pt idx="0">
                        <c:v>1.5877224526913882E-4</c:v>
                      </c:pt>
                      <c:pt idx="1">
                        <c:v>2.2770321555273546E-4</c:v>
                      </c:pt>
                      <c:pt idx="2">
                        <c:v>3.2656056658495559E-4</c:v>
                      </c:pt>
                      <c:pt idx="3">
                        <c:v>4.6833683656781407E-4</c:v>
                      </c:pt>
                      <c:pt idx="4">
                        <c:v>6.7166527416373056E-4</c:v>
                      </c:pt>
                      <c:pt idx="5">
                        <c:v>9.632687529419142E-4</c:v>
                      </c:pt>
                      <c:pt idx="6">
                        <c:v>1.3814718820316463E-3</c:v>
                      </c:pt>
                      <c:pt idx="7">
                        <c:v>1.9812378996156856E-3</c:v>
                      </c:pt>
                      <c:pt idx="8">
                        <c:v>2.8413923337338356E-3</c:v>
                      </c:pt>
                      <c:pt idx="9">
                        <c:v>4.0749828154243804E-3</c:v>
                      </c:pt>
                      <c:pt idx="10">
                        <c:v>5.8441366047408752E-3</c:v>
                      </c:pt>
                      <c:pt idx="11">
                        <c:v>8.381368511689127E-3</c:v>
                      </c:pt>
                      <c:pt idx="12">
                        <c:v>1.2020139651038961E-2</c:v>
                      </c:pt>
                      <c:pt idx="13">
                        <c:v>1.7238683280537528E-2</c:v>
                      </c:pt>
                      <c:pt idx="14">
                        <c:v>2.4722857626782897E-2</c:v>
                      </c:pt>
                      <c:pt idx="15">
                        <c:v>3.5456286265450693E-2</c:v>
                      </c:pt>
                      <c:pt idx="16">
                        <c:v>5.0849632947596111E-2</c:v>
                      </c:pt>
                      <c:pt idx="17">
                        <c:v>7.2926001091794965E-2</c:v>
                      </c:pt>
                      <c:pt idx="18">
                        <c:v>0.10458682446579776</c:v>
                      </c:pt>
                      <c:pt idx="19" formatCode="General">
                        <c:v>0.14999319430762387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'rCav .05'!$B$7:$U$7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99.99971423559515</c:v>
                      </c:pt>
                      <c:pt idx="1">
                        <c:v>118.76944926171264</c:v>
                      </c:pt>
                      <c:pt idx="2">
                        <c:v>140.68714984888626</c:v>
                      </c:pt>
                      <c:pt idx="3">
                        <c:v>166.08830840275766</c:v>
                      </c:pt>
                      <c:pt idx="4">
                        <c:v>195.2566448720298</c:v>
                      </c:pt>
                      <c:pt idx="5">
                        <c:v>228.38853719584438</c:v>
                      </c:pt>
                      <c:pt idx="6">
                        <c:v>265.56261104814081</c:v>
                      </c:pt>
                      <c:pt idx="7">
                        <c:v>306.7288190222398</c:v>
                      </c:pt>
                      <c:pt idx="8">
                        <c:v>351.73417298449277</c:v>
                      </c:pt>
                      <c:pt idx="9">
                        <c:v>400.39931156342351</c:v>
                      </c:pt>
                      <c:pt idx="10">
                        <c:v>452.65089108494078</c:v>
                      </c:pt>
                      <c:pt idx="11">
                        <c:v>508.70517504028476</c:v>
                      </c:pt>
                      <c:pt idx="12" formatCode="0.0">
                        <c:v>569.29993800627744</c:v>
                      </c:pt>
                      <c:pt idx="13" formatCode="0.0">
                        <c:v>635.99893322851017</c:v>
                      </c:pt>
                      <c:pt idx="14" formatCode="0.0">
                        <c:v>711.66381816016201</c:v>
                      </c:pt>
                      <c:pt idx="15" formatCode="0.0">
                        <c:v>801.35194009593761</c:v>
                      </c:pt>
                      <c:pt idx="16" formatCode="0.0">
                        <c:v>914.34347238729515</c:v>
                      </c:pt>
                      <c:pt idx="17" formatCode="0.0">
                        <c:v>1069.5401663133825</c:v>
                      </c:pt>
                      <c:pt idx="18" formatCode="0.0">
                        <c:v>1313.5877856098577</c:v>
                      </c:pt>
                      <c:pt idx="19" formatCode="0.0">
                        <c:v>1813.9336447726585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12C0-4640-AA74-57F8F55649B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'rCav .05'!$A$8</c15:sqref>
                        </c15:formulaRef>
                      </c:ext>
                    </c:extLst>
                    <c:strCache>
                      <c:ptCount val="1"/>
                      <c:pt idx="0">
                        <c:v>f0 double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'rCav .05'!$B$6:$U$6</c15:sqref>
                        </c15:formulaRef>
                      </c:ext>
                    </c:extLst>
                    <c:numCache>
                      <c:formatCode>0.00E+00</c:formatCode>
                      <c:ptCount val="20"/>
                      <c:pt idx="0">
                        <c:v>1.5877224526913882E-4</c:v>
                      </c:pt>
                      <c:pt idx="1">
                        <c:v>2.2770321555273546E-4</c:v>
                      </c:pt>
                      <c:pt idx="2">
                        <c:v>3.2656056658495559E-4</c:v>
                      </c:pt>
                      <c:pt idx="3">
                        <c:v>4.6833683656781407E-4</c:v>
                      </c:pt>
                      <c:pt idx="4">
                        <c:v>6.7166527416373056E-4</c:v>
                      </c:pt>
                      <c:pt idx="5">
                        <c:v>9.632687529419142E-4</c:v>
                      </c:pt>
                      <c:pt idx="6">
                        <c:v>1.3814718820316463E-3</c:v>
                      </c:pt>
                      <c:pt idx="7">
                        <c:v>1.9812378996156856E-3</c:v>
                      </c:pt>
                      <c:pt idx="8">
                        <c:v>2.8413923337338356E-3</c:v>
                      </c:pt>
                      <c:pt idx="9">
                        <c:v>4.0749828154243804E-3</c:v>
                      </c:pt>
                      <c:pt idx="10">
                        <c:v>5.8441366047408752E-3</c:v>
                      </c:pt>
                      <c:pt idx="11">
                        <c:v>8.381368511689127E-3</c:v>
                      </c:pt>
                      <c:pt idx="12">
                        <c:v>1.2020139651038961E-2</c:v>
                      </c:pt>
                      <c:pt idx="13">
                        <c:v>1.7238683280537528E-2</c:v>
                      </c:pt>
                      <c:pt idx="14">
                        <c:v>2.4722857626782897E-2</c:v>
                      </c:pt>
                      <c:pt idx="15">
                        <c:v>3.5456286265450693E-2</c:v>
                      </c:pt>
                      <c:pt idx="16">
                        <c:v>5.0849632947596111E-2</c:v>
                      </c:pt>
                      <c:pt idx="17">
                        <c:v>7.2926001091794965E-2</c:v>
                      </c:pt>
                      <c:pt idx="18">
                        <c:v>0.10458682446579776</c:v>
                      </c:pt>
                      <c:pt idx="19" formatCode="General">
                        <c:v>0.14999319430762387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'rCav .05'!$B$8:$U$8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101.16743063982062</c:v>
                      </c:pt>
                      <c:pt idx="1">
                        <c:v>120.63821524298021</c:v>
                      </c:pt>
                      <c:pt idx="2">
                        <c:v>143.65111824098935</c:v>
                      </c:pt>
                      <c:pt idx="3">
                        <c:v>170.73784963430953</c:v>
                      </c:pt>
                      <c:pt idx="4">
                        <c:v>202.45326462778124</c:v>
                      </c:pt>
                      <c:pt idx="5">
                        <c:v>239.34975648796814</c:v>
                      </c:pt>
                      <c:pt idx="6">
                        <c:v>281.94375913829543</c:v>
                      </c:pt>
                      <c:pt idx="7">
                        <c:v>330.67983121071359</c:v>
                      </c:pt>
                      <c:pt idx="8">
                        <c:v>385.90440449659718</c:v>
                      </c:pt>
                      <c:pt idx="9">
                        <c:v>447.86898782108096</c:v>
                      </c:pt>
                      <c:pt idx="10">
                        <c:v>516.78880810624094</c:v>
                      </c:pt>
                      <c:pt idx="11">
                        <c:v>592.98495989199921</c:v>
                      </c:pt>
                      <c:pt idx="12" formatCode="0.0">
                        <c:v>677.13771119975604</c:v>
                      </c:pt>
                      <c:pt idx="13" formatCode="0.0">
                        <c:v>770.6874034026057</c:v>
                      </c:pt>
                      <c:pt idx="14" formatCode="0.0">
                        <c:v>876.46638103362</c:v>
                      </c:pt>
                      <c:pt idx="15" formatCode="0.0">
                        <c:v>999.79533988087155</c:v>
                      </c:pt>
                      <c:pt idx="16" formatCode="0.0">
                        <c:v>1150.7144173303484</c:v>
                      </c:pt>
                      <c:pt idx="17" formatCode="0.0">
                        <c:v>1349.4464566835168</c:v>
                      </c:pt>
                      <c:pt idx="18" formatCode="0.0">
                        <c:v>1643.1351841826222</c:v>
                      </c:pt>
                      <c:pt idx="19" formatCode="0.0">
                        <c:v>2178.7797980217856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2C0-4640-AA74-57F8F55649B7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2"/>
          <c:order val="2"/>
          <c:tx>
            <c:v>Q single</c:v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'rCav .05'!$B$6:$U$6</c:f>
              <c:numCache>
                <c:formatCode>0.00E+00</c:formatCode>
                <c:ptCount val="20"/>
                <c:pt idx="0">
                  <c:v>1.5877224526913882E-4</c:v>
                </c:pt>
                <c:pt idx="1">
                  <c:v>2.2770321555273546E-4</c:v>
                </c:pt>
                <c:pt idx="2">
                  <c:v>3.2656056658495559E-4</c:v>
                </c:pt>
                <c:pt idx="3">
                  <c:v>4.6833683656781407E-4</c:v>
                </c:pt>
                <c:pt idx="4">
                  <c:v>6.7166527416373056E-4</c:v>
                </c:pt>
                <c:pt idx="5">
                  <c:v>9.632687529419142E-4</c:v>
                </c:pt>
                <c:pt idx="6">
                  <c:v>1.3814718820316463E-3</c:v>
                </c:pt>
                <c:pt idx="7">
                  <c:v>1.9812378996156856E-3</c:v>
                </c:pt>
                <c:pt idx="8">
                  <c:v>2.8413923337338356E-3</c:v>
                </c:pt>
                <c:pt idx="9">
                  <c:v>4.0749828154243804E-3</c:v>
                </c:pt>
                <c:pt idx="10">
                  <c:v>5.8441366047408752E-3</c:v>
                </c:pt>
                <c:pt idx="11">
                  <c:v>8.381368511689127E-3</c:v>
                </c:pt>
                <c:pt idx="12">
                  <c:v>1.2020139651038961E-2</c:v>
                </c:pt>
                <c:pt idx="13">
                  <c:v>1.7238683280537528E-2</c:v>
                </c:pt>
                <c:pt idx="14">
                  <c:v>2.4722857626782897E-2</c:v>
                </c:pt>
                <c:pt idx="15">
                  <c:v>3.5456286265450693E-2</c:v>
                </c:pt>
                <c:pt idx="16">
                  <c:v>5.0849632947596111E-2</c:v>
                </c:pt>
                <c:pt idx="17">
                  <c:v>7.2926001091794965E-2</c:v>
                </c:pt>
                <c:pt idx="18">
                  <c:v>0.10458682446579776</c:v>
                </c:pt>
                <c:pt idx="19" formatCode="General">
                  <c:v>0.14999319430762387</c:v>
                </c:pt>
              </c:numCache>
              <c:extLst xmlns:c15="http://schemas.microsoft.com/office/drawing/2012/chart"/>
            </c:numRef>
          </c:xVal>
          <c:yVal>
            <c:numRef>
              <c:f>Calculations!$B$16:$U$16</c:f>
              <c:numCache>
                <c:formatCode>0</c:formatCode>
                <c:ptCount val="20"/>
                <c:pt idx="0">
                  <c:v>1682.9511729095098</c:v>
                </c:pt>
                <c:pt idx="1">
                  <c:v>1878.3443992794093</c:v>
                </c:pt>
                <c:pt idx="2">
                  <c:v>2094.4749125086792</c:v>
                </c:pt>
                <c:pt idx="3">
                  <c:v>2332.3963528234508</c:v>
                </c:pt>
                <c:pt idx="4">
                  <c:v>2592.5709116962998</c:v>
                </c:pt>
                <c:pt idx="5">
                  <c:v>2874.544360575183</c:v>
                </c:pt>
                <c:pt idx="6">
                  <c:v>3176.6039688122914</c:v>
                </c:pt>
                <c:pt idx="7">
                  <c:v>3495.5385444068529</c:v>
                </c:pt>
                <c:pt idx="8">
                  <c:v>3826.6950909547331</c:v>
                </c:pt>
                <c:pt idx="9">
                  <c:v>4164.5450889409994</c:v>
                </c:pt>
                <c:pt idx="10">
                  <c:v>4503.8535690361914</c:v>
                </c:pt>
                <c:pt idx="11">
                  <c:v>4841.2831260718494</c:v>
                </c:pt>
                <c:pt idx="12">
                  <c:v>5177.0384400979656</c:v>
                </c:pt>
                <c:pt idx="13">
                  <c:v>5516.2361481604648</c:v>
                </c:pt>
                <c:pt idx="14">
                  <c:v>5870.1838760488736</c:v>
                </c:pt>
                <c:pt idx="15">
                  <c:v>6258.6068510768091</c:v>
                </c:pt>
                <c:pt idx="16">
                  <c:v>6715.4291574366443</c:v>
                </c:pt>
                <c:pt idx="17">
                  <c:v>7305.6786772159849</c:v>
                </c:pt>
                <c:pt idx="18">
                  <c:v>8185.297179630049</c:v>
                </c:pt>
                <c:pt idx="19">
                  <c:v>9940.185771659957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12C0-4640-AA74-57F8F55649B7}"/>
            </c:ext>
          </c:extLst>
        </c:ser>
        <c:ser>
          <c:idx val="3"/>
          <c:order val="3"/>
          <c:tx>
            <c:v>Q double</c:v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'rCav .05'!$B$6:$U$6</c:f>
              <c:numCache>
                <c:formatCode>0.00E+00</c:formatCode>
                <c:ptCount val="20"/>
                <c:pt idx="0">
                  <c:v>1.5877224526913882E-4</c:v>
                </c:pt>
                <c:pt idx="1">
                  <c:v>2.2770321555273546E-4</c:v>
                </c:pt>
                <c:pt idx="2">
                  <c:v>3.2656056658495559E-4</c:v>
                </c:pt>
                <c:pt idx="3">
                  <c:v>4.6833683656781407E-4</c:v>
                </c:pt>
                <c:pt idx="4">
                  <c:v>6.7166527416373056E-4</c:v>
                </c:pt>
                <c:pt idx="5">
                  <c:v>9.632687529419142E-4</c:v>
                </c:pt>
                <c:pt idx="6">
                  <c:v>1.3814718820316463E-3</c:v>
                </c:pt>
                <c:pt idx="7">
                  <c:v>1.9812378996156856E-3</c:v>
                </c:pt>
                <c:pt idx="8">
                  <c:v>2.8413923337338356E-3</c:v>
                </c:pt>
                <c:pt idx="9">
                  <c:v>4.0749828154243804E-3</c:v>
                </c:pt>
                <c:pt idx="10">
                  <c:v>5.8441366047408752E-3</c:v>
                </c:pt>
                <c:pt idx="11">
                  <c:v>8.381368511689127E-3</c:v>
                </c:pt>
                <c:pt idx="12">
                  <c:v>1.2020139651038961E-2</c:v>
                </c:pt>
                <c:pt idx="13">
                  <c:v>1.7238683280537528E-2</c:v>
                </c:pt>
                <c:pt idx="14">
                  <c:v>2.4722857626782897E-2</c:v>
                </c:pt>
                <c:pt idx="15">
                  <c:v>3.5456286265450693E-2</c:v>
                </c:pt>
                <c:pt idx="16">
                  <c:v>5.0849632947596111E-2</c:v>
                </c:pt>
                <c:pt idx="17">
                  <c:v>7.2926001091794965E-2</c:v>
                </c:pt>
                <c:pt idx="18">
                  <c:v>0.10458682446579776</c:v>
                </c:pt>
                <c:pt idx="19" formatCode="General">
                  <c:v>0.14999319430762387</c:v>
                </c:pt>
              </c:numCache>
              <c:extLst xmlns:c15="http://schemas.microsoft.com/office/drawing/2012/chart"/>
            </c:numRef>
          </c:xVal>
          <c:yVal>
            <c:numRef>
              <c:f>'rCav .05'!$B$10:$U$10</c:f>
              <c:numCache>
                <c:formatCode>0</c:formatCode>
                <c:ptCount val="20"/>
                <c:pt idx="0">
                  <c:v>2585.4779503376126</c:v>
                </c:pt>
                <c:pt idx="1">
                  <c:v>2823.3383671823267</c:v>
                </c:pt>
                <c:pt idx="2">
                  <c:v>3080.8814245301987</c:v>
                </c:pt>
                <c:pt idx="3">
                  <c:v>3358.8095696772111</c:v>
                </c:pt>
                <c:pt idx="4">
                  <c:v>3657.487666796555</c:v>
                </c:pt>
                <c:pt idx="5">
                  <c:v>3976.8295132444728</c:v>
                </c:pt>
                <c:pt idx="6">
                  <c:v>4316.2015972540039</c:v>
                </c:pt>
                <c:pt idx="7">
                  <c:v>4674.383408806867</c:v>
                </c:pt>
                <c:pt idx="8">
                  <c:v>5049.6391683639413</c:v>
                </c:pt>
                <c:pt idx="9">
                  <c:v>5439.9633503376244</c:v>
                </c:pt>
                <c:pt idx="10">
                  <c:v>5843.5535474877315</c:v>
                </c:pt>
                <c:pt idx="11">
                  <c:v>6259.5385345332315</c:v>
                </c:pt>
                <c:pt idx="12">
                  <c:v>6688.9658515407646</c:v>
                </c:pt>
                <c:pt idx="13">
                  <c:v>7136.0783306552639</c:v>
                </c:pt>
                <c:pt idx="14">
                  <c:v>7610.060498819912</c:v>
                </c:pt>
                <c:pt idx="15">
                  <c:v>8127.8565910259513</c:v>
                </c:pt>
                <c:pt idx="16">
                  <c:v>8719.7544521555919</c:v>
                </c:pt>
                <c:pt idx="17">
                  <c:v>9442.7459796373059</c:v>
                </c:pt>
                <c:pt idx="18">
                  <c:v>10419.745841971479</c:v>
                </c:pt>
                <c:pt idx="19">
                  <c:v>11998.505310854545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12C0-4640-AA74-57F8F5564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188880"/>
        <c:axId val="1388198032"/>
        <c:extLst/>
      </c:scatterChart>
      <c:valAx>
        <c:axId val="921843215"/>
        <c:scaling>
          <c:logBase val="10"/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0" baseline="0"/>
                  <a:t>Gap d, meters</a:t>
                </a:r>
              </a:p>
            </c:rich>
          </c:tx>
          <c:layout>
            <c:manualLayout>
              <c:xMode val="edge"/>
              <c:yMode val="edge"/>
              <c:x val="0.46529195132196932"/>
              <c:y val="0.90930039040435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850287"/>
        <c:crosses val="autoZero"/>
        <c:crossBetween val="midCat"/>
      </c:valAx>
      <c:valAx>
        <c:axId val="921850287"/>
        <c:scaling>
          <c:logBase val="10"/>
          <c:orientation val="minMax"/>
          <c:max val="15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0" baseline="0"/>
                  <a:t>Quality Factor Q</a:t>
                </a:r>
              </a:p>
            </c:rich>
          </c:tx>
          <c:layout>
            <c:manualLayout>
              <c:xMode val="edge"/>
              <c:yMode val="edge"/>
              <c:x val="2.197802197802198E-2"/>
              <c:y val="0.357248190796959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out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843215"/>
        <c:crosses val="autoZero"/>
        <c:crossBetween val="midCat"/>
        <c:majorUnit val="1000"/>
      </c:valAx>
      <c:valAx>
        <c:axId val="1388198032"/>
        <c:scaling>
          <c:logBase val="10"/>
          <c:orientation val="minMax"/>
          <c:max val="12000"/>
        </c:scaling>
        <c:delete val="1"/>
        <c:axPos val="r"/>
        <c:numFmt formatCode="0" sourceLinked="1"/>
        <c:majorTickMark val="out"/>
        <c:minorTickMark val="none"/>
        <c:tickLblPos val="nextTo"/>
        <c:crossAx val="1388188880"/>
        <c:crosses val="max"/>
        <c:crossBetween val="midCat"/>
      </c:valAx>
      <c:valAx>
        <c:axId val="1388188880"/>
        <c:scaling>
          <c:logBase val="10"/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1388198032"/>
        <c:crosses val="autoZero"/>
        <c:crossBetween val="midCat"/>
      </c:valAx>
      <c:spPr>
        <a:noFill/>
        <a:ln>
          <a:solidFill>
            <a:srgbClr val="00B0F0"/>
          </a:solidFill>
        </a:ln>
        <a:effectLst/>
      </c:spPr>
    </c:plotArea>
    <c:legend>
      <c:legendPos val="b"/>
      <c:layout>
        <c:manualLayout>
          <c:xMode val="edge"/>
          <c:yMode val="edge"/>
          <c:x val="0.4568178016209512"/>
          <c:y val="0.54127822172517448"/>
          <c:w val="0.3311590378125811"/>
          <c:h val="0.142788654308384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rgbClr val="00B0F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rgbClr val="000000"/>
                  </a:solidFill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Optimize post r for maximum gap &amp; maximum Q </a:t>
            </a:r>
            <a:r>
              <a:rPr lang="en-US" baseline="0"/>
              <a:t>with</a:t>
            </a:r>
            <a:r>
              <a:rPr lang="en-US"/>
              <a:t> cavity r</a:t>
            </a:r>
            <a:r>
              <a:rPr lang="en-US" baseline="0"/>
              <a:t> =.025 m, </a:t>
            </a:r>
            <a:r>
              <a:rPr lang="en-US" baseline="0">
                <a:solidFill>
                  <a:srgbClr val="FF0000"/>
                </a:solidFill>
              </a:rPr>
              <a:t>height .10 m</a:t>
            </a:r>
            <a:endParaRPr lang="en-US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000000"/>
                </a:solidFill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78872538891824"/>
          <c:y val="0.13191884479007054"/>
          <c:w val="0.74205507474830956"/>
          <c:h val="0.670496023022503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'Optimize Rcav = .025'!$A$45</c:f>
              <c:strCache>
                <c:ptCount val="1"/>
                <c:pt idx="0">
                  <c:v>Q at 100 MHz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'Optimize Rcav = .025'!$B$43:$Q$43</c:f>
              <c:numCache>
                <c:formatCode>0.0000</c:formatCode>
                <c:ptCount val="16"/>
                <c:pt idx="0">
                  <c:v>2.5000000000000001E-3</c:v>
                </c:pt>
                <c:pt idx="1">
                  <c:v>5.0000000000000001E-3</c:v>
                </c:pt>
                <c:pt idx="2">
                  <c:v>6.0000000000000001E-3</c:v>
                </c:pt>
                <c:pt idx="3">
                  <c:v>7.0000000000000001E-3</c:v>
                </c:pt>
                <c:pt idx="4">
                  <c:v>7.1000000000000004E-3</c:v>
                </c:pt>
                <c:pt idx="5">
                  <c:v>7.1999999999999998E-3</c:v>
                </c:pt>
                <c:pt idx="6">
                  <c:v>7.4999999999999997E-3</c:v>
                </c:pt>
                <c:pt idx="7">
                  <c:v>8.0000000000000002E-3</c:v>
                </c:pt>
                <c:pt idx="8">
                  <c:v>0.01</c:v>
                </c:pt>
                <c:pt idx="9">
                  <c:v>1.0999999999999999E-2</c:v>
                </c:pt>
                <c:pt idx="10">
                  <c:v>1.2E-2</c:v>
                </c:pt>
                <c:pt idx="11">
                  <c:v>1.4E-2</c:v>
                </c:pt>
                <c:pt idx="12">
                  <c:v>1.4999999999999999E-2</c:v>
                </c:pt>
                <c:pt idx="13">
                  <c:v>1.6E-2</c:v>
                </c:pt>
                <c:pt idx="14">
                  <c:v>1.7500000000000002E-2</c:v>
                </c:pt>
                <c:pt idx="15">
                  <c:v>0.02</c:v>
                </c:pt>
              </c:numCache>
            </c:numRef>
          </c:xVal>
          <c:yVal>
            <c:numRef>
              <c:f>'Optimize Rcav = .025'!$B$45:$Q$45</c:f>
              <c:numCache>
                <c:formatCode>General</c:formatCode>
                <c:ptCount val="16"/>
                <c:pt idx="0">
                  <c:v>1434</c:v>
                </c:pt>
                <c:pt idx="1">
                  <c:v>1790</c:v>
                </c:pt>
                <c:pt idx="2">
                  <c:v>1836</c:v>
                </c:pt>
                <c:pt idx="3">
                  <c:v>1849</c:v>
                </c:pt>
                <c:pt idx="4">
                  <c:v>1849</c:v>
                </c:pt>
                <c:pt idx="5">
                  <c:v>1849</c:v>
                </c:pt>
                <c:pt idx="6">
                  <c:v>1846</c:v>
                </c:pt>
                <c:pt idx="7">
                  <c:v>1836</c:v>
                </c:pt>
                <c:pt idx="8">
                  <c:v>1752</c:v>
                </c:pt>
                <c:pt idx="9">
                  <c:v>1687</c:v>
                </c:pt>
                <c:pt idx="10">
                  <c:v>1610</c:v>
                </c:pt>
                <c:pt idx="11">
                  <c:v>1426</c:v>
                </c:pt>
                <c:pt idx="12">
                  <c:v>1323</c:v>
                </c:pt>
                <c:pt idx="13">
                  <c:v>1212</c:v>
                </c:pt>
                <c:pt idx="14">
                  <c:v>1035</c:v>
                </c:pt>
                <c:pt idx="15">
                  <c:v>715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6B-49FB-88BD-E3B9D2B77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249792"/>
        <c:axId val="1237245216"/>
      </c:scatterChart>
      <c:scatterChart>
        <c:scatterStyle val="smoothMarker"/>
        <c:varyColors val="0"/>
        <c:ser>
          <c:idx val="0"/>
          <c:order val="0"/>
          <c:tx>
            <c:strRef>
              <c:f>'Optimize Rcav = .025'!$A$44</c:f>
              <c:strCache>
                <c:ptCount val="1"/>
                <c:pt idx="0">
                  <c:v>gap for 100 MHz, µm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'Optimize Rcav = .025'!$B$43:$Q$43</c:f>
              <c:numCache>
                <c:formatCode>0.0000</c:formatCode>
                <c:ptCount val="16"/>
                <c:pt idx="0">
                  <c:v>2.5000000000000001E-3</c:v>
                </c:pt>
                <c:pt idx="1">
                  <c:v>5.0000000000000001E-3</c:v>
                </c:pt>
                <c:pt idx="2">
                  <c:v>6.0000000000000001E-3</c:v>
                </c:pt>
                <c:pt idx="3">
                  <c:v>7.0000000000000001E-3</c:v>
                </c:pt>
                <c:pt idx="4">
                  <c:v>7.1000000000000004E-3</c:v>
                </c:pt>
                <c:pt idx="5">
                  <c:v>7.1999999999999998E-3</c:v>
                </c:pt>
                <c:pt idx="6">
                  <c:v>7.4999999999999997E-3</c:v>
                </c:pt>
                <c:pt idx="7">
                  <c:v>8.0000000000000002E-3</c:v>
                </c:pt>
                <c:pt idx="8">
                  <c:v>0.01</c:v>
                </c:pt>
                <c:pt idx="9">
                  <c:v>1.0999999999999999E-2</c:v>
                </c:pt>
                <c:pt idx="10">
                  <c:v>1.2E-2</c:v>
                </c:pt>
                <c:pt idx="11">
                  <c:v>1.4E-2</c:v>
                </c:pt>
                <c:pt idx="12">
                  <c:v>1.4999999999999999E-2</c:v>
                </c:pt>
                <c:pt idx="13">
                  <c:v>1.6E-2</c:v>
                </c:pt>
                <c:pt idx="14">
                  <c:v>1.7500000000000002E-2</c:v>
                </c:pt>
                <c:pt idx="15">
                  <c:v>0.02</c:v>
                </c:pt>
              </c:numCache>
            </c:numRef>
          </c:xVal>
          <c:yVal>
            <c:numRef>
              <c:f>'Optimize Rcav = .025'!$B$44:$Q$44</c:f>
              <c:numCache>
                <c:formatCode>0.0</c:formatCode>
                <c:ptCount val="16"/>
                <c:pt idx="0">
                  <c:v>3.2</c:v>
                </c:pt>
                <c:pt idx="1">
                  <c:v>8.9</c:v>
                </c:pt>
                <c:pt idx="2">
                  <c:v>11.4</c:v>
                </c:pt>
                <c:pt idx="3">
                  <c:v>13.9</c:v>
                </c:pt>
                <c:pt idx="4">
                  <c:v>14.1</c:v>
                </c:pt>
                <c:pt idx="5">
                  <c:v>14.3</c:v>
                </c:pt>
                <c:pt idx="6">
                  <c:v>15</c:v>
                </c:pt>
                <c:pt idx="7">
                  <c:v>16.2</c:v>
                </c:pt>
                <c:pt idx="8">
                  <c:v>20.399999999999999</c:v>
                </c:pt>
                <c:pt idx="9">
                  <c:v>22.1</c:v>
                </c:pt>
                <c:pt idx="10">
                  <c:v>23.5</c:v>
                </c:pt>
                <c:pt idx="11">
                  <c:v>25.2</c:v>
                </c:pt>
                <c:pt idx="12">
                  <c:v>25.5</c:v>
                </c:pt>
                <c:pt idx="13">
                  <c:v>25.3</c:v>
                </c:pt>
                <c:pt idx="14">
                  <c:v>24.2</c:v>
                </c:pt>
                <c:pt idx="15">
                  <c:v>19.7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6B-49FB-88BD-E3B9D2B77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208464"/>
        <c:axId val="1163218032"/>
      </c:scatterChart>
      <c:valAx>
        <c:axId val="1237249792"/>
        <c:scaling>
          <c:orientation val="minMax"/>
          <c:max val="2.0000000000000004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solidFill>
                        <a:srgbClr val="000000"/>
                      </a:solidFill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Post radius, meters</a:t>
                </a:r>
              </a:p>
            </c:rich>
          </c:tx>
          <c:layout>
            <c:manualLayout>
              <c:xMode val="edge"/>
              <c:yMode val="edge"/>
              <c:x val="0.42423423423423423"/>
              <c:y val="0.888053612587766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solidFill>
                      <a:srgbClr val="000000"/>
                    </a:solidFill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245216"/>
        <c:crosses val="autoZero"/>
        <c:crossBetween val="midCat"/>
        <c:majorUnit val="2.0000000000000005E-3"/>
      </c:valAx>
      <c:valAx>
        <c:axId val="123724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solidFill>
                        <a:schemeClr val="accent2">
                          <a:lumMod val="50000"/>
                        </a:schemeClr>
                      </a:solidFill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n>
                      <a:solidFill>
                        <a:schemeClr val="accent2">
                          <a:lumMod val="50000"/>
                        </a:schemeClr>
                      </a:solidFill>
                    </a:ln>
                  </a:rPr>
                  <a:t>Qualaity factor,</a:t>
                </a:r>
                <a:r>
                  <a:rPr lang="en-US" baseline="0">
                    <a:ln>
                      <a:solidFill>
                        <a:schemeClr val="accent2">
                          <a:lumMod val="50000"/>
                        </a:schemeClr>
                      </a:solidFill>
                    </a:ln>
                  </a:rPr>
                  <a:t> </a:t>
                </a:r>
                <a:r>
                  <a:rPr lang="en-US">
                    <a:ln>
                      <a:solidFill>
                        <a:schemeClr val="accent2">
                          <a:lumMod val="50000"/>
                        </a:schemeClr>
                      </a:solidFill>
                    </a:ln>
                  </a:rPr>
                  <a:t>Q</a:t>
                </a:r>
              </a:p>
            </c:rich>
          </c:tx>
          <c:layout>
            <c:manualLayout>
              <c:xMode val="edge"/>
              <c:yMode val="edge"/>
              <c:x val="3.1800196850393703E-2"/>
              <c:y val="0.33901283993044179"/>
            </c:manualLayout>
          </c:layout>
          <c:overlay val="0"/>
          <c:spPr>
            <a:solidFill>
              <a:schemeClr val="bg1"/>
            </a:solidFill>
            <a:ln>
              <a:solidFill>
                <a:schemeClr val="accent2">
                  <a:lumMod val="50000"/>
                </a:schemeClr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solidFill>
                      <a:schemeClr val="accent2">
                        <a:lumMod val="50000"/>
                      </a:schemeClr>
                    </a:solidFill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accent2">
                      <a:lumMod val="50000"/>
                    </a:schemeClr>
                  </a:solidFill>
                </a:ln>
                <a:solidFill>
                  <a:schemeClr val="accent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249792"/>
        <c:crosses val="autoZero"/>
        <c:crossBetween val="midCat"/>
      </c:valAx>
      <c:valAx>
        <c:axId val="11632180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solidFill>
                        <a:srgbClr val="0070C0"/>
                      </a:solidFill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n>
                      <a:solidFill>
                        <a:srgbClr val="0070C0"/>
                      </a:solidFill>
                    </a:ln>
                  </a:rPr>
                  <a:t>Gap </a:t>
                </a:r>
                <a:r>
                  <a:rPr lang="en-US" baseline="0">
                    <a:ln>
                      <a:solidFill>
                        <a:srgbClr val="0070C0"/>
                      </a:solidFill>
                    </a:ln>
                  </a:rPr>
                  <a:t> at 100 MHz, micrometers</a:t>
                </a:r>
                <a:endParaRPr lang="en-US">
                  <a:ln>
                    <a:solidFill>
                      <a:srgbClr val="0070C0"/>
                    </a:solidFill>
                  </a:ln>
                </a:endParaRPr>
              </a:p>
            </c:rich>
          </c:tx>
          <c:layout>
            <c:manualLayout>
              <c:xMode val="edge"/>
              <c:yMode val="edge"/>
              <c:x val="0.9372450787401575"/>
              <c:y val="0.23058997546566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solidFill>
                      <a:srgbClr val="0070C0"/>
                    </a:solidFill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solidFill>
            <a:sysClr val="window" lastClr="FFFFFF"/>
          </a:solidFill>
          <a:ln w="9525" cap="flat" cmpd="sng" algn="ctr">
            <a:solidFill>
              <a:schemeClr val="accent5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B0F0"/>
                  </a:solidFill>
                </a:ln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208464"/>
        <c:crosses val="max"/>
        <c:crossBetween val="midCat"/>
      </c:valAx>
      <c:valAx>
        <c:axId val="1163208464"/>
        <c:scaling>
          <c:orientation val="minMax"/>
        </c:scaling>
        <c:delete val="1"/>
        <c:axPos val="b"/>
        <c:numFmt formatCode="0.0000" sourceLinked="1"/>
        <c:majorTickMark val="out"/>
        <c:minorTickMark val="none"/>
        <c:tickLblPos val="nextTo"/>
        <c:crossAx val="1163218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911456338227991"/>
          <c:y val="0.54018572551527511"/>
          <c:w val="0.34010825177465059"/>
          <c:h val="6.32737836904245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rgbClr val="00206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6.png"/><Relationship Id="rId3" Type="http://schemas.openxmlformats.org/officeDocument/2006/relationships/image" Target="../media/image3.png"/><Relationship Id="rId21" Type="http://schemas.openxmlformats.org/officeDocument/2006/relationships/chart" Target="../charts/chart4.xml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chart" Target="../charts/chart2.xml"/><Relationship Id="rId2" Type="http://schemas.openxmlformats.org/officeDocument/2006/relationships/image" Target="../media/image2.png"/><Relationship Id="rId16" Type="http://schemas.openxmlformats.org/officeDocument/2006/relationships/chart" Target="../charts/chart1.xml"/><Relationship Id="rId20" Type="http://schemas.openxmlformats.org/officeDocument/2006/relationships/chart" Target="../charts/chart3.xml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7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220980</xdr:colOff>
      <xdr:row>78</xdr:row>
      <xdr:rowOff>99060</xdr:rowOff>
    </xdr:from>
    <xdr:to>
      <xdr:col>5</xdr:col>
      <xdr:colOff>220980</xdr:colOff>
      <xdr:row>90</xdr:row>
      <xdr:rowOff>60351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E0A921-07AD-03AF-6A36-28CBD8A70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980" y="723900"/>
          <a:ext cx="3505200" cy="2430171"/>
        </a:xfrm>
        <a:prstGeom prst="rect">
          <a:avLst/>
        </a:prstGeom>
        <a:ln>
          <a:solidFill>
            <a:srgbClr val="002060"/>
          </a:solidFill>
        </a:ln>
      </xdr:spPr>
    </xdr:pic>
    <xdr:clientData/>
  </xdr:twoCellAnchor>
  <xdr:twoCellAnchor editAs="oneCell">
    <xdr:from>
      <xdr:col>6</xdr:col>
      <xdr:colOff>175260</xdr:colOff>
      <xdr:row>79</xdr:row>
      <xdr:rowOff>45720</xdr:rowOff>
    </xdr:from>
    <xdr:to>
      <xdr:col>8</xdr:col>
      <xdr:colOff>607477</xdr:colOff>
      <xdr:row>80</xdr:row>
      <xdr:rowOff>190457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428400-4465-443A-C8A9-91B186A10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15740" y="868680"/>
          <a:ext cx="1742857" cy="342857"/>
        </a:xfrm>
        <a:prstGeom prst="rect">
          <a:avLst/>
        </a:prstGeom>
        <a:ln>
          <a:solidFill>
            <a:srgbClr val="002060"/>
          </a:solidFill>
        </a:ln>
      </xdr:spPr>
    </xdr:pic>
    <xdr:clientData/>
  </xdr:twoCellAnchor>
  <xdr:twoCellAnchor editAs="oneCell">
    <xdr:from>
      <xdr:col>9</xdr:col>
      <xdr:colOff>289560</xdr:colOff>
      <xdr:row>78</xdr:row>
      <xdr:rowOff>83820</xdr:rowOff>
    </xdr:from>
    <xdr:to>
      <xdr:col>13</xdr:col>
      <xdr:colOff>125423</xdr:colOff>
      <xdr:row>81</xdr:row>
      <xdr:rowOff>184698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F11D368-9674-F911-1936-DD72F626B3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50280" y="708660"/>
          <a:ext cx="2457143" cy="695238"/>
        </a:xfrm>
        <a:prstGeom prst="rect">
          <a:avLst/>
        </a:prstGeom>
        <a:ln>
          <a:solidFill>
            <a:srgbClr val="7030A0"/>
          </a:solidFill>
        </a:ln>
      </xdr:spPr>
    </xdr:pic>
    <xdr:clientData/>
  </xdr:twoCellAnchor>
  <xdr:twoCellAnchor editAs="oneCell">
    <xdr:from>
      <xdr:col>13</xdr:col>
      <xdr:colOff>556260</xdr:colOff>
      <xdr:row>78</xdr:row>
      <xdr:rowOff>83820</xdr:rowOff>
    </xdr:from>
    <xdr:to>
      <xdr:col>15</xdr:col>
      <xdr:colOff>302763</xdr:colOff>
      <xdr:row>82</xdr:row>
      <xdr:rowOff>24673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B9AE623-A938-FF42-4B0F-9D573F4EA6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877300" y="906780"/>
          <a:ext cx="1057143" cy="733333"/>
        </a:xfrm>
        <a:prstGeom prst="rect">
          <a:avLst/>
        </a:prstGeom>
        <a:ln>
          <a:solidFill>
            <a:srgbClr val="002060"/>
          </a:solidFill>
        </a:ln>
      </xdr:spPr>
    </xdr:pic>
    <xdr:clientData/>
  </xdr:twoCellAnchor>
  <xdr:twoCellAnchor editAs="oneCell">
    <xdr:from>
      <xdr:col>6</xdr:col>
      <xdr:colOff>205740</xdr:colOff>
      <xdr:row>82</xdr:row>
      <xdr:rowOff>167640</xdr:rowOff>
    </xdr:from>
    <xdr:to>
      <xdr:col>7</xdr:col>
      <xdr:colOff>131372</xdr:colOff>
      <xdr:row>85</xdr:row>
      <xdr:rowOff>118036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22C96E0-05C8-590B-73C2-F6E1BF61EB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046220" y="1584960"/>
          <a:ext cx="580952" cy="590476"/>
        </a:xfrm>
        <a:prstGeom prst="rect">
          <a:avLst/>
        </a:prstGeom>
        <a:ln>
          <a:solidFill>
            <a:srgbClr val="7030A0"/>
          </a:solidFill>
        </a:ln>
      </xdr:spPr>
    </xdr:pic>
    <xdr:clientData/>
  </xdr:twoCellAnchor>
  <xdr:twoCellAnchor editAs="oneCell">
    <xdr:from>
      <xdr:col>7</xdr:col>
      <xdr:colOff>365760</xdr:colOff>
      <xdr:row>82</xdr:row>
      <xdr:rowOff>160020</xdr:rowOff>
    </xdr:from>
    <xdr:to>
      <xdr:col>14</xdr:col>
      <xdr:colOff>7091</xdr:colOff>
      <xdr:row>85</xdr:row>
      <xdr:rowOff>148511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0E77C5D-0F7F-44D2-4C84-2B7899A5DE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632960" y="1440180"/>
          <a:ext cx="4228571" cy="628571"/>
        </a:xfrm>
        <a:prstGeom prst="rect">
          <a:avLst/>
        </a:prstGeom>
        <a:ln>
          <a:solidFill>
            <a:srgbClr val="7030A0"/>
          </a:solidFill>
        </a:ln>
      </xdr:spPr>
    </xdr:pic>
    <xdr:clientData/>
  </xdr:twoCellAnchor>
  <xdr:twoCellAnchor editAs="oneCell">
    <xdr:from>
      <xdr:col>6</xdr:col>
      <xdr:colOff>190500</xdr:colOff>
      <xdr:row>87</xdr:row>
      <xdr:rowOff>22860</xdr:rowOff>
    </xdr:from>
    <xdr:to>
      <xdr:col>7</xdr:col>
      <xdr:colOff>87561</xdr:colOff>
      <xdr:row>89</xdr:row>
      <xdr:rowOff>102810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ED9FE84-9109-8D29-D9CB-BDAEC2AB4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030980" y="2491740"/>
          <a:ext cx="552381" cy="476190"/>
        </a:xfrm>
        <a:prstGeom prst="rect">
          <a:avLst/>
        </a:prstGeom>
        <a:ln>
          <a:solidFill>
            <a:srgbClr val="7030A0"/>
          </a:solidFill>
        </a:ln>
      </xdr:spPr>
    </xdr:pic>
    <xdr:clientData/>
  </xdr:twoCellAnchor>
  <xdr:twoCellAnchor editAs="oneCell">
    <xdr:from>
      <xdr:col>7</xdr:col>
      <xdr:colOff>365760</xdr:colOff>
      <xdr:row>86</xdr:row>
      <xdr:rowOff>144780</xdr:rowOff>
    </xdr:from>
    <xdr:to>
      <xdr:col>14</xdr:col>
      <xdr:colOff>92806</xdr:colOff>
      <xdr:row>90</xdr:row>
      <xdr:rowOff>32298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C1F0847-1D03-572D-9BBD-9A9CB85F92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846320" y="2385060"/>
          <a:ext cx="4314286" cy="695238"/>
        </a:xfrm>
        <a:prstGeom prst="rect">
          <a:avLst/>
        </a:prstGeom>
        <a:ln>
          <a:solidFill>
            <a:srgbClr val="7030A0"/>
          </a:solidFill>
        </a:ln>
      </xdr:spPr>
    </xdr:pic>
    <xdr:clientData/>
  </xdr:twoCellAnchor>
  <xdr:twoCellAnchor editAs="oneCell">
    <xdr:from>
      <xdr:col>15</xdr:col>
      <xdr:colOff>601980</xdr:colOff>
      <xdr:row>78</xdr:row>
      <xdr:rowOff>167640</xdr:rowOff>
    </xdr:from>
    <xdr:to>
      <xdr:col>18</xdr:col>
      <xdr:colOff>102687</xdr:colOff>
      <xdr:row>81</xdr:row>
      <xdr:rowOff>78042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DA7ED39-6432-A167-7D6C-B207F6D4BE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203180" y="792480"/>
          <a:ext cx="1466667" cy="504762"/>
        </a:xfrm>
        <a:prstGeom prst="rect">
          <a:avLst/>
        </a:prstGeom>
        <a:ln>
          <a:solidFill>
            <a:srgbClr val="002060"/>
          </a:solidFill>
        </a:ln>
      </xdr:spPr>
    </xdr:pic>
    <xdr:clientData/>
  </xdr:twoCellAnchor>
  <xdr:twoCellAnchor editAs="oneCell">
    <xdr:from>
      <xdr:col>5</xdr:col>
      <xdr:colOff>563881</xdr:colOff>
      <xdr:row>124</xdr:row>
      <xdr:rowOff>22861</xdr:rowOff>
    </xdr:from>
    <xdr:to>
      <xdr:col>10</xdr:col>
      <xdr:colOff>198120</xdr:colOff>
      <xdr:row>133</xdr:row>
      <xdr:rowOff>41874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F688914-B545-3E84-60C0-B6080B4EC1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764281" y="16291561"/>
          <a:ext cx="2910839" cy="184781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152401</xdr:colOff>
      <xdr:row>124</xdr:row>
      <xdr:rowOff>22860</xdr:rowOff>
    </xdr:from>
    <xdr:to>
      <xdr:col>5</xdr:col>
      <xdr:colOff>69547</xdr:colOff>
      <xdr:row>133</xdr:row>
      <xdr:rowOff>38100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85942EF-119A-C899-3AD9-96C766C12E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52401" y="16283940"/>
          <a:ext cx="3422346" cy="184404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10</xdr:col>
      <xdr:colOff>464820</xdr:colOff>
      <xdr:row>122</xdr:row>
      <xdr:rowOff>91440</xdr:rowOff>
    </xdr:from>
    <xdr:to>
      <xdr:col>14</xdr:col>
      <xdr:colOff>338778</xdr:colOff>
      <xdr:row>125</xdr:row>
      <xdr:rowOff>119930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3A773C5-20EF-39A0-70F7-4DC14B10B3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865620" y="15956280"/>
          <a:ext cx="2495238" cy="67619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10</xdr:col>
      <xdr:colOff>464820</xdr:colOff>
      <xdr:row>126</xdr:row>
      <xdr:rowOff>22860</xdr:rowOff>
    </xdr:from>
    <xdr:to>
      <xdr:col>12</xdr:col>
      <xdr:colOff>316085</xdr:colOff>
      <xdr:row>129</xdr:row>
      <xdr:rowOff>76119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AA08FA6-E296-06C8-3C7A-43475C30E7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865620" y="16733520"/>
          <a:ext cx="1161905" cy="64761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13</xdr:col>
      <xdr:colOff>487679</xdr:colOff>
      <xdr:row>126</xdr:row>
      <xdr:rowOff>7620</xdr:rowOff>
    </xdr:from>
    <xdr:to>
      <xdr:col>17</xdr:col>
      <xdr:colOff>589928</xdr:colOff>
      <xdr:row>130</xdr:row>
      <xdr:rowOff>45720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45A47D28-60EE-6AA7-96B3-4C5A795FA0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808719" y="16718280"/>
          <a:ext cx="2723529" cy="83058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10</xdr:col>
      <xdr:colOff>457200</xdr:colOff>
      <xdr:row>129</xdr:row>
      <xdr:rowOff>175260</xdr:rowOff>
    </xdr:from>
    <xdr:to>
      <xdr:col>13</xdr:col>
      <xdr:colOff>272192</xdr:colOff>
      <xdr:row>133</xdr:row>
      <xdr:rowOff>20875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668CF4BA-E9C3-0910-FAF8-4E50206EB0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858000" y="17480280"/>
          <a:ext cx="1780952" cy="63809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0</xdr:col>
      <xdr:colOff>114300</xdr:colOff>
      <xdr:row>22</xdr:row>
      <xdr:rowOff>163830</xdr:rowOff>
    </xdr:from>
    <xdr:to>
      <xdr:col>10</xdr:col>
      <xdr:colOff>228600</xdr:colOff>
      <xdr:row>47</xdr:row>
      <xdr:rowOff>7620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82FB5D7-BEAE-3D09-3312-AEECB34C9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121920</xdr:colOff>
      <xdr:row>47</xdr:row>
      <xdr:rowOff>152400</xdr:rowOff>
    </xdr:from>
    <xdr:to>
      <xdr:col>10</xdr:col>
      <xdr:colOff>251460</xdr:colOff>
      <xdr:row>70</xdr:row>
      <xdr:rowOff>38100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3F2AE7F-56F0-4C98-99C1-74CA32C4F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10</xdr:col>
      <xdr:colOff>15240</xdr:colOff>
      <xdr:row>180</xdr:row>
      <xdr:rowOff>30480</xdr:rowOff>
    </xdr:from>
    <xdr:to>
      <xdr:col>14</xdr:col>
      <xdr:colOff>108046</xdr:colOff>
      <xdr:row>186</xdr:row>
      <xdr:rowOff>7620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3B2C96F5-134A-26DC-BBBB-D4CE8B20C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659880" y="33169860"/>
          <a:ext cx="2714086" cy="1196340"/>
        </a:xfrm>
        <a:prstGeom prst="rect">
          <a:avLst/>
        </a:prstGeom>
        <a:ln w="12700">
          <a:solidFill>
            <a:schemeClr val="tx1">
              <a:lumMod val="25000"/>
              <a:lumOff val="75000"/>
            </a:schemeClr>
          </a:solidFill>
        </a:ln>
      </xdr:spPr>
    </xdr:pic>
    <xdr:clientData/>
  </xdr:twoCellAnchor>
  <xdr:twoCellAnchor editAs="oneCell">
    <xdr:from>
      <xdr:col>10</xdr:col>
      <xdr:colOff>60960</xdr:colOff>
      <xdr:row>188</xdr:row>
      <xdr:rowOff>68580</xdr:rowOff>
    </xdr:from>
    <xdr:to>
      <xdr:col>13</xdr:col>
      <xdr:colOff>495000</xdr:colOff>
      <xdr:row>192</xdr:row>
      <xdr:rowOff>129426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75AD8C92-C59F-8252-60A4-5913A80E41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705600" y="34884360"/>
          <a:ext cx="2400000" cy="914286"/>
        </a:xfrm>
        <a:prstGeom prst="rect">
          <a:avLst/>
        </a:prstGeom>
        <a:ln w="12700">
          <a:solidFill>
            <a:schemeClr val="tx1">
              <a:lumMod val="25000"/>
              <a:lumOff val="75000"/>
            </a:schemeClr>
          </a:solidFill>
        </a:ln>
      </xdr:spPr>
    </xdr:pic>
    <xdr:clientData/>
  </xdr:twoCellAnchor>
  <xdr:twoCellAnchor>
    <xdr:from>
      <xdr:col>0</xdr:col>
      <xdr:colOff>38100</xdr:colOff>
      <xdr:row>201</xdr:row>
      <xdr:rowOff>186690</xdr:rowOff>
    </xdr:from>
    <xdr:to>
      <xdr:col>8</xdr:col>
      <xdr:colOff>594360</xdr:colOff>
      <xdr:row>222</xdr:row>
      <xdr:rowOff>22860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F835E7E-93C0-DF92-A36A-2E6F66777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327660</xdr:colOff>
      <xdr:row>22</xdr:row>
      <xdr:rowOff>175260</xdr:rowOff>
    </xdr:from>
    <xdr:to>
      <xdr:col>20</xdr:col>
      <xdr:colOff>327660</xdr:colOff>
      <xdr:row>47</xdr:row>
      <xdr:rowOff>15240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11966C5-3C38-4560-89AD-B517364E74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10</xdr:col>
      <xdr:colOff>304800</xdr:colOff>
      <xdr:row>40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AEF422-E7D5-48E8-84CD-D61559470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</xdr:colOff>
      <xdr:row>40</xdr:row>
      <xdr:rowOff>167640</xdr:rowOff>
    </xdr:from>
    <xdr:to>
      <xdr:col>10</xdr:col>
      <xdr:colOff>320040</xdr:colOff>
      <xdr:row>66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EBA482-06AF-414B-81E6-D597DF16E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502920</xdr:colOff>
      <xdr:row>15</xdr:row>
      <xdr:rowOff>22860</xdr:rowOff>
    </xdr:from>
    <xdr:to>
      <xdr:col>21</xdr:col>
      <xdr:colOff>121920</xdr:colOff>
      <xdr:row>40</xdr:row>
      <xdr:rowOff>64770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D1FEF3-C748-4E0E-9226-4CE2BD188E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41</xdr:row>
      <xdr:rowOff>0</xdr:rowOff>
    </xdr:from>
    <xdr:to>
      <xdr:col>21</xdr:col>
      <xdr:colOff>266700</xdr:colOff>
      <xdr:row>66</xdr:row>
      <xdr:rowOff>41910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AFC3E38-904B-41AE-900E-52A7F300F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335280</xdr:colOff>
      <xdr:row>48</xdr:row>
      <xdr:rowOff>3810</xdr:rowOff>
    </xdr:from>
    <xdr:to>
      <xdr:col>17</xdr:col>
      <xdr:colOff>373380</xdr:colOff>
      <xdr:row>66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B1D0A5-FB94-5027-9BF0-812715A88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342900</xdr:colOff>
      <xdr:row>19</xdr:row>
      <xdr:rowOff>7620</xdr:rowOff>
    </xdr:from>
    <xdr:to>
      <xdr:col>17</xdr:col>
      <xdr:colOff>381000</xdr:colOff>
      <xdr:row>37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B4F5E1-8DE6-4344-BA91-3B70483FEF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0.49077</cdr:x>
      <cdr:y>0.15411</cdr:y>
    </cdr:from>
    <cdr:to>
      <cdr:x>0.49077</cdr:x>
      <cdr:y>0.74353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CCD345DD-C479-EF14-05B9-8B30F6FD7ADB}"/>
            </a:ext>
          </a:extLst>
        </cdr:cNvPr>
        <cdr:cNvCxnSpPr/>
      </cdr:nvCxnSpPr>
      <cdr:spPr>
        <a:xfrm xmlns:a="http://schemas.openxmlformats.org/drawingml/2006/main" flipH="1">
          <a:off x="3848132" y="521984"/>
          <a:ext cx="0" cy="199641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0.49077</cdr:x>
      <cdr:y>0.15411</cdr:y>
    </cdr:from>
    <cdr:to>
      <cdr:x>0.49077</cdr:x>
      <cdr:y>0.74353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CCD345DD-C479-EF14-05B9-8B30F6FD7ADB}"/>
            </a:ext>
          </a:extLst>
        </cdr:cNvPr>
        <cdr:cNvCxnSpPr/>
      </cdr:nvCxnSpPr>
      <cdr:spPr>
        <a:xfrm xmlns:a="http://schemas.openxmlformats.org/drawingml/2006/main" flipH="1">
          <a:off x="3848132" y="521984"/>
          <a:ext cx="0" cy="199641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16</xdr:row>
      <xdr:rowOff>0</xdr:rowOff>
    </xdr:from>
    <xdr:to>
      <xdr:col>10</xdr:col>
      <xdr:colOff>53340</xdr:colOff>
      <xdr:row>41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2F324B-5E12-46C0-8089-B5CB2E670A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106680</xdr:colOff>
      <xdr:row>16</xdr:row>
      <xdr:rowOff>0</xdr:rowOff>
    </xdr:from>
    <xdr:to>
      <xdr:col>21</xdr:col>
      <xdr:colOff>7620</xdr:colOff>
      <xdr:row>41</xdr:row>
      <xdr:rowOff>41910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CBE72E-F206-473A-A57C-4C62CB5AD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99060</xdr:colOff>
      <xdr:row>41</xdr:row>
      <xdr:rowOff>167640</xdr:rowOff>
    </xdr:from>
    <xdr:to>
      <xdr:col>10</xdr:col>
      <xdr:colOff>68580</xdr:colOff>
      <xdr:row>67</xdr:row>
      <xdr:rowOff>106680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1F2A2DB-C11A-415F-9BB1-6B44CEC4DC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281940</xdr:colOff>
      <xdr:row>41</xdr:row>
      <xdr:rowOff>175260</xdr:rowOff>
    </xdr:from>
    <xdr:to>
      <xdr:col>20</xdr:col>
      <xdr:colOff>579120</xdr:colOff>
      <xdr:row>67</xdr:row>
      <xdr:rowOff>129540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5EEA8A9-1167-40E1-B339-55C85743BC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mtc-m16.sid.inpe.br/col/sid.inpe.br/marciana/2004/01.16.14.41/doc/JJBarroso_Proc_IMOC2003.pdf" TargetMode="External"/><Relationship Id="rId7" Type="http://schemas.openxmlformats.org/officeDocument/2006/relationships/hyperlink" Target="https://arxiv.org/ftp/arxiv/papers/1308/1308.2755.pdf" TargetMode="External"/><Relationship Id="rId2" Type="http://schemas.openxmlformats.org/officeDocument/2006/relationships/hyperlink" Target="https://ur.booksc.me/book/18439819/414edd" TargetMode="External"/><Relationship Id="rId1" Type="http://schemas.openxmlformats.org/officeDocument/2006/relationships/hyperlink" Target="https://publications.drdo.gov.in/ojs/index.php/dsj/article/view/16814/7540" TargetMode="External"/><Relationship Id="rId6" Type="http://schemas.openxmlformats.org/officeDocument/2006/relationships/hyperlink" Target="https://arxiv.org/ftp/arxiv/papers/1308/1308.2755.pdf" TargetMode="External"/><Relationship Id="rId5" Type="http://schemas.openxmlformats.org/officeDocument/2006/relationships/hyperlink" Target="https://en.wikipedia.org/wiki/Electrical_resistivity_and_conductivity" TargetMode="External"/><Relationship Id="rId4" Type="http://schemas.openxmlformats.org/officeDocument/2006/relationships/hyperlink" Target="https://en.wikipedia.org/wiki/Skin_effect" TargetMode="Externa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Copper_tub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3"/>
  <sheetViews>
    <sheetView tabSelected="1" topLeftCell="A86" workbookViewId="0">
      <selection activeCell="B112" sqref="B112"/>
    </sheetView>
    <sheetView tabSelected="1" topLeftCell="A67" workbookViewId="1">
      <selection activeCell="L70" sqref="L70"/>
    </sheetView>
  </sheetViews>
  <sheetFormatPr defaultRowHeight="14.4" x14ac:dyDescent="0.3"/>
  <cols>
    <col min="1" max="1" width="12.88671875" style="3" customWidth="1"/>
    <col min="2" max="21" width="9.5546875" style="3" customWidth="1"/>
    <col min="22" max="23" width="9.88671875" style="3" customWidth="1"/>
    <col min="24" max="16384" width="8.88671875" style="3"/>
  </cols>
  <sheetData>
    <row r="1" spans="1:21" ht="18" x14ac:dyDescent="0.35">
      <c r="A1" s="2" t="s">
        <v>194</v>
      </c>
    </row>
    <row r="2" spans="1:21" ht="18" x14ac:dyDescent="0.35">
      <c r="A2" s="314" t="s">
        <v>202</v>
      </c>
    </row>
    <row r="3" spans="1:21" ht="63" x14ac:dyDescent="0.35">
      <c r="A3" s="2"/>
      <c r="E3" s="302" t="s">
        <v>102</v>
      </c>
      <c r="F3" s="302" t="s">
        <v>50</v>
      </c>
      <c r="G3" s="302" t="s">
        <v>93</v>
      </c>
      <c r="H3" s="302" t="s">
        <v>104</v>
      </c>
      <c r="I3" s="302" t="s">
        <v>203</v>
      </c>
      <c r="J3" s="302" t="s">
        <v>208</v>
      </c>
      <c r="K3" s="302" t="s">
        <v>209</v>
      </c>
      <c r="L3" s="302" t="s">
        <v>210</v>
      </c>
      <c r="M3" s="302" t="s">
        <v>211</v>
      </c>
      <c r="N3" s="302" t="s">
        <v>212</v>
      </c>
      <c r="O3" s="302" t="s">
        <v>213</v>
      </c>
      <c r="R3" s="302" t="s">
        <v>204</v>
      </c>
    </row>
    <row r="4" spans="1:21" ht="18.600000000000001" thickBot="1" x14ac:dyDescent="0.45">
      <c r="A4" s="178"/>
      <c r="B4" s="4"/>
      <c r="C4" s="4"/>
      <c r="D4" s="4"/>
      <c r="E4" s="319" t="s">
        <v>103</v>
      </c>
      <c r="F4" s="319" t="s">
        <v>9</v>
      </c>
      <c r="G4" s="320" t="s">
        <v>2</v>
      </c>
      <c r="H4" s="319" t="s">
        <v>3</v>
      </c>
    </row>
    <row r="5" spans="1:21" ht="16.2" thickBot="1" x14ac:dyDescent="0.35">
      <c r="A5" s="178" t="s">
        <v>172</v>
      </c>
      <c r="B5" s="4"/>
      <c r="C5" s="186" t="s">
        <v>24</v>
      </c>
      <c r="E5" s="339">
        <v>2.5000000000000001E-2</v>
      </c>
      <c r="F5" s="340">
        <v>0.01</v>
      </c>
      <c r="G5" s="340">
        <v>7.4999999999999997E-2</v>
      </c>
      <c r="H5" s="321">
        <v>1.52231844552102E-5</v>
      </c>
      <c r="K5" s="342"/>
      <c r="R5" s="343">
        <f>(G5/B13)^(1/19)</f>
        <v>1.5643900306501248</v>
      </c>
      <c r="U5" s="301"/>
    </row>
    <row r="6" spans="1:21" ht="15.6" x14ac:dyDescent="0.3">
      <c r="A6" s="178"/>
      <c r="B6" s="4"/>
      <c r="C6" s="186"/>
      <c r="U6" s="301"/>
    </row>
    <row r="7" spans="1:21" ht="15.6" x14ac:dyDescent="0.3">
      <c r="A7" s="315" t="s">
        <v>196</v>
      </c>
      <c r="B7" s="4"/>
      <c r="C7" s="186"/>
      <c r="E7" s="4">
        <v>2.5000000000000001E-2</v>
      </c>
      <c r="F7" s="4">
        <v>0.01</v>
      </c>
      <c r="G7" s="4">
        <v>7.4999999999999997E-2</v>
      </c>
      <c r="H7" s="157">
        <v>1.52231844552102E-5</v>
      </c>
      <c r="I7" s="344">
        <f>F7/E7</f>
        <v>0.39999999999999997</v>
      </c>
      <c r="J7" s="4">
        <v>0.08</v>
      </c>
      <c r="K7" s="4">
        <v>5500</v>
      </c>
      <c r="L7" s="4">
        <v>11000</v>
      </c>
      <c r="M7" s="4">
        <v>8.9999999999999998E-4</v>
      </c>
      <c r="N7" s="4">
        <v>1000</v>
      </c>
      <c r="O7" s="4">
        <v>5000</v>
      </c>
      <c r="U7" s="301"/>
    </row>
    <row r="8" spans="1:21" ht="15.6" x14ac:dyDescent="0.3">
      <c r="A8" s="178"/>
      <c r="B8" s="4"/>
      <c r="C8" s="186"/>
      <c r="D8" s="4"/>
      <c r="U8" s="301"/>
    </row>
    <row r="9" spans="1:21" ht="15.6" x14ac:dyDescent="0.3">
      <c r="B9" s="4"/>
      <c r="C9" s="4"/>
      <c r="D9" s="4"/>
      <c r="E9" s="4">
        <v>2.5000000000000001E-2</v>
      </c>
      <c r="F9" s="4">
        <v>1.4999999999999999E-2</v>
      </c>
      <c r="G9" s="4">
        <v>7.4999999999999997E-2</v>
      </c>
      <c r="H9" s="157">
        <v>1.9197248247520027E-5</v>
      </c>
      <c r="I9" s="344">
        <f>F9/E9</f>
        <v>0.6</v>
      </c>
      <c r="J9" s="4">
        <v>7.4999999999999997E-2</v>
      </c>
      <c r="K9" s="4">
        <v>4500</v>
      </c>
      <c r="L9" s="4">
        <v>4500</v>
      </c>
      <c r="M9" s="4">
        <v>1E-3</v>
      </c>
      <c r="N9" s="4">
        <v>700</v>
      </c>
      <c r="O9" s="4">
        <v>3500</v>
      </c>
    </row>
    <row r="10" spans="1:21" ht="15.6" x14ac:dyDescent="0.3">
      <c r="A10" s="4"/>
      <c r="B10" s="4"/>
      <c r="C10" s="4"/>
      <c r="D10" s="4"/>
      <c r="E10" s="300">
        <v>0.05</v>
      </c>
      <c r="F10" s="300">
        <v>0.03</v>
      </c>
      <c r="G10" s="300">
        <v>0.15</v>
      </c>
      <c r="H10" s="157">
        <v>1.5877224526629003E-4</v>
      </c>
      <c r="I10" s="344">
        <f>F10/E10</f>
        <v>0.6</v>
      </c>
      <c r="J10" s="4">
        <v>0.15</v>
      </c>
      <c r="K10" s="4">
        <v>2400</v>
      </c>
      <c r="L10" s="4">
        <v>1200</v>
      </c>
      <c r="M10" s="4">
        <v>6.0000000000000001E-3</v>
      </c>
      <c r="N10" s="4">
        <v>600</v>
      </c>
      <c r="O10" s="4">
        <v>6000</v>
      </c>
    </row>
    <row r="11" spans="1:21" ht="15.6" x14ac:dyDescent="0.3">
      <c r="A11" s="4"/>
      <c r="B11" s="4"/>
      <c r="C11" s="4"/>
      <c r="D11" s="4"/>
      <c r="E11" s="300"/>
      <c r="F11" s="300"/>
      <c r="G11" s="300"/>
      <c r="H11" s="157"/>
      <c r="I11" s="317"/>
      <c r="J11" s="4"/>
      <c r="K11" s="4"/>
      <c r="L11" s="4"/>
      <c r="M11" s="4"/>
      <c r="N11" s="4"/>
      <c r="O11" s="4"/>
    </row>
    <row r="12" spans="1:21" ht="18" x14ac:dyDescent="0.35">
      <c r="A12" s="178" t="s">
        <v>101</v>
      </c>
      <c r="C12" s="322"/>
      <c r="D12" s="323"/>
      <c r="E12" s="324"/>
      <c r="F12" s="184"/>
      <c r="G12" s="184"/>
      <c r="H12" s="325" t="s">
        <v>51</v>
      </c>
      <c r="I12" s="326">
        <f>F5/E5</f>
        <v>0.39999999999999997</v>
      </c>
      <c r="J12" s="160"/>
      <c r="K12" s="184"/>
      <c r="L12" s="160"/>
      <c r="M12" s="322"/>
      <c r="N12" s="184"/>
      <c r="O12" s="184"/>
      <c r="P12" s="184"/>
      <c r="Q12" s="184"/>
      <c r="R12" s="323"/>
      <c r="S12" s="184"/>
      <c r="T12" s="184"/>
      <c r="U12" s="185" t="s">
        <v>175</v>
      </c>
    </row>
    <row r="13" spans="1:21" ht="15.6" x14ac:dyDescent="0.3">
      <c r="A13" s="6" t="s">
        <v>3</v>
      </c>
      <c r="B13" s="137">
        <f>H5</f>
        <v>1.52231844552102E-5</v>
      </c>
      <c r="C13" s="137">
        <f t="shared" ref="C13:U13" si="0">C98</f>
        <v>2.3814997996478789E-5</v>
      </c>
      <c r="D13" s="137">
        <f t="shared" si="0"/>
        <v>3.7255945445644112E-5</v>
      </c>
      <c r="E13" s="137">
        <f t="shared" si="0"/>
        <v>5.8282829637610573E-5</v>
      </c>
      <c r="F13" s="137">
        <f t="shared" si="0"/>
        <v>9.1177077643157608E-5</v>
      </c>
      <c r="G13" s="137">
        <f t="shared" si="0"/>
        <v>1.4263651128876815E-4</v>
      </c>
      <c r="H13" s="137">
        <f t="shared" si="0"/>
        <v>2.2313913626686288E-4</v>
      </c>
      <c r="I13" s="137">
        <f t="shared" si="0"/>
        <v>3.4907664022376E-4</v>
      </c>
      <c r="J13" s="137">
        <f t="shared" si="0"/>
        <v>5.4609201589889047E-4</v>
      </c>
      <c r="K13" s="137">
        <f t="shared" si="0"/>
        <v>8.5430090548985367E-4</v>
      </c>
      <c r="L13" s="137">
        <f t="shared" si="0"/>
        <v>1.3364598197237016E-3</v>
      </c>
      <c r="M13" s="137">
        <f t="shared" si="0"/>
        <v>2.0907444183402217E-3</v>
      </c>
      <c r="N13" s="137">
        <f t="shared" si="0"/>
        <v>3.2707397246888367E-3</v>
      </c>
      <c r="O13" s="137">
        <f t="shared" si="0"/>
        <v>5.1167126181545499E-3</v>
      </c>
      <c r="P13" s="137">
        <f t="shared" si="0"/>
        <v>8.0045342095426773E-3</v>
      </c>
      <c r="Q13" s="137">
        <f t="shared" si="0"/>
        <v>1.2522213517406441E-2</v>
      </c>
      <c r="R13" s="137">
        <f t="shared" si="0"/>
        <v>1.9589625988302869E-2</v>
      </c>
      <c r="S13" s="137">
        <f t="shared" si="0"/>
        <v>3.0645815600265608E-2</v>
      </c>
      <c r="T13" s="137">
        <f t="shared" si="0"/>
        <v>4.7942008406197591E-2</v>
      </c>
      <c r="U13" s="137">
        <f t="shared" si="0"/>
        <v>7.4999999999999997E-2</v>
      </c>
    </row>
    <row r="14" spans="1:21" ht="16.2" x14ac:dyDescent="0.35">
      <c r="A14" s="141" t="s">
        <v>205</v>
      </c>
      <c r="B14" s="142">
        <f t="shared" ref="B14:U14" si="1">B107</f>
        <v>99.581059907908198</v>
      </c>
      <c r="C14" s="142">
        <f t="shared" si="1"/>
        <v>124.04639881165591</v>
      </c>
      <c r="D14" s="142">
        <f t="shared" si="1"/>
        <v>154.23539067647496</v>
      </c>
      <c r="E14" s="142">
        <f t="shared" si="1"/>
        <v>191.26628369135315</v>
      </c>
      <c r="F14" s="142">
        <f t="shared" si="1"/>
        <v>236.31701936510365</v>
      </c>
      <c r="G14" s="142">
        <f t="shared" si="1"/>
        <v>290.51712831812489</v>
      </c>
      <c r="H14" s="142">
        <f t="shared" si="1"/>
        <v>354.78059737723709</v>
      </c>
      <c r="I14" s="142">
        <f t="shared" si="1"/>
        <v>429.59765593396952</v>
      </c>
      <c r="J14" s="142">
        <f t="shared" si="1"/>
        <v>514.85084611945899</v>
      </c>
      <c r="K14" s="142">
        <f t="shared" si="1"/>
        <v>609.77392508643038</v>
      </c>
      <c r="L14" s="142">
        <f t="shared" si="1"/>
        <v>713.18505949919893</v>
      </c>
      <c r="M14" s="142">
        <f t="shared" si="1"/>
        <v>824.05210967873688</v>
      </c>
      <c r="N14" s="139">
        <f t="shared" si="1"/>
        <v>942.31584033586614</v>
      </c>
      <c r="O14" s="139">
        <f t="shared" si="1"/>
        <v>1069.8414300319978</v>
      </c>
      <c r="P14" s="139">
        <f t="shared" si="1"/>
        <v>1211.5382296091946</v>
      </c>
      <c r="Q14" s="139">
        <f t="shared" si="1"/>
        <v>1377.1747602339026</v>
      </c>
      <c r="R14" s="139">
        <f t="shared" si="1"/>
        <v>1585.5547984575198</v>
      </c>
      <c r="S14" s="139">
        <f t="shared" si="1"/>
        <v>1876.5271233777935</v>
      </c>
      <c r="T14" s="139">
        <f t="shared" si="1"/>
        <v>2355.6058045990421</v>
      </c>
      <c r="U14" s="311">
        <f t="shared" si="1"/>
        <v>3473.9432076150269</v>
      </c>
    </row>
    <row r="15" spans="1:21" ht="16.2" x14ac:dyDescent="0.35">
      <c r="A15" s="141" t="s">
        <v>206</v>
      </c>
      <c r="B15" s="329">
        <f t="shared" ref="B15:U15" si="2">B145</f>
        <v>99.999958366415441</v>
      </c>
      <c r="C15" s="142">
        <f t="shared" si="2"/>
        <v>124.81711784949285</v>
      </c>
      <c r="D15" s="142">
        <f t="shared" si="2"/>
        <v>155.64334251326039</v>
      </c>
      <c r="E15" s="142">
        <f t="shared" si="2"/>
        <v>193.81460908354069</v>
      </c>
      <c r="F15" s="142">
        <f t="shared" si="2"/>
        <v>240.87385441304201</v>
      </c>
      <c r="G15" s="142">
        <f t="shared" si="2"/>
        <v>298.53788298640444</v>
      </c>
      <c r="H15" s="142">
        <f t="shared" si="2"/>
        <v>368.61367255647497</v>
      </c>
      <c r="I15" s="142">
        <f t="shared" si="2"/>
        <v>452.84760874771359</v>
      </c>
      <c r="J15" s="142">
        <f t="shared" si="2"/>
        <v>552.70860619456926</v>
      </c>
      <c r="K15" s="142">
        <f t="shared" si="2"/>
        <v>669.14914412390101</v>
      </c>
      <c r="L15" s="142">
        <f t="shared" si="2"/>
        <v>802.45698234274755</v>
      </c>
      <c r="M15" s="142">
        <f t="shared" si="2"/>
        <v>952.37650555060588</v>
      </c>
      <c r="N15" s="139">
        <f t="shared" si="2"/>
        <v>1118.6866678625126</v>
      </c>
      <c r="O15" s="139">
        <f t="shared" si="2"/>
        <v>1302.347340016091</v>
      </c>
      <c r="P15" s="139">
        <f t="shared" si="2"/>
        <v>1507.2727804114079</v>
      </c>
      <c r="Q15" s="139">
        <f t="shared" si="2"/>
        <v>1743.0481345435082</v>
      </c>
      <c r="R15" s="139">
        <f t="shared" si="2"/>
        <v>2030.0336681224935</v>
      </c>
      <c r="S15" s="139">
        <f t="shared" si="2"/>
        <v>2412.178883255559</v>
      </c>
      <c r="T15" s="139">
        <f t="shared" si="2"/>
        <v>3000.2074026552127</v>
      </c>
      <c r="U15" s="331">
        <f t="shared" si="2"/>
        <v>4198.1474079675199</v>
      </c>
    </row>
    <row r="16" spans="1:21" ht="15.6" x14ac:dyDescent="0.3">
      <c r="A16" s="141" t="s">
        <v>94</v>
      </c>
      <c r="B16" s="312">
        <f>B112</f>
        <v>1682.9511729095098</v>
      </c>
      <c r="C16" s="312">
        <f t="shared" ref="C16:U16" si="3">C112</f>
        <v>1878.3443992794093</v>
      </c>
      <c r="D16" s="312">
        <f t="shared" si="3"/>
        <v>2094.4749125086792</v>
      </c>
      <c r="E16" s="312">
        <f t="shared" si="3"/>
        <v>2332.3963528234508</v>
      </c>
      <c r="F16" s="312">
        <f t="shared" si="3"/>
        <v>2592.5709116962998</v>
      </c>
      <c r="G16" s="312">
        <f t="shared" si="3"/>
        <v>2874.544360575183</v>
      </c>
      <c r="H16" s="312">
        <f t="shared" si="3"/>
        <v>3176.6039688122914</v>
      </c>
      <c r="I16" s="312">
        <f t="shared" si="3"/>
        <v>3495.5385444068529</v>
      </c>
      <c r="J16" s="312">
        <f t="shared" si="3"/>
        <v>3826.6950909547331</v>
      </c>
      <c r="K16" s="312">
        <f t="shared" si="3"/>
        <v>4164.5450889409994</v>
      </c>
      <c r="L16" s="312">
        <f t="shared" si="3"/>
        <v>4503.8535690361914</v>
      </c>
      <c r="M16" s="312">
        <f t="shared" si="3"/>
        <v>4841.2831260718494</v>
      </c>
      <c r="N16" s="312">
        <f t="shared" si="3"/>
        <v>5177.0384400979656</v>
      </c>
      <c r="O16" s="312">
        <f t="shared" si="3"/>
        <v>5516.2361481604648</v>
      </c>
      <c r="P16" s="312">
        <f t="shared" si="3"/>
        <v>5870.1838760488736</v>
      </c>
      <c r="Q16" s="312">
        <f t="shared" si="3"/>
        <v>6258.6068510768091</v>
      </c>
      <c r="R16" s="312">
        <f t="shared" si="3"/>
        <v>6715.4291574366443</v>
      </c>
      <c r="S16" s="312">
        <f t="shared" si="3"/>
        <v>7305.6786772159849</v>
      </c>
      <c r="T16" s="312">
        <f t="shared" si="3"/>
        <v>8185.297179630049</v>
      </c>
      <c r="U16" s="312">
        <f t="shared" si="3"/>
        <v>9940.185771659957</v>
      </c>
    </row>
    <row r="17" spans="1:21" ht="15.6" x14ac:dyDescent="0.3">
      <c r="A17" s="141" t="s">
        <v>95</v>
      </c>
      <c r="B17" s="330">
        <f>B150</f>
        <v>1686.4872158503038</v>
      </c>
      <c r="C17" s="312">
        <f t="shared" ref="C17:U17" si="4">C150</f>
        <v>1884.1705824795747</v>
      </c>
      <c r="D17" s="312">
        <f t="shared" si="4"/>
        <v>2104.0129973132639</v>
      </c>
      <c r="E17" s="312">
        <f t="shared" si="4"/>
        <v>2347.882715295842</v>
      </c>
      <c r="F17" s="312">
        <f t="shared" si="4"/>
        <v>2617.4474725621017</v>
      </c>
      <c r="G17" s="312">
        <f t="shared" si="4"/>
        <v>2913.9551847321809</v>
      </c>
      <c r="H17" s="312">
        <f t="shared" si="4"/>
        <v>3237.9404990677085</v>
      </c>
      <c r="I17" s="312">
        <f t="shared" si="4"/>
        <v>3588.8820329185573</v>
      </c>
      <c r="J17" s="312">
        <f t="shared" si="4"/>
        <v>3964.891044270722</v>
      </c>
      <c r="K17" s="312">
        <f t="shared" si="4"/>
        <v>4362.5920865750668</v>
      </c>
      <c r="L17" s="312">
        <f t="shared" si="4"/>
        <v>4777.4266074290281</v>
      </c>
      <c r="M17" s="312">
        <f t="shared" si="4"/>
        <v>5204.6014742806565</v>
      </c>
      <c r="N17" s="312">
        <f t="shared" si="4"/>
        <v>5640.7567921172449</v>
      </c>
      <c r="O17" s="312">
        <f t="shared" si="4"/>
        <v>6086.2047340722975</v>
      </c>
      <c r="P17" s="312">
        <f t="shared" si="4"/>
        <v>6547.5537457244945</v>
      </c>
      <c r="Q17" s="312">
        <f t="shared" si="4"/>
        <v>7041.0565772761647</v>
      </c>
      <c r="R17" s="312">
        <f t="shared" si="4"/>
        <v>7598.6206619387503</v>
      </c>
      <c r="S17" s="312">
        <f t="shared" si="4"/>
        <v>8283.0045411391457</v>
      </c>
      <c r="T17" s="312">
        <f t="shared" si="4"/>
        <v>9237.5921338572716</v>
      </c>
      <c r="U17" s="330">
        <f t="shared" si="4"/>
        <v>10927.2778400098</v>
      </c>
    </row>
    <row r="18" spans="1:21" ht="15.6" x14ac:dyDescent="0.3">
      <c r="A18" s="313" t="s">
        <v>98</v>
      </c>
      <c r="B18" s="140">
        <f>B108</f>
        <v>3.0105369261709582</v>
      </c>
      <c r="C18" s="140">
        <f t="shared" ref="C18:U18" si="5">C108</f>
        <v>2.4167767937800888</v>
      </c>
      <c r="D18" s="140">
        <f t="shared" si="5"/>
        <v>1.9437332552866959</v>
      </c>
      <c r="E18" s="140">
        <f t="shared" si="5"/>
        <v>1.5674088094050898</v>
      </c>
      <c r="F18" s="140">
        <f t="shared" si="5"/>
        <v>1.2686029080996002</v>
      </c>
      <c r="G18" s="140">
        <f t="shared" si="5"/>
        <v>1.0319269632588353</v>
      </c>
      <c r="H18" s="209">
        <f t="shared" si="5"/>
        <v>0.84500804219919512</v>
      </c>
      <c r="I18" s="209">
        <f t="shared" si="5"/>
        <v>0.69784472484663418</v>
      </c>
      <c r="J18" s="209">
        <f t="shared" si="5"/>
        <v>0.58228992000226842</v>
      </c>
      <c r="K18" s="209">
        <f t="shared" si="5"/>
        <v>0.49164525681793775</v>
      </c>
      <c r="L18" s="209">
        <f t="shared" si="5"/>
        <v>0.42035717659384975</v>
      </c>
      <c r="M18" s="209">
        <f t="shared" si="5"/>
        <v>0.36380279169102114</v>
      </c>
      <c r="N18" s="209">
        <f t="shared" si="5"/>
        <v>0.31814434732748004</v>
      </c>
      <c r="O18" s="209">
        <f t="shared" si="5"/>
        <v>0.28022139504452875</v>
      </c>
      <c r="P18" s="209">
        <f t="shared" si="5"/>
        <v>0.24744779048095242</v>
      </c>
      <c r="Q18" s="209">
        <f t="shared" si="5"/>
        <v>0.2176865759208966</v>
      </c>
      <c r="R18" s="209">
        <f t="shared" si="5"/>
        <v>0.18907732378070316</v>
      </c>
      <c r="S18" s="209">
        <f t="shared" si="5"/>
        <v>0.15975919253454032</v>
      </c>
      <c r="T18" s="209">
        <f t="shared" si="5"/>
        <v>0.12726766822135122</v>
      </c>
      <c r="U18" s="209">
        <f t="shared" si="5"/>
        <v>8.6297455106013984E-2</v>
      </c>
    </row>
    <row r="19" spans="1:21" ht="15.6" x14ac:dyDescent="0.3">
      <c r="A19" s="313" t="s">
        <v>97</v>
      </c>
      <c r="B19" s="140">
        <f t="shared" ref="B19:U19" si="6">_c/B15/1000000</f>
        <v>2.9979258281439845</v>
      </c>
      <c r="C19" s="140">
        <f t="shared" si="6"/>
        <v>2.4018537133784501</v>
      </c>
      <c r="D19" s="140">
        <f t="shared" si="6"/>
        <v>1.9261502172793448</v>
      </c>
      <c r="E19" s="140">
        <f t="shared" si="6"/>
        <v>1.5468001066461365</v>
      </c>
      <c r="F19" s="140">
        <f t="shared" si="6"/>
        <v>1.2446035653414107</v>
      </c>
      <c r="G19" s="140">
        <f t="shared" si="6"/>
        <v>1.0042023980375472</v>
      </c>
      <c r="H19" s="209">
        <f t="shared" si="6"/>
        <v>0.81329717349013708</v>
      </c>
      <c r="I19" s="209">
        <f t="shared" si="6"/>
        <v>0.66201621077128769</v>
      </c>
      <c r="J19" s="209">
        <f t="shared" si="6"/>
        <v>0.54240598868920897</v>
      </c>
      <c r="K19" s="209">
        <f t="shared" si="6"/>
        <v>0.4480203862361809</v>
      </c>
      <c r="L19" s="209">
        <f t="shared" si="6"/>
        <v>0.37359318268346986</v>
      </c>
      <c r="M19" s="209">
        <f t="shared" si="6"/>
        <v>0.314783550678498</v>
      </c>
      <c r="N19" s="209">
        <f t="shared" si="6"/>
        <v>0.267986082799053</v>
      </c>
      <c r="O19" s="209">
        <f t="shared" si="6"/>
        <v>0.2301939342819988</v>
      </c>
      <c r="P19" s="209">
        <f t="shared" si="6"/>
        <v>0.19889728116643365</v>
      </c>
      <c r="Q19" s="209">
        <f t="shared" si="6"/>
        <v>0.17199321812103227</v>
      </c>
      <c r="R19" s="209">
        <f t="shared" si="6"/>
        <v>0.14767856450246339</v>
      </c>
      <c r="S19" s="209">
        <f t="shared" si="6"/>
        <v>0.12428284655049707</v>
      </c>
      <c r="T19" s="209">
        <f t="shared" si="6"/>
        <v>9.9923911171834578E-2</v>
      </c>
      <c r="U19" s="209">
        <f t="shared" si="6"/>
        <v>7.1410655431258602E-2</v>
      </c>
    </row>
    <row r="20" spans="1:21" ht="15.6" x14ac:dyDescent="0.3">
      <c r="A20" s="141" t="s">
        <v>99</v>
      </c>
      <c r="B20" s="140">
        <f>(C14-B14)/(C13-B13)*0.000001</f>
        <v>2.8475174404373047</v>
      </c>
      <c r="C20" s="140">
        <f t="shared" ref="C20:T20" si="7">(D14-C14)/(D13-C13)*0.000001</f>
        <v>2.2460464174118755</v>
      </c>
      <c r="D20" s="140">
        <f t="shared" si="7"/>
        <v>1.7611212710738295</v>
      </c>
      <c r="E20" s="140">
        <f t="shared" si="7"/>
        <v>1.3695627170486913</v>
      </c>
      <c r="F20" s="140">
        <f t="shared" si="7"/>
        <v>1.0532589481315535</v>
      </c>
      <c r="G20" s="140">
        <f t="shared" si="7"/>
        <v>0.79827793288229654</v>
      </c>
      <c r="H20" s="140">
        <f t="shared" si="7"/>
        <v>0.59408084332320121</v>
      </c>
      <c r="I20" s="140">
        <f t="shared" si="7"/>
        <v>0.43272353689829851</v>
      </c>
      <c r="J20" s="140">
        <f t="shared" si="7"/>
        <v>0.30798293680934297</v>
      </c>
      <c r="K20" s="140">
        <f t="shared" si="7"/>
        <v>0.21447521006033698</v>
      </c>
      <c r="L20" s="140">
        <f t="shared" si="7"/>
        <v>0.1469830490810578</v>
      </c>
      <c r="M20" s="140">
        <f t="shared" si="7"/>
        <v>0.10022389921455306</v>
      </c>
      <c r="N20" s="209">
        <f t="shared" si="7"/>
        <v>6.9083132340426359E-2</v>
      </c>
      <c r="O20" s="209">
        <f t="shared" si="7"/>
        <v>4.9067019929401351E-2</v>
      </c>
      <c r="P20" s="209">
        <f t="shared" si="7"/>
        <v>3.6664074480981947E-2</v>
      </c>
      <c r="Q20" s="209">
        <f t="shared" si="7"/>
        <v>2.9484629499371272E-2</v>
      </c>
      <c r="R20" s="209">
        <f t="shared" si="7"/>
        <v>2.6317595404246968E-2</v>
      </c>
      <c r="S20" s="209">
        <f t="shared" si="7"/>
        <v>2.7698504902011822E-2</v>
      </c>
      <c r="T20" s="209">
        <f t="shared" si="7"/>
        <v>4.1331131290326006E-2</v>
      </c>
      <c r="U20" s="209"/>
    </row>
    <row r="21" spans="1:21" ht="15.6" x14ac:dyDescent="0.3">
      <c r="A21" s="141" t="s">
        <v>96</v>
      </c>
      <c r="B21" s="195">
        <f>(C15-B15)/(C13-B13)*0.000001</f>
        <v>2.8884657894255383</v>
      </c>
      <c r="C21" s="140">
        <f t="shared" ref="C21:T21" si="8">(D15-C15)/(D13-C13)*0.000001</f>
        <v>2.293456229953629</v>
      </c>
      <c r="D21" s="140">
        <f t="shared" si="8"/>
        <v>1.8153553432735423</v>
      </c>
      <c r="E21" s="140">
        <f t="shared" si="8"/>
        <v>1.4306223179677373</v>
      </c>
      <c r="F21" s="140">
        <f t="shared" si="8"/>
        <v>1.1205725459491358</v>
      </c>
      <c r="G21" s="140">
        <f t="shared" si="8"/>
        <v>0.87047831780812834</v>
      </c>
      <c r="H21" s="140">
        <f t="shared" si="8"/>
        <v>0.66885505544137358</v>
      </c>
      <c r="I21" s="140">
        <f t="shared" si="8"/>
        <v>0.50686905580162422</v>
      </c>
      <c r="J21" s="140">
        <f t="shared" si="8"/>
        <v>0.37779746743796006</v>
      </c>
      <c r="K21" s="140">
        <f t="shared" si="8"/>
        <v>0.27648112330490277</v>
      </c>
      <c r="L21" s="140">
        <f t="shared" si="8"/>
        <v>0.19875723762998074</v>
      </c>
      <c r="M21" s="140">
        <f t="shared" si="8"/>
        <v>0.14094137613694244</v>
      </c>
      <c r="N21" s="209">
        <f t="shared" si="8"/>
        <v>9.9492615955354302E-2</v>
      </c>
      <c r="O21" s="209">
        <f t="shared" si="8"/>
        <v>7.0961946197241582E-2</v>
      </c>
      <c r="P21" s="209">
        <f t="shared" si="8"/>
        <v>5.2189484481931808E-2</v>
      </c>
      <c r="Q21" s="209">
        <f t="shared" si="8"/>
        <v>4.0606874830185782E-2</v>
      </c>
      <c r="R21" s="209">
        <f t="shared" si="8"/>
        <v>3.4563916552189586E-2</v>
      </c>
      <c r="S21" s="209">
        <f t="shared" si="8"/>
        <v>3.3997569638445566E-2</v>
      </c>
      <c r="T21" s="209">
        <f t="shared" si="8"/>
        <v>4.427305704340205E-2</v>
      </c>
      <c r="U21" s="209"/>
    </row>
    <row r="22" spans="1:21" ht="15.6" x14ac:dyDescent="0.3">
      <c r="A22" s="155"/>
      <c r="B22" s="155"/>
      <c r="C22" s="155"/>
      <c r="D22" s="155"/>
      <c r="E22" s="155"/>
      <c r="F22" s="155"/>
      <c r="G22" s="155"/>
      <c r="H22" s="155"/>
      <c r="I22" s="155"/>
      <c r="J22" s="155"/>
      <c r="K22" s="155"/>
      <c r="L22" s="155"/>
      <c r="M22" s="155"/>
      <c r="N22" s="155"/>
      <c r="O22" s="155"/>
      <c r="P22" s="155"/>
      <c r="Q22" s="155"/>
      <c r="R22" s="155"/>
      <c r="S22" s="155"/>
      <c r="T22" s="155"/>
      <c r="U22" s="155"/>
    </row>
    <row r="23" spans="1:21" ht="15.6" x14ac:dyDescent="0.3">
      <c r="A23" s="4"/>
      <c r="B23" s="4"/>
      <c r="E23" s="4"/>
      <c r="I23" s="4"/>
      <c r="J23" s="4"/>
      <c r="M23" s="4"/>
      <c r="Q23" s="4"/>
      <c r="R23" s="4"/>
      <c r="U23" s="4"/>
    </row>
    <row r="25" spans="1:21" ht="18" x14ac:dyDescent="0.35">
      <c r="U25" s="2"/>
    </row>
    <row r="26" spans="1:21" ht="18" x14ac:dyDescent="0.35">
      <c r="U26" s="2"/>
    </row>
    <row r="27" spans="1:21" ht="18" x14ac:dyDescent="0.35">
      <c r="U27" s="2"/>
    </row>
    <row r="45" spans="1:18" ht="15.6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R45" s="4"/>
    </row>
    <row r="46" spans="1:18" ht="15.6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R46" s="4"/>
    </row>
    <row r="47" spans="1:18" ht="15.6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R47" s="4"/>
    </row>
    <row r="48" spans="1:18" ht="15.6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R48" s="4"/>
    </row>
    <row r="49" spans="1:19" ht="15.6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R49" s="4"/>
    </row>
    <row r="50" spans="1:19" ht="15.6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N50" s="4"/>
      <c r="O50" s="4"/>
      <c r="R50" s="4"/>
    </row>
    <row r="51" spans="1:19" ht="15.6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142"/>
      <c r="L51" s="4"/>
      <c r="M51" s="4"/>
      <c r="N51" s="4"/>
      <c r="O51" s="4"/>
    </row>
    <row r="52" spans="1:19" ht="15.6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</row>
    <row r="53" spans="1:19" ht="15.6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S53" s="3" t="s">
        <v>24</v>
      </c>
    </row>
    <row r="54" spans="1:19" ht="15.6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1:19" ht="15.6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spans="1:19" ht="15.6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</row>
    <row r="57" spans="1:19" ht="15.6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R57" s="4"/>
    </row>
    <row r="58" spans="1:19" ht="15.6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R58" s="4"/>
    </row>
    <row r="59" spans="1:19" ht="15.6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R59" s="4"/>
    </row>
    <row r="60" spans="1:19" ht="15.6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R60" s="4"/>
    </row>
    <row r="61" spans="1:19" ht="15.6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R61" s="4"/>
    </row>
    <row r="62" spans="1:19" ht="15.6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R62" s="4"/>
    </row>
    <row r="63" spans="1:19" ht="15.6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R63" s="4"/>
    </row>
    <row r="64" spans="1:19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8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8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8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8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8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8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8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8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8" ht="15.6" x14ac:dyDescent="0.3">
      <c r="A73" s="5" t="s">
        <v>61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8" x14ac:dyDescent="0.3">
      <c r="A74" s="201" t="s">
        <v>56</v>
      </c>
      <c r="B74" s="202"/>
      <c r="C74" s="202"/>
      <c r="D74" s="202"/>
      <c r="E74" s="196" t="s">
        <v>55</v>
      </c>
      <c r="F74" s="197">
        <v>61728000</v>
      </c>
      <c r="G74" s="202"/>
      <c r="H74" s="199" t="s">
        <v>54</v>
      </c>
      <c r="I74" s="200">
        <v>58005000</v>
      </c>
      <c r="J74" s="202"/>
      <c r="K74" s="198" t="s">
        <v>59</v>
      </c>
      <c r="L74" s="197">
        <v>40984000</v>
      </c>
      <c r="M74" s="202"/>
      <c r="N74" s="198" t="s">
        <v>58</v>
      </c>
      <c r="O74" s="197">
        <v>35386000</v>
      </c>
      <c r="P74" s="184"/>
      <c r="Q74" s="198" t="s">
        <v>57</v>
      </c>
      <c r="R74" s="197">
        <v>15659000</v>
      </c>
    </row>
    <row r="75" spans="1:18" ht="18" x14ac:dyDescent="0.35">
      <c r="A75" s="2"/>
    </row>
    <row r="76" spans="1:18" ht="15.6" x14ac:dyDescent="0.3">
      <c r="A76" s="178" t="s">
        <v>47</v>
      </c>
    </row>
    <row r="77" spans="1:18" ht="15.6" x14ac:dyDescent="0.3">
      <c r="A77" s="4" t="s">
        <v>0</v>
      </c>
      <c r="B77" s="4"/>
      <c r="C77" s="4"/>
      <c r="D77" s="4"/>
      <c r="E77" s="4"/>
      <c r="F77" s="4"/>
      <c r="G77" s="4"/>
      <c r="H77" s="4"/>
      <c r="I77" s="4"/>
      <c r="K77" s="5" t="s">
        <v>1</v>
      </c>
      <c r="L77" s="4"/>
      <c r="M77" s="4"/>
      <c r="N77" s="4"/>
      <c r="O77" s="4"/>
      <c r="P77" s="4"/>
      <c r="Q77" s="4"/>
      <c r="R77" s="4"/>
    </row>
    <row r="78" spans="1:18" ht="15.6" x14ac:dyDescent="0.3">
      <c r="A78" s="4" t="s">
        <v>22</v>
      </c>
      <c r="B78" s="4"/>
      <c r="C78" s="4"/>
      <c r="D78" s="4"/>
      <c r="E78" s="4"/>
      <c r="F78" s="4"/>
      <c r="G78" s="4"/>
      <c r="H78" s="4"/>
      <c r="I78" s="4"/>
      <c r="K78" s="5"/>
      <c r="L78" s="4"/>
      <c r="M78" s="4"/>
      <c r="N78" s="4"/>
      <c r="O78" s="4"/>
      <c r="P78" s="4"/>
      <c r="Q78" s="5" t="s">
        <v>16</v>
      </c>
      <c r="R78" s="4"/>
    </row>
    <row r="79" spans="1:18" ht="15.6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</row>
    <row r="80" spans="1:18" ht="15.6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</row>
    <row r="81" spans="1:21" ht="15.6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</row>
    <row r="82" spans="1:21" ht="15.6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</row>
    <row r="83" spans="1:21" ht="16.2" thickBot="1" x14ac:dyDescent="0.3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</row>
    <row r="84" spans="1:21" ht="18" x14ac:dyDescent="0.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165" t="s">
        <v>18</v>
      </c>
      <c r="Q84" s="161"/>
      <c r="R84" s="166"/>
    </row>
    <row r="85" spans="1:21" ht="16.2" thickBot="1" x14ac:dyDescent="0.3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171">
        <f>4*PI()*0.0000001</f>
        <v>1.2566370614359173E-6</v>
      </c>
      <c r="Q85" s="169" t="s">
        <v>5</v>
      </c>
      <c r="R85" s="170"/>
    </row>
    <row r="86" spans="1:21" ht="18" x14ac:dyDescent="0.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165" t="s">
        <v>19</v>
      </c>
      <c r="Q86" s="161"/>
      <c r="R86" s="166"/>
    </row>
    <row r="87" spans="1:21" ht="16.2" thickBot="1" x14ac:dyDescent="0.3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171">
        <v>8.8541878170000005E-12</v>
      </c>
      <c r="Q87" s="169" t="s">
        <v>4</v>
      </c>
      <c r="R87" s="170"/>
    </row>
    <row r="88" spans="1:21" ht="15.6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165" t="s">
        <v>20</v>
      </c>
      <c r="Q88" s="161"/>
      <c r="R88" s="162"/>
    </row>
    <row r="89" spans="1:21" ht="15.6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168">
        <v>299792458</v>
      </c>
      <c r="Q89" s="160" t="s">
        <v>21</v>
      </c>
      <c r="R89" s="167"/>
      <c r="S89" s="159"/>
    </row>
    <row r="90" spans="1:21" ht="16.2" thickBot="1" x14ac:dyDescent="0.3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175" t="s">
        <v>53</v>
      </c>
      <c r="Q90" s="169"/>
      <c r="R90" s="163"/>
      <c r="S90" s="159"/>
    </row>
    <row r="91" spans="1:21" ht="16.2" thickBot="1" x14ac:dyDescent="0.3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172">
        <v>327.38435251999999</v>
      </c>
      <c r="Q91" s="173" t="s">
        <v>45</v>
      </c>
      <c r="R91" s="174"/>
      <c r="S91" s="159"/>
    </row>
    <row r="92" spans="1:21" ht="16.2" thickBot="1" x14ac:dyDescent="0.35">
      <c r="A92" s="4" t="s">
        <v>52</v>
      </c>
      <c r="B92" s="4"/>
      <c r="C92" s="4"/>
      <c r="D92" s="4"/>
      <c r="E92" s="4"/>
      <c r="F92" s="4"/>
      <c r="G92" s="4"/>
      <c r="H92" s="4"/>
      <c r="I92" s="4"/>
      <c r="J92" s="4"/>
      <c r="K92" s="4"/>
      <c r="M92" s="177"/>
      <c r="O92" s="181"/>
      <c r="R92" s="4"/>
    </row>
    <row r="93" spans="1:21" ht="15.6" x14ac:dyDescent="0.3">
      <c r="B93" s="4">
        <v>1</v>
      </c>
      <c r="C93" s="4">
        <v>2</v>
      </c>
      <c r="D93" s="4">
        <v>3</v>
      </c>
      <c r="E93" s="4">
        <v>4</v>
      </c>
      <c r="F93" s="4">
        <v>5</v>
      </c>
      <c r="G93" s="4">
        <v>6</v>
      </c>
      <c r="H93" s="4">
        <v>7</v>
      </c>
      <c r="I93" s="4">
        <v>8</v>
      </c>
      <c r="J93" s="4">
        <v>9</v>
      </c>
      <c r="K93" s="4">
        <v>10</v>
      </c>
      <c r="L93" s="4">
        <v>11</v>
      </c>
      <c r="M93" s="4">
        <v>12</v>
      </c>
      <c r="N93" s="4" t="s">
        <v>46</v>
      </c>
      <c r="O93" s="4">
        <v>14</v>
      </c>
      <c r="P93" s="4">
        <v>15</v>
      </c>
      <c r="Q93" s="4">
        <v>16</v>
      </c>
      <c r="R93" s="4">
        <v>17</v>
      </c>
      <c r="S93" s="4">
        <v>18</v>
      </c>
      <c r="T93" s="4">
        <v>19</v>
      </c>
      <c r="U93" s="4">
        <v>20</v>
      </c>
    </row>
    <row r="94" spans="1:21" ht="18" x14ac:dyDescent="0.4">
      <c r="A94" s="6" t="s">
        <v>8</v>
      </c>
      <c r="B94" s="137">
        <f>E5</f>
        <v>2.5000000000000001E-2</v>
      </c>
      <c r="C94" s="137">
        <f>B94</f>
        <v>2.5000000000000001E-2</v>
      </c>
      <c r="D94" s="137">
        <f t="shared" ref="D94:U95" si="9">C94</f>
        <v>2.5000000000000001E-2</v>
      </c>
      <c r="E94" s="137">
        <f t="shared" si="9"/>
        <v>2.5000000000000001E-2</v>
      </c>
      <c r="F94" s="137">
        <f t="shared" si="9"/>
        <v>2.5000000000000001E-2</v>
      </c>
      <c r="G94" s="137">
        <f t="shared" si="9"/>
        <v>2.5000000000000001E-2</v>
      </c>
      <c r="H94" s="137">
        <f t="shared" si="9"/>
        <v>2.5000000000000001E-2</v>
      </c>
      <c r="I94" s="137">
        <f t="shared" si="9"/>
        <v>2.5000000000000001E-2</v>
      </c>
      <c r="J94" s="137">
        <f t="shared" si="9"/>
        <v>2.5000000000000001E-2</v>
      </c>
      <c r="K94" s="137">
        <f t="shared" si="9"/>
        <v>2.5000000000000001E-2</v>
      </c>
      <c r="L94" s="137">
        <f t="shared" si="9"/>
        <v>2.5000000000000001E-2</v>
      </c>
      <c r="M94" s="137">
        <f t="shared" si="9"/>
        <v>2.5000000000000001E-2</v>
      </c>
      <c r="N94" s="137">
        <f t="shared" si="9"/>
        <v>2.5000000000000001E-2</v>
      </c>
      <c r="O94" s="137">
        <f t="shared" si="9"/>
        <v>2.5000000000000001E-2</v>
      </c>
      <c r="P94" s="137">
        <f t="shared" si="9"/>
        <v>2.5000000000000001E-2</v>
      </c>
      <c r="Q94" s="137">
        <f t="shared" si="9"/>
        <v>2.5000000000000001E-2</v>
      </c>
      <c r="R94" s="137">
        <f t="shared" si="9"/>
        <v>2.5000000000000001E-2</v>
      </c>
      <c r="S94" s="137">
        <f t="shared" si="9"/>
        <v>2.5000000000000001E-2</v>
      </c>
      <c r="T94" s="137">
        <f t="shared" si="9"/>
        <v>2.5000000000000001E-2</v>
      </c>
      <c r="U94" s="137">
        <f t="shared" si="9"/>
        <v>2.5000000000000001E-2</v>
      </c>
    </row>
    <row r="95" spans="1:21" ht="18" x14ac:dyDescent="0.4">
      <c r="A95" s="6" t="s">
        <v>9</v>
      </c>
      <c r="B95" s="137">
        <f>F5</f>
        <v>0.01</v>
      </c>
      <c r="C95" s="137">
        <f>B95</f>
        <v>0.01</v>
      </c>
      <c r="D95" s="137">
        <f t="shared" si="9"/>
        <v>0.01</v>
      </c>
      <c r="E95" s="137">
        <f t="shared" si="9"/>
        <v>0.01</v>
      </c>
      <c r="F95" s="137">
        <f t="shared" si="9"/>
        <v>0.01</v>
      </c>
      <c r="G95" s="137">
        <f t="shared" si="9"/>
        <v>0.01</v>
      </c>
      <c r="H95" s="137">
        <f t="shared" si="9"/>
        <v>0.01</v>
      </c>
      <c r="I95" s="137">
        <f t="shared" si="9"/>
        <v>0.01</v>
      </c>
      <c r="J95" s="137">
        <f t="shared" si="9"/>
        <v>0.01</v>
      </c>
      <c r="K95" s="137">
        <f t="shared" si="9"/>
        <v>0.01</v>
      </c>
      <c r="L95" s="137">
        <f t="shared" si="9"/>
        <v>0.01</v>
      </c>
      <c r="M95" s="137">
        <f t="shared" si="9"/>
        <v>0.01</v>
      </c>
      <c r="N95" s="137">
        <f t="shared" si="9"/>
        <v>0.01</v>
      </c>
      <c r="O95" s="137">
        <f t="shared" si="9"/>
        <v>0.01</v>
      </c>
      <c r="P95" s="137">
        <f t="shared" si="9"/>
        <v>0.01</v>
      </c>
      <c r="Q95" s="137">
        <f t="shared" si="9"/>
        <v>0.01</v>
      </c>
      <c r="R95" s="137">
        <f t="shared" si="9"/>
        <v>0.01</v>
      </c>
      <c r="S95" s="137">
        <f t="shared" si="9"/>
        <v>0.01</v>
      </c>
      <c r="T95" s="137">
        <f t="shared" si="9"/>
        <v>0.01</v>
      </c>
      <c r="U95" s="137">
        <f t="shared" si="9"/>
        <v>0.01</v>
      </c>
    </row>
    <row r="96" spans="1:21" ht="15.6" x14ac:dyDescent="0.3">
      <c r="A96" s="6" t="s">
        <v>31</v>
      </c>
      <c r="B96" s="140">
        <f>B95/B94</f>
        <v>0.39999999999999997</v>
      </c>
      <c r="C96" s="140">
        <f>B96</f>
        <v>0.39999999999999997</v>
      </c>
      <c r="D96" s="140">
        <f t="shared" ref="D96:U96" si="10">C96</f>
        <v>0.39999999999999997</v>
      </c>
      <c r="E96" s="140">
        <f t="shared" si="10"/>
        <v>0.39999999999999997</v>
      </c>
      <c r="F96" s="140">
        <f t="shared" si="10"/>
        <v>0.39999999999999997</v>
      </c>
      <c r="G96" s="140">
        <f t="shared" si="10"/>
        <v>0.39999999999999997</v>
      </c>
      <c r="H96" s="140">
        <f t="shared" si="10"/>
        <v>0.39999999999999997</v>
      </c>
      <c r="I96" s="140">
        <f t="shared" si="10"/>
        <v>0.39999999999999997</v>
      </c>
      <c r="J96" s="140">
        <f t="shared" si="10"/>
        <v>0.39999999999999997</v>
      </c>
      <c r="K96" s="140">
        <f t="shared" si="10"/>
        <v>0.39999999999999997</v>
      </c>
      <c r="L96" s="140">
        <f t="shared" si="10"/>
        <v>0.39999999999999997</v>
      </c>
      <c r="M96" s="140">
        <f t="shared" si="10"/>
        <v>0.39999999999999997</v>
      </c>
      <c r="N96" s="140">
        <f t="shared" si="10"/>
        <v>0.39999999999999997</v>
      </c>
      <c r="O96" s="140">
        <f t="shared" si="10"/>
        <v>0.39999999999999997</v>
      </c>
      <c r="P96" s="140">
        <f t="shared" si="10"/>
        <v>0.39999999999999997</v>
      </c>
      <c r="Q96" s="140">
        <f t="shared" si="10"/>
        <v>0.39999999999999997</v>
      </c>
      <c r="R96" s="140">
        <f t="shared" si="10"/>
        <v>0.39999999999999997</v>
      </c>
      <c r="S96" s="140">
        <f t="shared" si="10"/>
        <v>0.39999999999999997</v>
      </c>
      <c r="T96" s="140">
        <f t="shared" si="10"/>
        <v>0.39999999999999997</v>
      </c>
      <c r="U96" s="140">
        <f t="shared" si="10"/>
        <v>0.39999999999999997</v>
      </c>
    </row>
    <row r="97" spans="1:21" ht="15.6" x14ac:dyDescent="0.3">
      <c r="A97" s="7" t="s">
        <v>2</v>
      </c>
      <c r="B97" s="137">
        <f>G5</f>
        <v>7.4999999999999997E-2</v>
      </c>
      <c r="C97" s="137">
        <f>B97</f>
        <v>7.4999999999999997E-2</v>
      </c>
      <c r="D97" s="137">
        <f t="shared" ref="D97:U97" si="11">C97</f>
        <v>7.4999999999999997E-2</v>
      </c>
      <c r="E97" s="137">
        <f t="shared" si="11"/>
        <v>7.4999999999999997E-2</v>
      </c>
      <c r="F97" s="137">
        <f t="shared" si="11"/>
        <v>7.4999999999999997E-2</v>
      </c>
      <c r="G97" s="137">
        <f t="shared" si="11"/>
        <v>7.4999999999999997E-2</v>
      </c>
      <c r="H97" s="137">
        <f t="shared" si="11"/>
        <v>7.4999999999999997E-2</v>
      </c>
      <c r="I97" s="137">
        <f t="shared" si="11"/>
        <v>7.4999999999999997E-2</v>
      </c>
      <c r="J97" s="137">
        <f t="shared" si="11"/>
        <v>7.4999999999999997E-2</v>
      </c>
      <c r="K97" s="137">
        <f t="shared" si="11"/>
        <v>7.4999999999999997E-2</v>
      </c>
      <c r="L97" s="137">
        <f t="shared" si="11"/>
        <v>7.4999999999999997E-2</v>
      </c>
      <c r="M97" s="137">
        <f t="shared" si="11"/>
        <v>7.4999999999999997E-2</v>
      </c>
      <c r="N97" s="137">
        <f t="shared" si="11"/>
        <v>7.4999999999999997E-2</v>
      </c>
      <c r="O97" s="137">
        <f t="shared" si="11"/>
        <v>7.4999999999999997E-2</v>
      </c>
      <c r="P97" s="137">
        <f t="shared" si="11"/>
        <v>7.4999999999999997E-2</v>
      </c>
      <c r="Q97" s="137">
        <f t="shared" si="11"/>
        <v>7.4999999999999997E-2</v>
      </c>
      <c r="R97" s="137">
        <f t="shared" si="11"/>
        <v>7.4999999999999997E-2</v>
      </c>
      <c r="S97" s="137">
        <f t="shared" si="11"/>
        <v>7.4999999999999997E-2</v>
      </c>
      <c r="T97" s="137">
        <f t="shared" si="11"/>
        <v>7.4999999999999997E-2</v>
      </c>
      <c r="U97" s="137">
        <f t="shared" si="11"/>
        <v>7.4999999999999997E-2</v>
      </c>
    </row>
    <row r="98" spans="1:21" ht="15.6" x14ac:dyDescent="0.3">
      <c r="A98" s="6" t="s">
        <v>3</v>
      </c>
      <c r="B98" s="182">
        <f>H5</f>
        <v>1.52231844552102E-5</v>
      </c>
      <c r="C98" s="137">
        <f t="shared" ref="C98:U98" si="12">B98*dmult</f>
        <v>2.3814997996478789E-5</v>
      </c>
      <c r="D98" s="137">
        <f t="shared" si="12"/>
        <v>3.7255945445644112E-5</v>
      </c>
      <c r="E98" s="137">
        <f t="shared" si="12"/>
        <v>5.8282829637610573E-5</v>
      </c>
      <c r="F98" s="137">
        <f t="shared" si="12"/>
        <v>9.1177077643157608E-5</v>
      </c>
      <c r="G98" s="137">
        <f t="shared" si="12"/>
        <v>1.4263651128876815E-4</v>
      </c>
      <c r="H98" s="137">
        <f t="shared" si="12"/>
        <v>2.2313913626686288E-4</v>
      </c>
      <c r="I98" s="137">
        <f t="shared" si="12"/>
        <v>3.4907664022376E-4</v>
      </c>
      <c r="J98" s="137">
        <f t="shared" si="12"/>
        <v>5.4609201589889047E-4</v>
      </c>
      <c r="K98" s="137">
        <f t="shared" si="12"/>
        <v>8.5430090548985367E-4</v>
      </c>
      <c r="L98" s="137">
        <f t="shared" si="12"/>
        <v>1.3364598197237016E-3</v>
      </c>
      <c r="M98" s="137">
        <f t="shared" si="12"/>
        <v>2.0907444183402217E-3</v>
      </c>
      <c r="N98" s="137">
        <f t="shared" si="12"/>
        <v>3.2707397246888367E-3</v>
      </c>
      <c r="O98" s="137">
        <f t="shared" si="12"/>
        <v>5.1167126181545499E-3</v>
      </c>
      <c r="P98" s="137">
        <f t="shared" si="12"/>
        <v>8.0045342095426773E-3</v>
      </c>
      <c r="Q98" s="137">
        <f t="shared" si="12"/>
        <v>1.2522213517406441E-2</v>
      </c>
      <c r="R98" s="137">
        <f t="shared" si="12"/>
        <v>1.9589625988302869E-2</v>
      </c>
      <c r="S98" s="137">
        <f t="shared" si="12"/>
        <v>3.0645815600265608E-2</v>
      </c>
      <c r="T98" s="137">
        <f t="shared" si="12"/>
        <v>4.7942008406197591E-2</v>
      </c>
      <c r="U98" s="182">
        <f t="shared" si="12"/>
        <v>7.4999999999999997E-2</v>
      </c>
    </row>
    <row r="99" spans="1:21" ht="15.6" x14ac:dyDescent="0.3">
      <c r="A99" s="8" t="s">
        <v>7</v>
      </c>
      <c r="B99" s="183">
        <v>90</v>
      </c>
      <c r="C99" s="183">
        <v>90</v>
      </c>
      <c r="D99" s="183">
        <v>90</v>
      </c>
      <c r="E99" s="183">
        <v>90</v>
      </c>
      <c r="F99" s="183">
        <v>90</v>
      </c>
      <c r="G99" s="183">
        <v>90</v>
      </c>
      <c r="H99" s="183">
        <v>90</v>
      </c>
      <c r="I99" s="183">
        <v>90</v>
      </c>
      <c r="J99" s="183">
        <v>90</v>
      </c>
      <c r="K99" s="183">
        <v>90</v>
      </c>
      <c r="L99" s="183">
        <v>90</v>
      </c>
      <c r="M99" s="183">
        <v>90</v>
      </c>
      <c r="N99" s="183">
        <v>90</v>
      </c>
      <c r="O99" s="183">
        <v>90</v>
      </c>
      <c r="P99" s="183">
        <v>90</v>
      </c>
      <c r="Q99" s="183">
        <v>90</v>
      </c>
      <c r="R99" s="183">
        <v>90</v>
      </c>
      <c r="S99" s="183">
        <v>90</v>
      </c>
      <c r="T99" s="183">
        <v>90</v>
      </c>
      <c r="U99" s="183">
        <v>90</v>
      </c>
    </row>
    <row r="100" spans="1:21" ht="15.6" x14ac:dyDescent="0.3">
      <c r="A100" s="9" t="s">
        <v>6</v>
      </c>
      <c r="B100" s="140">
        <f t="shared" ref="B100:S100" si="13">2*PI()*B99/360</f>
        <v>1.5707963267948966</v>
      </c>
      <c r="C100" s="140">
        <f t="shared" si="13"/>
        <v>1.5707963267948966</v>
      </c>
      <c r="D100" s="140">
        <f t="shared" si="13"/>
        <v>1.5707963267948966</v>
      </c>
      <c r="E100" s="140">
        <f t="shared" si="13"/>
        <v>1.5707963267948966</v>
      </c>
      <c r="F100" s="140">
        <f t="shared" si="13"/>
        <v>1.5707963267948966</v>
      </c>
      <c r="G100" s="140">
        <f t="shared" si="13"/>
        <v>1.5707963267948966</v>
      </c>
      <c r="H100" s="140">
        <f t="shared" si="13"/>
        <v>1.5707963267948966</v>
      </c>
      <c r="I100" s="140">
        <f t="shared" si="13"/>
        <v>1.5707963267948966</v>
      </c>
      <c r="J100" s="140">
        <f t="shared" si="13"/>
        <v>1.5707963267948966</v>
      </c>
      <c r="K100" s="140">
        <f t="shared" si="13"/>
        <v>1.5707963267948966</v>
      </c>
      <c r="L100" s="140">
        <f t="shared" si="13"/>
        <v>1.5707963267948966</v>
      </c>
      <c r="M100" s="140">
        <f t="shared" si="13"/>
        <v>1.5707963267948966</v>
      </c>
      <c r="N100" s="140">
        <f t="shared" si="13"/>
        <v>1.5707963267948966</v>
      </c>
      <c r="O100" s="140">
        <f t="shared" si="13"/>
        <v>1.5707963267948966</v>
      </c>
      <c r="P100" s="140">
        <f t="shared" si="13"/>
        <v>1.5707963267948966</v>
      </c>
      <c r="Q100" s="140">
        <f t="shared" si="13"/>
        <v>1.5707963267948966</v>
      </c>
      <c r="R100" s="140">
        <f t="shared" si="13"/>
        <v>1.5707963267948966</v>
      </c>
      <c r="S100" s="140">
        <f t="shared" si="13"/>
        <v>1.5707963267948966</v>
      </c>
      <c r="T100" s="140">
        <f>2*PI()*T99/360</f>
        <v>1.5707963267948966</v>
      </c>
      <c r="U100" s="140">
        <f>2*PI()*U99/360</f>
        <v>1.5707963267948966</v>
      </c>
    </row>
    <row r="101" spans="1:21" ht="18" x14ac:dyDescent="0.4">
      <c r="A101" s="10" t="s">
        <v>15</v>
      </c>
      <c r="B101" s="137">
        <f t="shared" ref="B101:U101" si="14">B95-(B97-B98)/TAN(B100)</f>
        <v>9.999999999999995E-3</v>
      </c>
      <c r="C101" s="137">
        <f t="shared" si="14"/>
        <v>9.999999999999995E-3</v>
      </c>
      <c r="D101" s="137">
        <f t="shared" si="14"/>
        <v>9.999999999999995E-3</v>
      </c>
      <c r="E101" s="137">
        <f t="shared" si="14"/>
        <v>9.999999999999995E-3</v>
      </c>
      <c r="F101" s="137">
        <f t="shared" si="14"/>
        <v>9.999999999999995E-3</v>
      </c>
      <c r="G101" s="137">
        <f t="shared" si="14"/>
        <v>9.999999999999995E-3</v>
      </c>
      <c r="H101" s="137">
        <f t="shared" si="14"/>
        <v>9.999999999999995E-3</v>
      </c>
      <c r="I101" s="137">
        <f t="shared" si="14"/>
        <v>9.999999999999995E-3</v>
      </c>
      <c r="J101" s="137">
        <f t="shared" si="14"/>
        <v>9.999999999999995E-3</v>
      </c>
      <c r="K101" s="137">
        <f t="shared" si="14"/>
        <v>9.999999999999995E-3</v>
      </c>
      <c r="L101" s="137">
        <f t="shared" si="14"/>
        <v>9.999999999999995E-3</v>
      </c>
      <c r="M101" s="137">
        <f t="shared" si="14"/>
        <v>9.999999999999995E-3</v>
      </c>
      <c r="N101" s="137">
        <f t="shared" si="14"/>
        <v>9.999999999999995E-3</v>
      </c>
      <c r="O101" s="137">
        <f t="shared" si="14"/>
        <v>9.9999999999999967E-3</v>
      </c>
      <c r="P101" s="137">
        <f t="shared" si="14"/>
        <v>9.9999999999999967E-3</v>
      </c>
      <c r="Q101" s="137">
        <f t="shared" si="14"/>
        <v>9.9999999999999967E-3</v>
      </c>
      <c r="R101" s="137">
        <f t="shared" si="14"/>
        <v>9.9999999999999967E-3</v>
      </c>
      <c r="S101" s="137">
        <f t="shared" si="14"/>
        <v>9.9999999999999967E-3</v>
      </c>
      <c r="T101" s="137">
        <f t="shared" si="14"/>
        <v>9.9999999999999985E-3</v>
      </c>
      <c r="U101" s="137">
        <f t="shared" si="14"/>
        <v>0.01</v>
      </c>
    </row>
    <row r="102" spans="1:21" ht="18" x14ac:dyDescent="0.4">
      <c r="A102" s="11" t="s">
        <v>10</v>
      </c>
      <c r="B102" s="137">
        <f>B101-B98/TAN(B100)</f>
        <v>9.999999999999995E-3</v>
      </c>
      <c r="C102" s="137">
        <f t="shared" ref="C102:S102" si="15">C101-C98/TAN(C100)</f>
        <v>9.999999999999995E-3</v>
      </c>
      <c r="D102" s="137">
        <f t="shared" si="15"/>
        <v>9.999999999999995E-3</v>
      </c>
      <c r="E102" s="137">
        <f t="shared" si="15"/>
        <v>9.999999999999995E-3</v>
      </c>
      <c r="F102" s="137">
        <f t="shared" si="15"/>
        <v>9.999999999999995E-3</v>
      </c>
      <c r="G102" s="137">
        <f t="shared" si="15"/>
        <v>9.999999999999995E-3</v>
      </c>
      <c r="H102" s="137">
        <f t="shared" si="15"/>
        <v>9.999999999999995E-3</v>
      </c>
      <c r="I102" s="137">
        <f t="shared" si="15"/>
        <v>9.999999999999995E-3</v>
      </c>
      <c r="J102" s="137">
        <f t="shared" si="15"/>
        <v>9.999999999999995E-3</v>
      </c>
      <c r="K102" s="137">
        <f t="shared" si="15"/>
        <v>9.999999999999995E-3</v>
      </c>
      <c r="L102" s="137">
        <f t="shared" si="15"/>
        <v>9.999999999999995E-3</v>
      </c>
      <c r="M102" s="137">
        <f t="shared" si="15"/>
        <v>9.999999999999995E-3</v>
      </c>
      <c r="N102" s="137">
        <f t="shared" si="15"/>
        <v>9.999999999999995E-3</v>
      </c>
      <c r="O102" s="137">
        <f t="shared" si="15"/>
        <v>9.9999999999999967E-3</v>
      </c>
      <c r="P102" s="137">
        <f t="shared" si="15"/>
        <v>9.9999999999999967E-3</v>
      </c>
      <c r="Q102" s="137">
        <f t="shared" si="15"/>
        <v>9.9999999999999967E-3</v>
      </c>
      <c r="R102" s="137">
        <f t="shared" si="15"/>
        <v>9.999999999999995E-3</v>
      </c>
      <c r="S102" s="137">
        <f t="shared" si="15"/>
        <v>9.999999999999995E-3</v>
      </c>
      <c r="T102" s="137">
        <f>T101-T98/TAN(T100)</f>
        <v>9.999999999999995E-3</v>
      </c>
      <c r="U102" s="137">
        <f>U101-U98/TAN(U100)</f>
        <v>9.999999999999995E-3</v>
      </c>
    </row>
    <row r="103" spans="1:21" ht="18" x14ac:dyDescent="0.4">
      <c r="A103" s="12" t="s">
        <v>11</v>
      </c>
      <c r="B103" s="137">
        <f t="shared" ref="B103:U103" si="16">SQRT((2*(B95-B102)^2+3*(B94-B95)*(B95+B94-2*B102))^2+B97^2*(3*B94-2*B95-B102)^2)/(3*(2*B94-B95-B102))</f>
        <v>3.8242646351945887E-2</v>
      </c>
      <c r="C103" s="137">
        <f t="shared" si="16"/>
        <v>3.8242646351945887E-2</v>
      </c>
      <c r="D103" s="137">
        <f t="shared" si="16"/>
        <v>3.8242646351945887E-2</v>
      </c>
      <c r="E103" s="137">
        <f t="shared" si="16"/>
        <v>3.8242646351945887E-2</v>
      </c>
      <c r="F103" s="137">
        <f t="shared" si="16"/>
        <v>3.8242646351945887E-2</v>
      </c>
      <c r="G103" s="137">
        <f t="shared" si="16"/>
        <v>3.8242646351945887E-2</v>
      </c>
      <c r="H103" s="137">
        <f t="shared" si="16"/>
        <v>3.8242646351945887E-2</v>
      </c>
      <c r="I103" s="137">
        <f t="shared" si="16"/>
        <v>3.8242646351945887E-2</v>
      </c>
      <c r="J103" s="137">
        <f t="shared" si="16"/>
        <v>3.8242646351945887E-2</v>
      </c>
      <c r="K103" s="137">
        <f t="shared" si="16"/>
        <v>3.8242646351945887E-2</v>
      </c>
      <c r="L103" s="137">
        <f t="shared" si="16"/>
        <v>3.8242646351945887E-2</v>
      </c>
      <c r="M103" s="137">
        <f t="shared" si="16"/>
        <v>3.8242646351945887E-2</v>
      </c>
      <c r="N103" s="137">
        <f t="shared" si="16"/>
        <v>3.8242646351945887E-2</v>
      </c>
      <c r="O103" s="137">
        <f t="shared" si="16"/>
        <v>3.8242646351945887E-2</v>
      </c>
      <c r="P103" s="137">
        <f t="shared" si="16"/>
        <v>3.8242646351945887E-2</v>
      </c>
      <c r="Q103" s="137">
        <f t="shared" si="16"/>
        <v>3.8242646351945887E-2</v>
      </c>
      <c r="R103" s="137">
        <f t="shared" si="16"/>
        <v>3.8242646351945887E-2</v>
      </c>
      <c r="S103" s="137">
        <f t="shared" si="16"/>
        <v>3.8242646351945887E-2</v>
      </c>
      <c r="T103" s="137">
        <f t="shared" si="16"/>
        <v>3.8242646351945887E-2</v>
      </c>
      <c r="U103" s="137">
        <f t="shared" si="16"/>
        <v>3.8242646351945887E-2</v>
      </c>
    </row>
    <row r="104" spans="1:21" ht="18" x14ac:dyDescent="0.4">
      <c r="A104" s="13" t="s">
        <v>12</v>
      </c>
      <c r="B104" s="138">
        <f t="shared" ref="B104:U104" si="17">epsilon0*(PI()*(B102^2-B101^2)/B98+2*PI()/B100*(B102*LN(EXP(1)*B103*SIN(B100)/B98)+B98*_xlfn.COT(B100)/2*LN(SQRT(EXP(1)*B103)*SIN(B100)/B98)))</f>
        <v>3.1269049519422677E-12</v>
      </c>
      <c r="C104" s="138">
        <f t="shared" si="17"/>
        <v>2.9684164097890669E-12</v>
      </c>
      <c r="D104" s="138">
        <f t="shared" si="17"/>
        <v>2.809927867635865E-12</v>
      </c>
      <c r="E104" s="138">
        <f t="shared" si="17"/>
        <v>2.6514393254826642E-12</v>
      </c>
      <c r="F104" s="138">
        <f t="shared" si="17"/>
        <v>2.492950783329463E-12</v>
      </c>
      <c r="G104" s="138">
        <f t="shared" si="17"/>
        <v>2.3344622411762619E-12</v>
      </c>
      <c r="H104" s="138">
        <f t="shared" si="17"/>
        <v>2.1759736990230607E-12</v>
      </c>
      <c r="I104" s="138">
        <f t="shared" si="17"/>
        <v>2.0174851568698595E-12</v>
      </c>
      <c r="J104" s="138">
        <f t="shared" si="17"/>
        <v>1.8589966147166588E-12</v>
      </c>
      <c r="K104" s="138">
        <f t="shared" si="17"/>
        <v>1.7005080725634574E-12</v>
      </c>
      <c r="L104" s="138">
        <f t="shared" si="17"/>
        <v>1.5420195304102562E-12</v>
      </c>
      <c r="M104" s="138">
        <f t="shared" si="17"/>
        <v>1.3835309882570551E-12</v>
      </c>
      <c r="N104" s="138">
        <f t="shared" si="17"/>
        <v>1.2250424461038541E-12</v>
      </c>
      <c r="O104" s="138">
        <f t="shared" si="17"/>
        <v>1.0665539039506531E-12</v>
      </c>
      <c r="P104" s="138">
        <f t="shared" si="17"/>
        <v>9.0806536179745187E-13</v>
      </c>
      <c r="Q104" s="138">
        <f t="shared" si="17"/>
        <v>7.4957681964425081E-13</v>
      </c>
      <c r="R104" s="138">
        <f t="shared" si="17"/>
        <v>5.9108827749104954E-13</v>
      </c>
      <c r="S104" s="138">
        <f t="shared" si="17"/>
        <v>4.3259973533784832E-13</v>
      </c>
      <c r="T104" s="138">
        <f t="shared" si="17"/>
        <v>2.7411119318464726E-13</v>
      </c>
      <c r="U104" s="138">
        <f t="shared" si="17"/>
        <v>1.1562265103144609E-13</v>
      </c>
    </row>
    <row r="105" spans="1:21" ht="18" x14ac:dyDescent="0.4">
      <c r="A105" s="13" t="s">
        <v>13</v>
      </c>
      <c r="B105" s="138">
        <f t="shared" ref="B105:S105" si="18">epsilon0*PI()*B101^2/B98</f>
        <v>1.8272294789065103E-10</v>
      </c>
      <c r="C105" s="138">
        <f t="shared" si="18"/>
        <v>1.168014013837173E-10</v>
      </c>
      <c r="D105" s="138">
        <f t="shared" si="18"/>
        <v>7.4662583559917783E-11</v>
      </c>
      <c r="E105" s="138">
        <f t="shared" si="18"/>
        <v>4.7726322782106787E-11</v>
      </c>
      <c r="F105" s="138">
        <f t="shared" si="18"/>
        <v>3.0507943573555509E-11</v>
      </c>
      <c r="G105" s="138">
        <f t="shared" si="18"/>
        <v>1.9501494496789335E-11</v>
      </c>
      <c r="H105" s="138">
        <f t="shared" si="18"/>
        <v>1.2465877507979873E-11</v>
      </c>
      <c r="I105" s="138">
        <f t="shared" si="18"/>
        <v>7.9685227237093418E-12</v>
      </c>
      <c r="J105" s="138">
        <f t="shared" si="18"/>
        <v>5.0936931120673313E-12</v>
      </c>
      <c r="K105" s="138">
        <f t="shared" si="18"/>
        <v>3.2560250399643041E-12</v>
      </c>
      <c r="L105" s="138">
        <f t="shared" si="18"/>
        <v>2.0813383978234471E-12</v>
      </c>
      <c r="M105" s="138">
        <f t="shared" si="18"/>
        <v>1.3304472395279139E-12</v>
      </c>
      <c r="N105" s="138">
        <f t="shared" si="18"/>
        <v>8.5045750321932854E-13</v>
      </c>
      <c r="O105" s="138">
        <f t="shared" si="18"/>
        <v>5.4363521024606516E-13</v>
      </c>
      <c r="P105" s="138">
        <f t="shared" si="18"/>
        <v>3.4750618426029136E-13</v>
      </c>
      <c r="Q105" s="138">
        <f t="shared" si="18"/>
        <v>2.2213525876016718E-13</v>
      </c>
      <c r="R105" s="138">
        <f t="shared" si="18"/>
        <v>1.4199480590390418E-13</v>
      </c>
      <c r="S105" s="138">
        <f t="shared" si="18"/>
        <v>9.0766882377084948E-14</v>
      </c>
      <c r="T105" s="138">
        <f>epsilon0*PI()*T101^2/T98</f>
        <v>5.8020621839020743E-14</v>
      </c>
      <c r="U105" s="138">
        <f>epsilon0*PI()*U101^2/U98</f>
        <v>3.7088335199188602E-14</v>
      </c>
    </row>
    <row r="106" spans="1:21" ht="15.6" x14ac:dyDescent="0.3">
      <c r="A106" s="17" t="s">
        <v>14</v>
      </c>
      <c r="B106" s="137">
        <f t="shared" ref="B106:U106" si="19">IF(_deg=90,Mu0/2/PI()*B97*LN(B94/B95),Mu0*(B97/(2*PI())*(LN(EXP(1)*B94/B95)-(B102/(B95-B102)*LN(B95/B102)))))</f>
        <v>1.3744360978112328E-8</v>
      </c>
      <c r="C106" s="137">
        <f t="shared" si="19"/>
        <v>1.3744360978112328E-8</v>
      </c>
      <c r="D106" s="137">
        <f t="shared" si="19"/>
        <v>1.3744360978112328E-8</v>
      </c>
      <c r="E106" s="137">
        <f t="shared" si="19"/>
        <v>1.3744360978112328E-8</v>
      </c>
      <c r="F106" s="137">
        <f t="shared" si="19"/>
        <v>1.3744360978112328E-8</v>
      </c>
      <c r="G106" s="137">
        <f t="shared" si="19"/>
        <v>1.3744360978112328E-8</v>
      </c>
      <c r="H106" s="137">
        <f t="shared" si="19"/>
        <v>1.3744360978112328E-8</v>
      </c>
      <c r="I106" s="137">
        <f t="shared" si="19"/>
        <v>1.3744360978112328E-8</v>
      </c>
      <c r="J106" s="137">
        <f t="shared" si="19"/>
        <v>1.3744360978112328E-8</v>
      </c>
      <c r="K106" s="137">
        <f t="shared" si="19"/>
        <v>1.3744360978112328E-8</v>
      </c>
      <c r="L106" s="137">
        <f t="shared" si="19"/>
        <v>1.3744360978112328E-8</v>
      </c>
      <c r="M106" s="137">
        <f t="shared" si="19"/>
        <v>1.3744360978112328E-8</v>
      </c>
      <c r="N106" s="137">
        <f t="shared" si="19"/>
        <v>1.3744360978112328E-8</v>
      </c>
      <c r="O106" s="137">
        <f t="shared" si="19"/>
        <v>1.3744360978112328E-8</v>
      </c>
      <c r="P106" s="137">
        <f t="shared" si="19"/>
        <v>1.3744360978112328E-8</v>
      </c>
      <c r="Q106" s="137">
        <f t="shared" si="19"/>
        <v>1.3744360978112328E-8</v>
      </c>
      <c r="R106" s="137">
        <f t="shared" si="19"/>
        <v>1.3744360978112328E-8</v>
      </c>
      <c r="S106" s="137">
        <f t="shared" si="19"/>
        <v>1.3744360978112328E-8</v>
      </c>
      <c r="T106" s="137">
        <f t="shared" si="19"/>
        <v>1.3744360978112328E-8</v>
      </c>
      <c r="U106" s="137">
        <f t="shared" si="19"/>
        <v>1.3744360978112328E-8</v>
      </c>
    </row>
    <row r="107" spans="1:21" ht="15.6" x14ac:dyDescent="0.3">
      <c r="A107" s="141" t="s">
        <v>30</v>
      </c>
      <c r="B107" s="164">
        <f>(0.5/(PI()*SQRT(B106*(B105+B104))))*0.000001</f>
        <v>99.581059907908198</v>
      </c>
      <c r="C107" s="142">
        <f t="shared" ref="C107:S107" si="20">(0.5/(PI()*SQRT(C106*(C105+C104))))*0.000001</f>
        <v>124.04639881165591</v>
      </c>
      <c r="D107" s="142">
        <f t="shared" si="20"/>
        <v>154.23539067647496</v>
      </c>
      <c r="E107" s="142">
        <f t="shared" si="20"/>
        <v>191.26628369135315</v>
      </c>
      <c r="F107" s="142">
        <f t="shared" si="20"/>
        <v>236.31701936510365</v>
      </c>
      <c r="G107" s="142">
        <f t="shared" si="20"/>
        <v>290.51712831812489</v>
      </c>
      <c r="H107" s="142">
        <f t="shared" si="20"/>
        <v>354.78059737723709</v>
      </c>
      <c r="I107" s="142">
        <f t="shared" si="20"/>
        <v>429.59765593396952</v>
      </c>
      <c r="J107" s="142">
        <f t="shared" si="20"/>
        <v>514.85084611945899</v>
      </c>
      <c r="K107" s="142">
        <f t="shared" si="20"/>
        <v>609.77392508643038</v>
      </c>
      <c r="L107" s="142">
        <f t="shared" si="20"/>
        <v>713.18505949919893</v>
      </c>
      <c r="M107" s="142">
        <f t="shared" si="20"/>
        <v>824.05210967873688</v>
      </c>
      <c r="N107" s="142">
        <f t="shared" si="20"/>
        <v>942.31584033586614</v>
      </c>
      <c r="O107" s="142">
        <f t="shared" si="20"/>
        <v>1069.8414300319978</v>
      </c>
      <c r="P107" s="142">
        <f t="shared" si="20"/>
        <v>1211.5382296091946</v>
      </c>
      <c r="Q107" s="142">
        <f t="shared" si="20"/>
        <v>1377.1747602339026</v>
      </c>
      <c r="R107" s="142">
        <f t="shared" si="20"/>
        <v>1585.5547984575198</v>
      </c>
      <c r="S107" s="142">
        <f t="shared" si="20"/>
        <v>1876.5271233777935</v>
      </c>
      <c r="T107" s="142">
        <f>(0.5/(PI()*SQRT(T106*(T105+T104))))*0.000001</f>
        <v>2355.6058045990421</v>
      </c>
      <c r="U107" s="176">
        <f>(0.5/(PI()*SQRT(U106*(U105+U104))))*0.000001</f>
        <v>3473.9432076150269</v>
      </c>
    </row>
    <row r="108" spans="1:21" ht="15.6" x14ac:dyDescent="0.3">
      <c r="A108" s="16" t="s">
        <v>17</v>
      </c>
      <c r="B108" s="143">
        <f t="shared" ref="B108:U108" si="21">_c/B107/1000000</f>
        <v>3.0105369261709582</v>
      </c>
      <c r="C108" s="143">
        <f t="shared" si="21"/>
        <v>2.4167767937800888</v>
      </c>
      <c r="D108" s="143">
        <f t="shared" si="21"/>
        <v>1.9437332552866959</v>
      </c>
      <c r="E108" s="143">
        <f t="shared" si="21"/>
        <v>1.5674088094050898</v>
      </c>
      <c r="F108" s="143">
        <f t="shared" si="21"/>
        <v>1.2686029080996002</v>
      </c>
      <c r="G108" s="143">
        <f t="shared" si="21"/>
        <v>1.0319269632588353</v>
      </c>
      <c r="H108" s="143">
        <f t="shared" si="21"/>
        <v>0.84500804219919512</v>
      </c>
      <c r="I108" s="143">
        <f t="shared" si="21"/>
        <v>0.69784472484663418</v>
      </c>
      <c r="J108" s="143">
        <f t="shared" si="21"/>
        <v>0.58228992000226842</v>
      </c>
      <c r="K108" s="143">
        <f t="shared" si="21"/>
        <v>0.49164525681793775</v>
      </c>
      <c r="L108" s="143">
        <f t="shared" si="21"/>
        <v>0.42035717659384975</v>
      </c>
      <c r="M108" s="143">
        <f t="shared" si="21"/>
        <v>0.36380279169102114</v>
      </c>
      <c r="N108" s="143">
        <f t="shared" si="21"/>
        <v>0.31814434732748004</v>
      </c>
      <c r="O108" s="143">
        <f t="shared" si="21"/>
        <v>0.28022139504452875</v>
      </c>
      <c r="P108" s="143">
        <f t="shared" si="21"/>
        <v>0.24744779048095242</v>
      </c>
      <c r="Q108" s="143">
        <f t="shared" si="21"/>
        <v>0.2176865759208966</v>
      </c>
      <c r="R108" s="143">
        <f t="shared" si="21"/>
        <v>0.18907732378070316</v>
      </c>
      <c r="S108" s="143">
        <f t="shared" si="21"/>
        <v>0.15975919253454032</v>
      </c>
      <c r="T108" s="143">
        <f t="shared" si="21"/>
        <v>0.12726766822135122</v>
      </c>
      <c r="U108" s="143">
        <f t="shared" si="21"/>
        <v>8.6297455106013984E-2</v>
      </c>
    </row>
    <row r="109" spans="1:21" ht="16.2" thickBot="1" x14ac:dyDescent="0.35">
      <c r="A109" s="203" t="s">
        <v>84</v>
      </c>
      <c r="B109" s="299">
        <f t="shared" ref="B109:U109" si="22">1/SQRT(PI()*B107*1000000*Mu0*S_Cu)</f>
        <v>6.6221504575945748E-6</v>
      </c>
      <c r="C109" s="299">
        <f t="shared" si="22"/>
        <v>5.9332867199793143E-6</v>
      </c>
      <c r="D109" s="299">
        <f t="shared" si="22"/>
        <v>5.3210261976560478E-6</v>
      </c>
      <c r="E109" s="299">
        <f t="shared" si="22"/>
        <v>4.7782427143229347E-6</v>
      </c>
      <c r="F109" s="299">
        <f t="shared" si="22"/>
        <v>4.2987275023077805E-6</v>
      </c>
      <c r="G109" s="299">
        <f t="shared" si="22"/>
        <v>3.8770512755496406E-6</v>
      </c>
      <c r="H109" s="299">
        <f t="shared" si="22"/>
        <v>3.5083869406481214E-6</v>
      </c>
      <c r="I109" s="299">
        <f t="shared" si="22"/>
        <v>3.1882800713568324E-6</v>
      </c>
      <c r="J109" s="299">
        <f t="shared" si="22"/>
        <v>2.9123710185677479E-6</v>
      </c>
      <c r="K109" s="299">
        <f t="shared" si="22"/>
        <v>2.6761040261965401E-6</v>
      </c>
      <c r="L109" s="299">
        <f t="shared" si="22"/>
        <v>2.4744933885976617E-6</v>
      </c>
      <c r="M109" s="299">
        <f t="shared" si="22"/>
        <v>2.3020252254560329E-6</v>
      </c>
      <c r="N109" s="299">
        <f t="shared" si="22"/>
        <v>2.1527280526781535E-6</v>
      </c>
      <c r="O109" s="299">
        <f t="shared" si="22"/>
        <v>2.0203551081671064E-6</v>
      </c>
      <c r="P109" s="299">
        <f t="shared" si="22"/>
        <v>1.8985360791276259E-6</v>
      </c>
      <c r="Q109" s="299">
        <f t="shared" si="22"/>
        <v>1.7807087335857427E-6</v>
      </c>
      <c r="R109" s="299">
        <f t="shared" si="22"/>
        <v>1.6595746330598053E-6</v>
      </c>
      <c r="S109" s="299">
        <f t="shared" si="22"/>
        <v>1.5254922057479581E-6</v>
      </c>
      <c r="T109" s="299">
        <f t="shared" si="22"/>
        <v>1.3615578805772505E-6</v>
      </c>
      <c r="U109" s="299">
        <f t="shared" si="22"/>
        <v>1.1211818507020643E-6</v>
      </c>
    </row>
    <row r="110" spans="1:21" ht="15.6" x14ac:dyDescent="0.3">
      <c r="A110" s="204" t="s">
        <v>65</v>
      </c>
      <c r="B110" s="207">
        <f t="shared" ref="B110:U110" si="23">1/(B109*S_Cu)</f>
        <v>2.6033677765341665E-3</v>
      </c>
      <c r="C110" s="207">
        <f t="shared" si="23"/>
        <v>2.9056227899134468E-3</v>
      </c>
      <c r="D110" s="207">
        <f t="shared" si="23"/>
        <v>3.2399564430366842E-3</v>
      </c>
      <c r="E110" s="207">
        <f t="shared" si="23"/>
        <v>3.6079986186104717E-3</v>
      </c>
      <c r="F110" s="207">
        <f t="shared" si="23"/>
        <v>4.0104642835367974E-3</v>
      </c>
      <c r="G110" s="207">
        <f t="shared" si="23"/>
        <v>4.4466507888056344E-3</v>
      </c>
      <c r="H110" s="207">
        <f t="shared" si="23"/>
        <v>4.9139087005830358E-3</v>
      </c>
      <c r="I110" s="207">
        <f t="shared" si="23"/>
        <v>5.4072706057237754E-3</v>
      </c>
      <c r="J110" s="207">
        <f t="shared" si="23"/>
        <v>5.9195387547637986E-3</v>
      </c>
      <c r="K110" s="207">
        <f t="shared" si="23"/>
        <v>6.4421610460207715E-3</v>
      </c>
      <c r="L110" s="207">
        <f t="shared" si="23"/>
        <v>6.9670394724444381E-3</v>
      </c>
      <c r="M110" s="207">
        <f t="shared" si="23"/>
        <v>7.4890113809449963E-3</v>
      </c>
      <c r="N110" s="207">
        <f t="shared" si="23"/>
        <v>8.0083933923818171E-3</v>
      </c>
      <c r="O110" s="207">
        <f t="shared" si="23"/>
        <v>8.5331004648499468E-3</v>
      </c>
      <c r="P110" s="207">
        <f t="shared" si="23"/>
        <v>9.0806244359519384E-3</v>
      </c>
      <c r="Q110" s="207">
        <f t="shared" si="23"/>
        <v>9.6814783841416962E-3</v>
      </c>
      <c r="R110" s="207">
        <f t="shared" si="23"/>
        <v>1.0388139689070215E-2</v>
      </c>
      <c r="S110" s="207">
        <f t="shared" si="23"/>
        <v>1.1301200391390973E-2</v>
      </c>
      <c r="T110" s="207">
        <f t="shared" si="23"/>
        <v>1.2661887796759416E-2</v>
      </c>
      <c r="U110" s="207">
        <f t="shared" si="23"/>
        <v>1.5376536020331923E-2</v>
      </c>
    </row>
    <row r="111" spans="1:21" ht="15.6" x14ac:dyDescent="0.3">
      <c r="A111" s="204" t="s">
        <v>63</v>
      </c>
      <c r="B111" s="206">
        <f t="shared" ref="B111:U111" si="24">2*PI()*B107*1000000*Mu0*($G$5*LN($E$5/$F$5)/($G$5/$F$5+$G$5/$E$5+2*LN($E$5/$F$5)))</f>
        <v>4.3813408530329978</v>
      </c>
      <c r="C111" s="206">
        <f t="shared" si="24"/>
        <v>5.4577602938525347</v>
      </c>
      <c r="D111" s="206">
        <f t="shared" si="24"/>
        <v>6.7860074875611902</v>
      </c>
      <c r="E111" s="206">
        <f t="shared" si="24"/>
        <v>8.4152828190391133</v>
      </c>
      <c r="F111" s="206">
        <f t="shared" si="24"/>
        <v>10.397413043894442</v>
      </c>
      <c r="G111" s="206">
        <f t="shared" si="24"/>
        <v>12.782094948408425</v>
      </c>
      <c r="H111" s="206">
        <f t="shared" si="24"/>
        <v>15.609541880653321</v>
      </c>
      <c r="I111" s="206">
        <f t="shared" si="24"/>
        <v>18.901322822345648</v>
      </c>
      <c r="J111" s="206">
        <f t="shared" si="24"/>
        <v>22.652269893570921</v>
      </c>
      <c r="K111" s="206">
        <f t="shared" si="24"/>
        <v>26.828670146372819</v>
      </c>
      <c r="L111" s="206">
        <f t="shared" si="24"/>
        <v>31.378525593584907</v>
      </c>
      <c r="M111" s="206">
        <f t="shared" si="24"/>
        <v>36.256424429529048</v>
      </c>
      <c r="N111" s="206">
        <f t="shared" si="24"/>
        <v>41.459760435787217</v>
      </c>
      <c r="O111" s="206">
        <f t="shared" si="24"/>
        <v>47.070597240090144</v>
      </c>
      <c r="P111" s="206">
        <f t="shared" si="24"/>
        <v>53.304935148380466</v>
      </c>
      <c r="Q111" s="206">
        <f t="shared" si="24"/>
        <v>60.592566943541257</v>
      </c>
      <c r="R111" s="206">
        <f t="shared" si="24"/>
        <v>69.760816159506959</v>
      </c>
      <c r="S111" s="206">
        <f t="shared" si="24"/>
        <v>82.562938726329975</v>
      </c>
      <c r="T111" s="206">
        <f t="shared" si="24"/>
        <v>103.64131447160698</v>
      </c>
      <c r="U111" s="206">
        <f t="shared" si="24"/>
        <v>152.8456245667202</v>
      </c>
    </row>
    <row r="112" spans="1:21" ht="15.6" x14ac:dyDescent="0.3">
      <c r="A112" s="255" t="s">
        <v>64</v>
      </c>
      <c r="B112" s="256">
        <f>B111/B110</f>
        <v>1682.9511729095098</v>
      </c>
      <c r="C112" s="256">
        <f t="shared" ref="C112:U112" si="25">C111/C110</f>
        <v>1878.3443992794093</v>
      </c>
      <c r="D112" s="256">
        <f t="shared" si="25"/>
        <v>2094.4749125086792</v>
      </c>
      <c r="E112" s="256">
        <f t="shared" si="25"/>
        <v>2332.3963528234508</v>
      </c>
      <c r="F112" s="256">
        <f t="shared" si="25"/>
        <v>2592.5709116962998</v>
      </c>
      <c r="G112" s="256">
        <f t="shared" si="25"/>
        <v>2874.544360575183</v>
      </c>
      <c r="H112" s="256">
        <f t="shared" si="25"/>
        <v>3176.6039688122914</v>
      </c>
      <c r="I112" s="256">
        <f t="shared" si="25"/>
        <v>3495.5385444068529</v>
      </c>
      <c r="J112" s="256">
        <f t="shared" si="25"/>
        <v>3826.6950909547331</v>
      </c>
      <c r="K112" s="256">
        <f t="shared" si="25"/>
        <v>4164.5450889409994</v>
      </c>
      <c r="L112" s="256">
        <f t="shared" si="25"/>
        <v>4503.8535690361914</v>
      </c>
      <c r="M112" s="256">
        <f t="shared" si="25"/>
        <v>4841.2831260718494</v>
      </c>
      <c r="N112" s="256">
        <f t="shared" si="25"/>
        <v>5177.0384400979656</v>
      </c>
      <c r="O112" s="256">
        <f t="shared" si="25"/>
        <v>5516.2361481604648</v>
      </c>
      <c r="P112" s="256">
        <f t="shared" si="25"/>
        <v>5870.1838760488736</v>
      </c>
      <c r="Q112" s="256">
        <f t="shared" si="25"/>
        <v>6258.6068510768091</v>
      </c>
      <c r="R112" s="256">
        <f t="shared" si="25"/>
        <v>6715.4291574366443</v>
      </c>
      <c r="S112" s="256">
        <f t="shared" si="25"/>
        <v>7305.6786772159849</v>
      </c>
      <c r="T112" s="256">
        <f t="shared" si="25"/>
        <v>8185.297179630049</v>
      </c>
      <c r="U112" s="256">
        <f t="shared" si="25"/>
        <v>9940.185771659957</v>
      </c>
    </row>
    <row r="113" spans="1:22" ht="15.6" x14ac:dyDescent="0.3">
      <c r="A113" s="255"/>
      <c r="B113" s="256"/>
      <c r="C113" s="256"/>
      <c r="D113" s="256"/>
      <c r="E113" s="256"/>
      <c r="F113" s="256"/>
      <c r="G113" s="256"/>
      <c r="H113" s="256"/>
      <c r="I113" s="256"/>
      <c r="J113" s="256"/>
      <c r="K113" s="256"/>
      <c r="L113" s="256"/>
      <c r="M113" s="256"/>
      <c r="N113" s="256"/>
      <c r="O113" s="256"/>
      <c r="P113" s="256"/>
      <c r="Q113" s="256"/>
      <c r="R113" s="256"/>
      <c r="S113" s="256"/>
      <c r="T113" s="256"/>
      <c r="U113" s="256"/>
    </row>
    <row r="114" spans="1:22" ht="15.6" x14ac:dyDescent="0.3">
      <c r="A114" s="155" t="s">
        <v>68</v>
      </c>
      <c r="B114" s="155"/>
      <c r="C114" s="155"/>
      <c r="D114" s="155"/>
      <c r="E114" s="155"/>
      <c r="F114" s="155"/>
      <c r="G114" s="155"/>
      <c r="H114" s="155"/>
      <c r="I114" s="4" t="s">
        <v>67</v>
      </c>
      <c r="J114" s="205"/>
      <c r="K114" s="155"/>
      <c r="L114" s="155"/>
      <c r="M114" s="155"/>
      <c r="N114" s="155"/>
      <c r="O114" s="256"/>
      <c r="P114" s="256"/>
      <c r="Q114" s="256"/>
      <c r="R114" s="256"/>
      <c r="S114" s="256"/>
      <c r="T114" s="256"/>
      <c r="U114" s="256"/>
    </row>
    <row r="115" spans="1:22" ht="15.6" x14ac:dyDescent="0.3">
      <c r="I115" s="5" t="s">
        <v>62</v>
      </c>
      <c r="O115" s="256"/>
      <c r="P115" s="256"/>
      <c r="Q115" s="256"/>
      <c r="R115" s="256"/>
      <c r="S115" s="256"/>
      <c r="T115" s="256"/>
      <c r="U115" s="256"/>
    </row>
    <row r="116" spans="1:22" ht="15.6" x14ac:dyDescent="0.3">
      <c r="A116" s="4" t="s">
        <v>66</v>
      </c>
      <c r="D116" s="4"/>
      <c r="I116" s="5" t="s">
        <v>60</v>
      </c>
      <c r="J116" s="4"/>
      <c r="O116" s="256"/>
      <c r="P116" s="256"/>
      <c r="Q116" s="256"/>
      <c r="R116" s="256"/>
      <c r="S116" s="256"/>
      <c r="T116" s="256"/>
      <c r="U116" s="256"/>
    </row>
    <row r="117" spans="1:22" ht="15.6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R117" s="4"/>
    </row>
    <row r="118" spans="1:22" ht="15.6" x14ac:dyDescent="0.3">
      <c r="A118" s="4" t="s">
        <v>100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R118" s="4"/>
    </row>
    <row r="119" spans="1:22" ht="18" x14ac:dyDescent="0.35">
      <c r="A119" s="4" t="s">
        <v>32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R119" s="4"/>
      <c r="U119" s="2"/>
      <c r="V119" s="2"/>
    </row>
    <row r="121" spans="1:22" ht="15.6" x14ac:dyDescent="0.3">
      <c r="A121" s="149" t="s">
        <v>48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22" ht="15.6" x14ac:dyDescent="0.3">
      <c r="A122" s="150" t="s">
        <v>42</v>
      </c>
      <c r="B122" s="150"/>
      <c r="C122" s="150"/>
      <c r="D122" s="150"/>
      <c r="E122" s="150"/>
      <c r="F122" s="150"/>
      <c r="G122" s="150"/>
      <c r="H122" s="150"/>
      <c r="I122" s="150"/>
      <c r="J122" s="150"/>
      <c r="K122" s="150"/>
      <c r="L122" s="150"/>
      <c r="M122" s="150"/>
      <c r="N122" s="150"/>
      <c r="O122" s="150"/>
      <c r="P122" s="4"/>
      <c r="Q122" s="4"/>
      <c r="R122" s="4"/>
      <c r="S122" s="4"/>
    </row>
    <row r="123" spans="1:22" ht="16.2" thickBot="1" x14ac:dyDescent="0.35">
      <c r="A123" s="151" t="s">
        <v>34</v>
      </c>
      <c r="B123" s="150"/>
      <c r="C123" s="150"/>
      <c r="D123" s="150"/>
      <c r="E123" s="150"/>
      <c r="F123" s="150"/>
      <c r="G123" s="150"/>
      <c r="H123" s="150"/>
      <c r="I123" s="150"/>
      <c r="J123" s="150"/>
      <c r="K123" s="150"/>
      <c r="L123" s="150"/>
      <c r="M123" s="150"/>
      <c r="N123" s="150"/>
      <c r="O123" s="150"/>
      <c r="P123" s="4"/>
      <c r="Q123" s="4"/>
      <c r="R123" s="4"/>
      <c r="S123" s="4"/>
    </row>
    <row r="124" spans="1:22" ht="15.6" x14ac:dyDescent="0.3">
      <c r="A124" s="150"/>
      <c r="B124" s="150"/>
      <c r="C124" s="150"/>
      <c r="D124" s="150"/>
      <c r="E124" s="150"/>
      <c r="F124" s="150"/>
      <c r="G124" s="150"/>
      <c r="H124" s="150"/>
      <c r="I124" s="150"/>
      <c r="J124" s="150"/>
      <c r="K124" s="150"/>
      <c r="L124" s="150"/>
      <c r="M124" s="150"/>
      <c r="N124" s="150"/>
      <c r="O124" s="150"/>
      <c r="P124" s="144" t="s">
        <v>43</v>
      </c>
      <c r="Q124" s="152"/>
      <c r="R124" s="4"/>
      <c r="S124" s="4"/>
    </row>
    <row r="125" spans="1:22" ht="19.2" thickBot="1" x14ac:dyDescent="0.45">
      <c r="A125" s="150"/>
      <c r="B125" s="150"/>
      <c r="C125" s="150"/>
      <c r="D125" s="150"/>
      <c r="E125" s="150"/>
      <c r="F125" s="150"/>
      <c r="G125" s="150"/>
      <c r="H125" s="150"/>
      <c r="I125" s="150"/>
      <c r="J125" s="150"/>
      <c r="K125" s="150"/>
      <c r="L125" s="150"/>
      <c r="M125" s="150"/>
      <c r="N125" s="150"/>
      <c r="O125" s="150"/>
      <c r="P125" s="153" t="s">
        <v>35</v>
      </c>
      <c r="Q125" s="154"/>
      <c r="R125" s="4"/>
      <c r="S125" s="4"/>
    </row>
    <row r="126" spans="1:22" ht="15.6" x14ac:dyDescent="0.3">
      <c r="A126" s="150"/>
      <c r="B126" s="150"/>
      <c r="C126" s="150"/>
      <c r="D126" s="150"/>
      <c r="E126" s="150"/>
      <c r="F126" s="150"/>
      <c r="G126" s="150"/>
      <c r="H126" s="150"/>
      <c r="I126" s="150"/>
      <c r="J126" s="150"/>
      <c r="K126" s="150"/>
      <c r="L126" s="150"/>
      <c r="M126" s="150"/>
      <c r="N126" s="150"/>
      <c r="O126" s="150"/>
      <c r="P126" s="155"/>
      <c r="Q126" s="155"/>
      <c r="R126" s="4"/>
      <c r="S126" s="4"/>
    </row>
    <row r="127" spans="1:22" ht="15.6" x14ac:dyDescent="0.3">
      <c r="A127" s="150"/>
      <c r="B127" s="150"/>
      <c r="C127" s="150"/>
      <c r="D127" s="150"/>
      <c r="E127" s="150"/>
      <c r="F127" s="150"/>
      <c r="G127" s="150"/>
      <c r="H127" s="150"/>
      <c r="I127" s="150"/>
      <c r="J127" s="150"/>
      <c r="K127" s="150"/>
      <c r="L127" s="150"/>
      <c r="M127" s="150"/>
      <c r="N127" s="150"/>
      <c r="O127" s="150"/>
      <c r="Q127" s="155"/>
      <c r="R127" s="4"/>
      <c r="S127" s="4"/>
    </row>
    <row r="128" spans="1:22" ht="15.6" x14ac:dyDescent="0.3">
      <c r="A128" s="150"/>
      <c r="B128" s="150"/>
      <c r="C128" s="150"/>
      <c r="D128" s="150"/>
      <c r="E128" s="150"/>
      <c r="F128" s="150"/>
      <c r="G128" s="150"/>
      <c r="H128" s="150"/>
      <c r="I128" s="150"/>
      <c r="J128" s="150"/>
      <c r="K128" s="150"/>
      <c r="L128" s="150"/>
      <c r="M128" s="150"/>
      <c r="N128" s="150"/>
      <c r="O128" s="150"/>
      <c r="P128" s="4"/>
      <c r="Q128" s="4"/>
      <c r="R128" s="4"/>
      <c r="S128" s="4"/>
    </row>
    <row r="129" spans="1:22" ht="15.6" x14ac:dyDescent="0.3">
      <c r="A129" s="150"/>
      <c r="B129" s="150"/>
      <c r="C129" s="150"/>
      <c r="D129" s="150"/>
      <c r="E129" s="150"/>
      <c r="F129" s="150"/>
      <c r="G129" s="150"/>
      <c r="H129" s="150"/>
      <c r="I129" s="150"/>
      <c r="J129" s="150"/>
      <c r="K129" s="150"/>
      <c r="O129" s="150"/>
      <c r="P129" s="4"/>
      <c r="Q129" s="4"/>
      <c r="R129" s="4"/>
      <c r="S129" s="4"/>
    </row>
    <row r="130" spans="1:22" ht="15.6" x14ac:dyDescent="0.3">
      <c r="A130" s="150"/>
      <c r="B130" s="150"/>
      <c r="C130" s="150"/>
      <c r="D130" s="150"/>
      <c r="E130" s="150"/>
      <c r="F130" s="150"/>
      <c r="G130" s="150"/>
      <c r="H130" s="150"/>
      <c r="I130" s="150"/>
      <c r="J130" s="150"/>
      <c r="K130" s="150"/>
      <c r="L130" s="150"/>
      <c r="M130" s="150"/>
      <c r="N130" s="150"/>
      <c r="O130" s="150"/>
      <c r="P130" s="4"/>
      <c r="Q130" s="4"/>
      <c r="R130" s="4"/>
      <c r="S130" s="4"/>
    </row>
    <row r="131" spans="1:22" ht="15.6" x14ac:dyDescent="0.3">
      <c r="A131" s="150"/>
      <c r="B131" s="150"/>
      <c r="C131" s="150"/>
      <c r="D131" s="150"/>
      <c r="E131" s="150"/>
      <c r="F131" s="150"/>
      <c r="G131" s="150"/>
      <c r="H131" s="150"/>
      <c r="I131" s="150"/>
      <c r="J131" s="150"/>
      <c r="K131" s="150"/>
      <c r="M131" s="150"/>
      <c r="N131" s="150"/>
      <c r="O131" s="150"/>
      <c r="P131" s="4"/>
      <c r="Q131" s="4"/>
      <c r="R131" s="4"/>
      <c r="S131" s="4"/>
    </row>
    <row r="132" spans="1:22" ht="15.6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3" spans="1:22" ht="15.6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</row>
    <row r="134" spans="1:22" ht="15.6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</row>
    <row r="135" spans="1:22" ht="15.6" x14ac:dyDescent="0.3">
      <c r="A135" s="4" t="s">
        <v>44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</row>
    <row r="136" spans="1:22" ht="15.6" x14ac:dyDescent="0.3">
      <c r="A136" s="4"/>
      <c r="B136" s="4">
        <v>1</v>
      </c>
      <c r="C136" s="4">
        <v>2</v>
      </c>
      <c r="D136" s="4">
        <v>3</v>
      </c>
      <c r="E136" s="4">
        <v>4</v>
      </c>
      <c r="F136" s="4">
        <v>5</v>
      </c>
      <c r="G136" s="4">
        <v>6</v>
      </c>
      <c r="H136" s="4">
        <v>7</v>
      </c>
      <c r="I136" s="4">
        <v>8</v>
      </c>
      <c r="J136" s="4">
        <v>9</v>
      </c>
      <c r="K136" s="4">
        <v>10</v>
      </c>
      <c r="L136" s="4">
        <v>11</v>
      </c>
      <c r="M136" s="4">
        <v>12</v>
      </c>
      <c r="N136" s="4">
        <v>13</v>
      </c>
      <c r="O136" s="4">
        <v>14</v>
      </c>
      <c r="P136" s="4">
        <v>15</v>
      </c>
      <c r="Q136" s="4">
        <v>16</v>
      </c>
      <c r="R136" s="4">
        <v>17</v>
      </c>
      <c r="S136" s="4">
        <v>18</v>
      </c>
      <c r="T136" s="4">
        <v>19</v>
      </c>
      <c r="U136" s="4">
        <v>20</v>
      </c>
    </row>
    <row r="137" spans="1:22" ht="16.8" customHeight="1" x14ac:dyDescent="0.4">
      <c r="A137" s="156" t="s">
        <v>39</v>
      </c>
      <c r="B137" s="137">
        <f t="shared" ref="B137:U137" si="26">B94</f>
        <v>2.5000000000000001E-2</v>
      </c>
      <c r="C137" s="137">
        <f t="shared" si="26"/>
        <v>2.5000000000000001E-2</v>
      </c>
      <c r="D137" s="137">
        <f t="shared" si="26"/>
        <v>2.5000000000000001E-2</v>
      </c>
      <c r="E137" s="137">
        <f t="shared" si="26"/>
        <v>2.5000000000000001E-2</v>
      </c>
      <c r="F137" s="137">
        <f t="shared" si="26"/>
        <v>2.5000000000000001E-2</v>
      </c>
      <c r="G137" s="137">
        <f t="shared" si="26"/>
        <v>2.5000000000000001E-2</v>
      </c>
      <c r="H137" s="137">
        <f t="shared" si="26"/>
        <v>2.5000000000000001E-2</v>
      </c>
      <c r="I137" s="137">
        <f t="shared" si="26"/>
        <v>2.5000000000000001E-2</v>
      </c>
      <c r="J137" s="137">
        <f t="shared" si="26"/>
        <v>2.5000000000000001E-2</v>
      </c>
      <c r="K137" s="137">
        <f t="shared" si="26"/>
        <v>2.5000000000000001E-2</v>
      </c>
      <c r="L137" s="137">
        <f t="shared" si="26"/>
        <v>2.5000000000000001E-2</v>
      </c>
      <c r="M137" s="137">
        <f t="shared" si="26"/>
        <v>2.5000000000000001E-2</v>
      </c>
      <c r="N137" s="137">
        <f t="shared" si="26"/>
        <v>2.5000000000000001E-2</v>
      </c>
      <c r="O137" s="137">
        <f t="shared" si="26"/>
        <v>2.5000000000000001E-2</v>
      </c>
      <c r="P137" s="137">
        <f t="shared" si="26"/>
        <v>2.5000000000000001E-2</v>
      </c>
      <c r="Q137" s="137">
        <f t="shared" si="26"/>
        <v>2.5000000000000001E-2</v>
      </c>
      <c r="R137" s="137">
        <f t="shared" si="26"/>
        <v>2.5000000000000001E-2</v>
      </c>
      <c r="S137" s="137">
        <f t="shared" si="26"/>
        <v>2.5000000000000001E-2</v>
      </c>
      <c r="T137" s="137">
        <f t="shared" si="26"/>
        <v>2.5000000000000001E-2</v>
      </c>
      <c r="U137" s="137">
        <f t="shared" si="26"/>
        <v>2.5000000000000001E-2</v>
      </c>
    </row>
    <row r="138" spans="1:22" ht="16.8" customHeight="1" x14ac:dyDescent="0.4">
      <c r="A138" s="156" t="s">
        <v>40</v>
      </c>
      <c r="B138" s="140">
        <f t="shared" ref="B138:U138" si="27">B96</f>
        <v>0.39999999999999997</v>
      </c>
      <c r="C138" s="140">
        <f t="shared" si="27"/>
        <v>0.39999999999999997</v>
      </c>
      <c r="D138" s="140">
        <f t="shared" si="27"/>
        <v>0.39999999999999997</v>
      </c>
      <c r="E138" s="140">
        <f t="shared" si="27"/>
        <v>0.39999999999999997</v>
      </c>
      <c r="F138" s="140">
        <f t="shared" si="27"/>
        <v>0.39999999999999997</v>
      </c>
      <c r="G138" s="140">
        <f t="shared" si="27"/>
        <v>0.39999999999999997</v>
      </c>
      <c r="H138" s="140">
        <f t="shared" si="27"/>
        <v>0.39999999999999997</v>
      </c>
      <c r="I138" s="140">
        <f t="shared" si="27"/>
        <v>0.39999999999999997</v>
      </c>
      <c r="J138" s="140">
        <f t="shared" si="27"/>
        <v>0.39999999999999997</v>
      </c>
      <c r="K138" s="140">
        <f t="shared" si="27"/>
        <v>0.39999999999999997</v>
      </c>
      <c r="L138" s="140">
        <f t="shared" si="27"/>
        <v>0.39999999999999997</v>
      </c>
      <c r="M138" s="140">
        <f t="shared" si="27"/>
        <v>0.39999999999999997</v>
      </c>
      <c r="N138" s="140">
        <f t="shared" si="27"/>
        <v>0.39999999999999997</v>
      </c>
      <c r="O138" s="140">
        <f t="shared" si="27"/>
        <v>0.39999999999999997</v>
      </c>
      <c r="P138" s="140">
        <f t="shared" si="27"/>
        <v>0.39999999999999997</v>
      </c>
      <c r="Q138" s="140">
        <f t="shared" si="27"/>
        <v>0.39999999999999997</v>
      </c>
      <c r="R138" s="140">
        <f t="shared" si="27"/>
        <v>0.39999999999999997</v>
      </c>
      <c r="S138" s="140">
        <f t="shared" si="27"/>
        <v>0.39999999999999997</v>
      </c>
      <c r="T138" s="140">
        <f t="shared" si="27"/>
        <v>0.39999999999999997</v>
      </c>
      <c r="U138" s="140">
        <f t="shared" si="27"/>
        <v>0.39999999999999997</v>
      </c>
    </row>
    <row r="139" spans="1:22" ht="16.8" customHeight="1" x14ac:dyDescent="0.4">
      <c r="A139" s="156" t="s">
        <v>41</v>
      </c>
      <c r="B139" s="137">
        <f t="shared" ref="B139:U139" si="28">B95</f>
        <v>0.01</v>
      </c>
      <c r="C139" s="137">
        <f t="shared" si="28"/>
        <v>0.01</v>
      </c>
      <c r="D139" s="137">
        <f t="shared" si="28"/>
        <v>0.01</v>
      </c>
      <c r="E139" s="137">
        <f t="shared" si="28"/>
        <v>0.01</v>
      </c>
      <c r="F139" s="137">
        <f t="shared" si="28"/>
        <v>0.01</v>
      </c>
      <c r="G139" s="137">
        <f t="shared" si="28"/>
        <v>0.01</v>
      </c>
      <c r="H139" s="137">
        <f t="shared" si="28"/>
        <v>0.01</v>
      </c>
      <c r="I139" s="137">
        <f t="shared" si="28"/>
        <v>0.01</v>
      </c>
      <c r="J139" s="137">
        <f t="shared" si="28"/>
        <v>0.01</v>
      </c>
      <c r="K139" s="137">
        <f t="shared" si="28"/>
        <v>0.01</v>
      </c>
      <c r="L139" s="137">
        <f t="shared" si="28"/>
        <v>0.01</v>
      </c>
      <c r="M139" s="137">
        <f t="shared" si="28"/>
        <v>0.01</v>
      </c>
      <c r="N139" s="137">
        <f t="shared" si="28"/>
        <v>0.01</v>
      </c>
      <c r="O139" s="137">
        <f t="shared" si="28"/>
        <v>0.01</v>
      </c>
      <c r="P139" s="137">
        <f t="shared" si="28"/>
        <v>0.01</v>
      </c>
      <c r="Q139" s="137">
        <f t="shared" si="28"/>
        <v>0.01</v>
      </c>
      <c r="R139" s="137">
        <f t="shared" si="28"/>
        <v>0.01</v>
      </c>
      <c r="S139" s="137">
        <f t="shared" si="28"/>
        <v>0.01</v>
      </c>
      <c r="T139" s="137">
        <f t="shared" si="28"/>
        <v>0.01</v>
      </c>
      <c r="U139" s="137">
        <f t="shared" si="28"/>
        <v>0.01</v>
      </c>
    </row>
    <row r="140" spans="1:22" ht="15.6" x14ac:dyDescent="0.3">
      <c r="A140" s="156" t="s">
        <v>36</v>
      </c>
      <c r="B140" s="137">
        <f t="shared" ref="B140:U140" si="29">B97</f>
        <v>7.4999999999999997E-2</v>
      </c>
      <c r="C140" s="137">
        <f t="shared" si="29"/>
        <v>7.4999999999999997E-2</v>
      </c>
      <c r="D140" s="137">
        <f t="shared" si="29"/>
        <v>7.4999999999999997E-2</v>
      </c>
      <c r="E140" s="137">
        <f t="shared" si="29"/>
        <v>7.4999999999999997E-2</v>
      </c>
      <c r="F140" s="137">
        <f t="shared" si="29"/>
        <v>7.4999999999999997E-2</v>
      </c>
      <c r="G140" s="137">
        <f t="shared" si="29"/>
        <v>7.4999999999999997E-2</v>
      </c>
      <c r="H140" s="137">
        <f t="shared" si="29"/>
        <v>7.4999999999999997E-2</v>
      </c>
      <c r="I140" s="137">
        <f t="shared" si="29"/>
        <v>7.4999999999999997E-2</v>
      </c>
      <c r="J140" s="137">
        <f t="shared" si="29"/>
        <v>7.4999999999999997E-2</v>
      </c>
      <c r="K140" s="137">
        <f t="shared" si="29"/>
        <v>7.4999999999999997E-2</v>
      </c>
      <c r="L140" s="137">
        <f t="shared" si="29"/>
        <v>7.4999999999999997E-2</v>
      </c>
      <c r="M140" s="137">
        <f t="shared" si="29"/>
        <v>7.4999999999999997E-2</v>
      </c>
      <c r="N140" s="137">
        <f t="shared" si="29"/>
        <v>7.4999999999999997E-2</v>
      </c>
      <c r="O140" s="137">
        <f t="shared" si="29"/>
        <v>7.4999999999999997E-2</v>
      </c>
      <c r="P140" s="137">
        <f t="shared" si="29"/>
        <v>7.4999999999999997E-2</v>
      </c>
      <c r="Q140" s="137">
        <f t="shared" si="29"/>
        <v>7.4999999999999997E-2</v>
      </c>
      <c r="R140" s="137">
        <f t="shared" si="29"/>
        <v>7.4999999999999997E-2</v>
      </c>
      <c r="S140" s="137">
        <f t="shared" si="29"/>
        <v>7.4999999999999997E-2</v>
      </c>
      <c r="T140" s="137">
        <f t="shared" si="29"/>
        <v>7.4999999999999997E-2</v>
      </c>
      <c r="U140" s="137">
        <f t="shared" si="29"/>
        <v>7.4999999999999997E-2</v>
      </c>
    </row>
    <row r="141" spans="1:22" ht="15.6" x14ac:dyDescent="0.3">
      <c r="A141" s="156" t="s">
        <v>3</v>
      </c>
      <c r="B141" s="137">
        <f t="shared" ref="B141:U141" si="30">B98</f>
        <v>1.52231844552102E-5</v>
      </c>
      <c r="C141" s="137">
        <f t="shared" si="30"/>
        <v>2.3814997996478789E-5</v>
      </c>
      <c r="D141" s="137">
        <f t="shared" si="30"/>
        <v>3.7255945445644112E-5</v>
      </c>
      <c r="E141" s="137">
        <f t="shared" si="30"/>
        <v>5.8282829637610573E-5</v>
      </c>
      <c r="F141" s="137">
        <f t="shared" si="30"/>
        <v>9.1177077643157608E-5</v>
      </c>
      <c r="G141" s="137">
        <f t="shared" si="30"/>
        <v>1.4263651128876815E-4</v>
      </c>
      <c r="H141" s="137">
        <f t="shared" si="30"/>
        <v>2.2313913626686288E-4</v>
      </c>
      <c r="I141" s="137">
        <f t="shared" si="30"/>
        <v>3.4907664022376E-4</v>
      </c>
      <c r="J141" s="137">
        <f t="shared" si="30"/>
        <v>5.4609201589889047E-4</v>
      </c>
      <c r="K141" s="137">
        <f t="shared" si="30"/>
        <v>8.5430090548985367E-4</v>
      </c>
      <c r="L141" s="137">
        <f t="shared" si="30"/>
        <v>1.3364598197237016E-3</v>
      </c>
      <c r="M141" s="137">
        <f t="shared" si="30"/>
        <v>2.0907444183402217E-3</v>
      </c>
      <c r="N141" s="137">
        <f t="shared" si="30"/>
        <v>3.2707397246888367E-3</v>
      </c>
      <c r="O141" s="137">
        <f t="shared" si="30"/>
        <v>5.1167126181545499E-3</v>
      </c>
      <c r="P141" s="137">
        <f t="shared" si="30"/>
        <v>8.0045342095426773E-3</v>
      </c>
      <c r="Q141" s="137">
        <f t="shared" si="30"/>
        <v>1.2522213517406441E-2</v>
      </c>
      <c r="R141" s="137">
        <f t="shared" si="30"/>
        <v>1.9589625988302869E-2</v>
      </c>
      <c r="S141" s="137">
        <f t="shared" si="30"/>
        <v>3.0645815600265608E-2</v>
      </c>
      <c r="T141" s="137">
        <f t="shared" si="30"/>
        <v>4.7942008406197591E-2</v>
      </c>
      <c r="U141" s="137">
        <f t="shared" si="30"/>
        <v>7.4999999999999997E-2</v>
      </c>
      <c r="V141" s="136"/>
    </row>
    <row r="142" spans="1:22" ht="15.6" x14ac:dyDescent="0.3">
      <c r="A142" s="158" t="s">
        <v>38</v>
      </c>
      <c r="B142" s="157">
        <f t="shared" ref="B142:U142" si="31">2*epsilon0*B139*LN((EXP(1)*SQRT((B137-B139)^2+0.25*B140^2)/B141))</f>
        <v>1.5731211863765489E-12</v>
      </c>
      <c r="C142" s="157">
        <f t="shared" si="31"/>
        <v>1.4938769152999485E-12</v>
      </c>
      <c r="D142" s="157">
        <f t="shared" si="31"/>
        <v>1.414632644223348E-12</v>
      </c>
      <c r="E142" s="157">
        <f t="shared" si="31"/>
        <v>1.3353883731467474E-12</v>
      </c>
      <c r="F142" s="157">
        <f t="shared" si="31"/>
        <v>1.2561441020701468E-12</v>
      </c>
      <c r="G142" s="157">
        <f t="shared" si="31"/>
        <v>1.176899830993546E-12</v>
      </c>
      <c r="H142" s="157">
        <f t="shared" si="31"/>
        <v>1.0976555599169454E-12</v>
      </c>
      <c r="I142" s="157">
        <f t="shared" si="31"/>
        <v>1.0184112888403448E-12</v>
      </c>
      <c r="J142" s="157">
        <f t="shared" si="31"/>
        <v>9.3916701776374426E-13</v>
      </c>
      <c r="K142" s="157">
        <f t="shared" si="31"/>
        <v>8.5992274668714357E-13</v>
      </c>
      <c r="L142" s="157">
        <f t="shared" si="31"/>
        <v>7.8067847561054299E-13</v>
      </c>
      <c r="M142" s="157">
        <f t="shared" si="31"/>
        <v>7.0143420453394241E-13</v>
      </c>
      <c r="N142" s="157">
        <f t="shared" si="31"/>
        <v>6.2218993345734182E-13</v>
      </c>
      <c r="O142" s="157">
        <f t="shared" si="31"/>
        <v>5.4294566238074134E-13</v>
      </c>
      <c r="P142" s="157">
        <f t="shared" si="31"/>
        <v>4.6370139130414055E-13</v>
      </c>
      <c r="Q142" s="157">
        <f t="shared" si="31"/>
        <v>3.8445712022753997E-13</v>
      </c>
      <c r="R142" s="157">
        <f t="shared" si="31"/>
        <v>3.0521284915093944E-13</v>
      </c>
      <c r="S142" s="157">
        <f t="shared" si="31"/>
        <v>2.2596857807433883E-13</v>
      </c>
      <c r="T142" s="157">
        <f t="shared" si="31"/>
        <v>1.467243069977382E-13</v>
      </c>
      <c r="U142" s="157">
        <f t="shared" si="31"/>
        <v>6.74800359211376E-14</v>
      </c>
    </row>
    <row r="143" spans="1:22" ht="15.6" x14ac:dyDescent="0.3">
      <c r="A143" s="158" t="s">
        <v>37</v>
      </c>
      <c r="B143" s="157">
        <f t="shared" ref="B143:U143" si="32">epsilon0*PI()*B139^2/B141</f>
        <v>1.8272294789065123E-10</v>
      </c>
      <c r="C143" s="157">
        <f t="shared" si="32"/>
        <v>1.1680140138371743E-10</v>
      </c>
      <c r="D143" s="157">
        <f t="shared" si="32"/>
        <v>7.4662583559917874E-11</v>
      </c>
      <c r="E143" s="157">
        <f t="shared" si="32"/>
        <v>4.7726322782106839E-11</v>
      </c>
      <c r="F143" s="157">
        <f t="shared" si="32"/>
        <v>3.0507943573555548E-11</v>
      </c>
      <c r="G143" s="157">
        <f t="shared" si="32"/>
        <v>1.9501494496789357E-11</v>
      </c>
      <c r="H143" s="157">
        <f t="shared" si="32"/>
        <v>1.2465877507979887E-11</v>
      </c>
      <c r="I143" s="157">
        <f t="shared" si="32"/>
        <v>7.9685227237093515E-12</v>
      </c>
      <c r="J143" s="157">
        <f t="shared" si="32"/>
        <v>5.0936931120673369E-12</v>
      </c>
      <c r="K143" s="157">
        <f t="shared" si="32"/>
        <v>3.2560250399643077E-12</v>
      </c>
      <c r="L143" s="157">
        <f t="shared" si="32"/>
        <v>2.0813383978234495E-12</v>
      </c>
      <c r="M143" s="157">
        <f t="shared" si="32"/>
        <v>1.3304472395279155E-12</v>
      </c>
      <c r="N143" s="157">
        <f t="shared" si="32"/>
        <v>8.5045750321932945E-13</v>
      </c>
      <c r="O143" s="157">
        <f t="shared" si="32"/>
        <v>5.4363521024606557E-13</v>
      </c>
      <c r="P143" s="157">
        <f t="shared" si="32"/>
        <v>3.4750618426029162E-13</v>
      </c>
      <c r="Q143" s="157">
        <f t="shared" si="32"/>
        <v>2.2213525876016735E-13</v>
      </c>
      <c r="R143" s="157">
        <f t="shared" si="32"/>
        <v>1.4199480590390429E-13</v>
      </c>
      <c r="S143" s="157">
        <f t="shared" si="32"/>
        <v>9.0766882377085011E-14</v>
      </c>
      <c r="T143" s="157">
        <f t="shared" si="32"/>
        <v>5.8020621839020768E-14</v>
      </c>
      <c r="U143" s="157">
        <f t="shared" si="32"/>
        <v>3.7088335199188602E-14</v>
      </c>
    </row>
    <row r="144" spans="1:22" ht="15.6" x14ac:dyDescent="0.3">
      <c r="A144" s="158" t="s">
        <v>14</v>
      </c>
      <c r="B144" s="157">
        <f t="shared" ref="B144:U144" si="33">(Mu0*B140/(2*PI()))*LN(B137/B139)</f>
        <v>1.3744360978112328E-8</v>
      </c>
      <c r="C144" s="157">
        <f t="shared" si="33"/>
        <v>1.3744360978112328E-8</v>
      </c>
      <c r="D144" s="157">
        <f t="shared" si="33"/>
        <v>1.3744360978112328E-8</v>
      </c>
      <c r="E144" s="157">
        <f t="shared" si="33"/>
        <v>1.3744360978112328E-8</v>
      </c>
      <c r="F144" s="157">
        <f t="shared" si="33"/>
        <v>1.3744360978112328E-8</v>
      </c>
      <c r="G144" s="157">
        <f t="shared" si="33"/>
        <v>1.3744360978112328E-8</v>
      </c>
      <c r="H144" s="157">
        <f t="shared" si="33"/>
        <v>1.3744360978112328E-8</v>
      </c>
      <c r="I144" s="157">
        <f t="shared" si="33"/>
        <v>1.3744360978112328E-8</v>
      </c>
      <c r="J144" s="157">
        <f t="shared" si="33"/>
        <v>1.3744360978112328E-8</v>
      </c>
      <c r="K144" s="157">
        <f t="shared" si="33"/>
        <v>1.3744360978112328E-8</v>
      </c>
      <c r="L144" s="157">
        <f t="shared" si="33"/>
        <v>1.3744360978112328E-8</v>
      </c>
      <c r="M144" s="157">
        <f t="shared" si="33"/>
        <v>1.3744360978112328E-8</v>
      </c>
      <c r="N144" s="157">
        <f t="shared" si="33"/>
        <v>1.3744360978112328E-8</v>
      </c>
      <c r="O144" s="157">
        <f t="shared" si="33"/>
        <v>1.3744360978112328E-8</v>
      </c>
      <c r="P144" s="157">
        <f t="shared" si="33"/>
        <v>1.3744360978112328E-8</v>
      </c>
      <c r="Q144" s="157">
        <f t="shared" si="33"/>
        <v>1.3744360978112328E-8</v>
      </c>
      <c r="R144" s="157">
        <f t="shared" si="33"/>
        <v>1.3744360978112328E-8</v>
      </c>
      <c r="S144" s="157">
        <f t="shared" si="33"/>
        <v>1.3744360978112328E-8</v>
      </c>
      <c r="T144" s="157">
        <f t="shared" si="33"/>
        <v>1.3744360978112328E-8</v>
      </c>
      <c r="U144" s="157">
        <f t="shared" si="33"/>
        <v>1.3744360978112328E-8</v>
      </c>
    </row>
    <row r="145" spans="1:21" ht="16.2" thickBot="1" x14ac:dyDescent="0.35">
      <c r="A145" s="156" t="s">
        <v>30</v>
      </c>
      <c r="B145" s="146">
        <f t="shared" ref="B145:U145" si="34">1/(2*PI()*SQRT(B144*(B143+B142)))/1000000</f>
        <v>99.999958366415441</v>
      </c>
      <c r="C145" s="146">
        <f t="shared" si="34"/>
        <v>124.81711784949285</v>
      </c>
      <c r="D145" s="146">
        <f t="shared" si="34"/>
        <v>155.64334251326039</v>
      </c>
      <c r="E145" s="146">
        <f t="shared" si="34"/>
        <v>193.81460908354069</v>
      </c>
      <c r="F145" s="146">
        <f t="shared" si="34"/>
        <v>240.87385441304201</v>
      </c>
      <c r="G145" s="146">
        <f t="shared" si="34"/>
        <v>298.53788298640444</v>
      </c>
      <c r="H145" s="146">
        <f t="shared" si="34"/>
        <v>368.61367255647497</v>
      </c>
      <c r="I145" s="146">
        <f t="shared" si="34"/>
        <v>452.84760874771359</v>
      </c>
      <c r="J145" s="146">
        <f t="shared" si="34"/>
        <v>552.70860619456926</v>
      </c>
      <c r="K145" s="146">
        <f t="shared" si="34"/>
        <v>669.14914412390101</v>
      </c>
      <c r="L145" s="146">
        <f t="shared" si="34"/>
        <v>802.45698234274755</v>
      </c>
      <c r="M145" s="146">
        <f t="shared" si="34"/>
        <v>952.37650555060588</v>
      </c>
      <c r="N145" s="146">
        <f t="shared" si="34"/>
        <v>1118.6866678625126</v>
      </c>
      <c r="O145" s="146">
        <f t="shared" si="34"/>
        <v>1302.347340016091</v>
      </c>
      <c r="P145" s="146">
        <f t="shared" si="34"/>
        <v>1507.2727804114079</v>
      </c>
      <c r="Q145" s="146">
        <f t="shared" si="34"/>
        <v>1743.0481345435082</v>
      </c>
      <c r="R145" s="146">
        <f t="shared" si="34"/>
        <v>2030.0336681224935</v>
      </c>
      <c r="S145" s="146">
        <f t="shared" si="34"/>
        <v>2412.178883255559</v>
      </c>
      <c r="T145" s="146">
        <f t="shared" si="34"/>
        <v>3000.2074026552127</v>
      </c>
      <c r="U145" s="147">
        <f t="shared" si="34"/>
        <v>4198.1474079675199</v>
      </c>
    </row>
    <row r="146" spans="1:21" ht="15.6" x14ac:dyDescent="0.3">
      <c r="A146" s="16" t="s">
        <v>17</v>
      </c>
      <c r="B146" s="143">
        <f t="shared" ref="B146:U146" si="35">_c/B145/1000000</f>
        <v>2.9979258281439845</v>
      </c>
      <c r="C146" s="143">
        <f t="shared" si="35"/>
        <v>2.4018537133784501</v>
      </c>
      <c r="D146" s="143">
        <f t="shared" si="35"/>
        <v>1.9261502172793448</v>
      </c>
      <c r="E146" s="143">
        <f t="shared" si="35"/>
        <v>1.5468001066461365</v>
      </c>
      <c r="F146" s="143">
        <f t="shared" si="35"/>
        <v>1.2446035653414107</v>
      </c>
      <c r="G146" s="143">
        <f t="shared" si="35"/>
        <v>1.0042023980375472</v>
      </c>
      <c r="H146" s="143">
        <f t="shared" si="35"/>
        <v>0.81329717349013708</v>
      </c>
      <c r="I146" s="143">
        <f t="shared" si="35"/>
        <v>0.66201621077128769</v>
      </c>
      <c r="J146" s="143">
        <f t="shared" si="35"/>
        <v>0.54240598868920897</v>
      </c>
      <c r="K146" s="143">
        <f t="shared" si="35"/>
        <v>0.4480203862361809</v>
      </c>
      <c r="L146" s="143">
        <f t="shared" si="35"/>
        <v>0.37359318268346986</v>
      </c>
      <c r="M146" s="143">
        <f t="shared" si="35"/>
        <v>0.314783550678498</v>
      </c>
      <c r="N146" s="143">
        <f t="shared" si="35"/>
        <v>0.267986082799053</v>
      </c>
      <c r="O146" s="143">
        <f t="shared" si="35"/>
        <v>0.2301939342819988</v>
      </c>
      <c r="P146" s="143">
        <f t="shared" si="35"/>
        <v>0.19889728116643365</v>
      </c>
      <c r="Q146" s="143">
        <f t="shared" si="35"/>
        <v>0.17199321812103227</v>
      </c>
      <c r="R146" s="143">
        <f t="shared" si="35"/>
        <v>0.14767856450246339</v>
      </c>
      <c r="S146" s="143">
        <f t="shared" si="35"/>
        <v>0.12428284655049707</v>
      </c>
      <c r="T146" s="143">
        <f t="shared" si="35"/>
        <v>9.9923911171834578E-2</v>
      </c>
      <c r="U146" s="143">
        <f t="shared" si="35"/>
        <v>7.1410655431258602E-2</v>
      </c>
    </row>
    <row r="147" spans="1:21" ht="16.2" thickBot="1" x14ac:dyDescent="0.35">
      <c r="A147" s="203" t="s">
        <v>84</v>
      </c>
      <c r="B147" s="299">
        <f t="shared" ref="B147:U147" si="36">1/SQRT(PI()*B145*1000000*Mu0*S_Cu)</f>
        <v>6.6082658528621009E-6</v>
      </c>
      <c r="C147" s="299">
        <f t="shared" si="36"/>
        <v>5.9149399653217716E-6</v>
      </c>
      <c r="D147" s="299">
        <f t="shared" si="36"/>
        <v>5.2969044839663175E-6</v>
      </c>
      <c r="E147" s="299">
        <f t="shared" si="36"/>
        <v>4.7467259787666849E-6</v>
      </c>
      <c r="F147" s="299">
        <f t="shared" si="36"/>
        <v>4.2578718375895194E-6</v>
      </c>
      <c r="G147" s="299">
        <f t="shared" si="36"/>
        <v>3.8246147154855243E-6</v>
      </c>
      <c r="H147" s="299">
        <f t="shared" si="36"/>
        <v>3.4419273247920762E-6</v>
      </c>
      <c r="I147" s="299">
        <f t="shared" si="36"/>
        <v>3.1053558678073567E-6</v>
      </c>
      <c r="J147" s="299">
        <f t="shared" si="36"/>
        <v>2.8108605647300799E-6</v>
      </c>
      <c r="K147" s="299">
        <f t="shared" si="36"/>
        <v>2.5546179103216206E-6</v>
      </c>
      <c r="L147" s="299">
        <f t="shared" si="36"/>
        <v>2.3327947858919777E-6</v>
      </c>
      <c r="M147" s="299">
        <f t="shared" si="36"/>
        <v>2.1413274262910569E-6</v>
      </c>
      <c r="N147" s="299">
        <f t="shared" si="36"/>
        <v>1.9757554332720808E-6</v>
      </c>
      <c r="O147" s="299">
        <f t="shared" si="36"/>
        <v>1.8311503419200697E-6</v>
      </c>
      <c r="P147" s="299">
        <f t="shared" si="36"/>
        <v>1.7021251466732111E-6</v>
      </c>
      <c r="Q147" s="299">
        <f t="shared" si="36"/>
        <v>1.5828243612982567E-6</v>
      </c>
      <c r="R147" s="299">
        <f t="shared" si="36"/>
        <v>1.4666814380688539E-6</v>
      </c>
      <c r="S147" s="299">
        <f t="shared" si="36"/>
        <v>1.3454967728726273E-6</v>
      </c>
      <c r="T147" s="299">
        <f t="shared" si="36"/>
        <v>1.2064568037102116E-6</v>
      </c>
      <c r="U147" s="299">
        <f t="shared" si="36"/>
        <v>1.0199023071405717E-6</v>
      </c>
    </row>
    <row r="148" spans="1:21" ht="15.6" x14ac:dyDescent="0.3">
      <c r="A148" s="204" t="s">
        <v>65</v>
      </c>
      <c r="B148" s="207">
        <f t="shared" ref="B148:U148" si="37">1/(B147*S_Cu)</f>
        <v>2.6088377036459489E-3</v>
      </c>
      <c r="C148" s="207">
        <f t="shared" si="37"/>
        <v>2.9146353494265524E-3</v>
      </c>
      <c r="D148" s="207">
        <f t="shared" si="37"/>
        <v>3.2547109665367201E-3</v>
      </c>
      <c r="E148" s="207">
        <f t="shared" si="37"/>
        <v>3.6319545703251332E-3</v>
      </c>
      <c r="F148" s="207">
        <f t="shared" si="37"/>
        <v>4.048945992329963E-3</v>
      </c>
      <c r="G148" s="207">
        <f t="shared" si="37"/>
        <v>4.5076156410892602E-3</v>
      </c>
      <c r="H148" s="207">
        <f t="shared" si="37"/>
        <v>5.0087905658217661E-3</v>
      </c>
      <c r="I148" s="207">
        <f t="shared" si="37"/>
        <v>5.5516642364198737E-3</v>
      </c>
      <c r="J148" s="207">
        <f t="shared" si="37"/>
        <v>6.1333149459579135E-3</v>
      </c>
      <c r="K148" s="207">
        <f t="shared" si="37"/>
        <v>6.7485211948945583E-3</v>
      </c>
      <c r="L148" s="207">
        <f t="shared" si="37"/>
        <v>7.3902313297870221E-3</v>
      </c>
      <c r="M148" s="207">
        <f t="shared" si="37"/>
        <v>8.0510308236809523E-3</v>
      </c>
      <c r="N148" s="207">
        <f t="shared" si="37"/>
        <v>8.7257222338047342E-3</v>
      </c>
      <c r="O148" s="207">
        <f t="shared" si="37"/>
        <v>9.4147884627461299E-3</v>
      </c>
      <c r="P148" s="207">
        <f t="shared" si="37"/>
        <v>1.0128452156621929E-2</v>
      </c>
      <c r="Q148" s="207">
        <f t="shared" si="37"/>
        <v>1.0891854797156571E-2</v>
      </c>
      <c r="R148" s="207">
        <f t="shared" si="37"/>
        <v>1.1754354193888265E-2</v>
      </c>
      <c r="S148" s="207">
        <f t="shared" si="37"/>
        <v>1.281303193009942E-2</v>
      </c>
      <c r="T148" s="207">
        <f t="shared" si="37"/>
        <v>1.4289689493767972E-2</v>
      </c>
      <c r="U148" s="207">
        <f t="shared" si="37"/>
        <v>1.6903474962221603E-2</v>
      </c>
    </row>
    <row r="149" spans="1:21" ht="15.6" x14ac:dyDescent="0.3">
      <c r="A149" s="204" t="s">
        <v>63</v>
      </c>
      <c r="B149" s="206">
        <f t="shared" ref="B149:U149" si="38">2*PI()*B145*1000000*Mu0*($G$5*LN($E$5/$F$5)/($G$5/$F$5+$G$5/$E$5+2*LN($E$5/$F$5)))</f>
        <v>4.399771435427156</v>
      </c>
      <c r="C149" s="206">
        <f t="shared" si="38"/>
        <v>5.4916701840445858</v>
      </c>
      <c r="D149" s="206">
        <f t="shared" si="38"/>
        <v>6.8479541760912745</v>
      </c>
      <c r="E149" s="206">
        <f t="shared" si="38"/>
        <v>8.5274033584061169</v>
      </c>
      <c r="F149" s="206">
        <f t="shared" si="38"/>
        <v>10.597903454164513</v>
      </c>
      <c r="G149" s="206">
        <f t="shared" si="38"/>
        <v>13.134989968131924</v>
      </c>
      <c r="H149" s="206">
        <f t="shared" si="38"/>
        <v>16.218165824422559</v>
      </c>
      <c r="I149" s="206">
        <f t="shared" si="38"/>
        <v>19.924268030883805</v>
      </c>
      <c r="J149" s="206">
        <f t="shared" si="38"/>
        <v>24.3179255009203</v>
      </c>
      <c r="K149" s="206">
        <f t="shared" si="38"/>
        <v>29.441045160931115</v>
      </c>
      <c r="L149" s="206">
        <f t="shared" si="38"/>
        <v>35.306287789980125</v>
      </c>
      <c r="M149" s="206">
        <f t="shared" si="38"/>
        <v>41.902406894408891</v>
      </c>
      <c r="N149" s="206">
        <f t="shared" si="38"/>
        <v>49.219676956462514</v>
      </c>
      <c r="O149" s="206">
        <f t="shared" si="38"/>
        <v>57.300330112254741</v>
      </c>
      <c r="P149" s="206">
        <f t="shared" si="38"/>
        <v>66.316584856481242</v>
      </c>
      <c r="Q149" s="206">
        <f t="shared" si="38"/>
        <v>76.690165858256222</v>
      </c>
      <c r="R149" s="206">
        <f t="shared" si="38"/>
        <v>89.316878645425774</v>
      </c>
      <c r="S149" s="206">
        <f t="shared" si="38"/>
        <v>106.13040166277436</v>
      </c>
      <c r="T149" s="206">
        <f t="shared" si="38"/>
        <v>132.00232326289392</v>
      </c>
      <c r="U149" s="206">
        <f t="shared" si="38"/>
        <v>184.70896737384462</v>
      </c>
    </row>
    <row r="150" spans="1:21" ht="15.6" x14ac:dyDescent="0.3">
      <c r="A150" s="255" t="s">
        <v>64</v>
      </c>
      <c r="B150" s="256">
        <f>B149/B148</f>
        <v>1686.4872158503038</v>
      </c>
      <c r="C150" s="256">
        <f t="shared" ref="C150:U150" si="39">C149/C148</f>
        <v>1884.1705824795747</v>
      </c>
      <c r="D150" s="256">
        <f t="shared" si="39"/>
        <v>2104.0129973132639</v>
      </c>
      <c r="E150" s="256">
        <f t="shared" si="39"/>
        <v>2347.882715295842</v>
      </c>
      <c r="F150" s="256">
        <f t="shared" si="39"/>
        <v>2617.4474725621017</v>
      </c>
      <c r="G150" s="256">
        <f t="shared" si="39"/>
        <v>2913.9551847321809</v>
      </c>
      <c r="H150" s="256">
        <f t="shared" si="39"/>
        <v>3237.9404990677085</v>
      </c>
      <c r="I150" s="256">
        <f t="shared" si="39"/>
        <v>3588.8820329185573</v>
      </c>
      <c r="J150" s="256">
        <f t="shared" si="39"/>
        <v>3964.891044270722</v>
      </c>
      <c r="K150" s="256">
        <f t="shared" si="39"/>
        <v>4362.5920865750668</v>
      </c>
      <c r="L150" s="256">
        <f t="shared" si="39"/>
        <v>4777.4266074290281</v>
      </c>
      <c r="M150" s="256">
        <f t="shared" si="39"/>
        <v>5204.6014742806565</v>
      </c>
      <c r="N150" s="256">
        <f t="shared" si="39"/>
        <v>5640.7567921172449</v>
      </c>
      <c r="O150" s="256">
        <f t="shared" si="39"/>
        <v>6086.2047340722975</v>
      </c>
      <c r="P150" s="256">
        <f t="shared" si="39"/>
        <v>6547.5537457244945</v>
      </c>
      <c r="Q150" s="256">
        <f t="shared" si="39"/>
        <v>7041.0565772761647</v>
      </c>
      <c r="R150" s="256">
        <f t="shared" si="39"/>
        <v>7598.6206619387503</v>
      </c>
      <c r="S150" s="256">
        <f t="shared" si="39"/>
        <v>8283.0045411391457</v>
      </c>
      <c r="T150" s="256">
        <f t="shared" si="39"/>
        <v>9237.5921338572716</v>
      </c>
      <c r="U150" s="256">
        <f t="shared" si="39"/>
        <v>10927.2778400098</v>
      </c>
    </row>
    <row r="151" spans="1:21" ht="15.6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</row>
    <row r="152" spans="1:21" ht="15" thickBot="1" x14ac:dyDescent="0.35"/>
    <row r="153" spans="1:21" ht="16.2" thickBot="1" x14ac:dyDescent="0.35">
      <c r="A153" s="179" t="s">
        <v>49</v>
      </c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</row>
    <row r="154" spans="1:21" ht="18.600000000000001" thickBot="1" x14ac:dyDescent="0.45">
      <c r="A154" s="180"/>
      <c r="B154" s="99" t="s">
        <v>26</v>
      </c>
      <c r="C154" s="25"/>
      <c r="D154" s="54"/>
      <c r="E154" s="25"/>
      <c r="F154" s="25"/>
      <c r="G154" s="23"/>
      <c r="H154" s="25"/>
      <c r="I154" s="25"/>
      <c r="J154" s="98"/>
      <c r="K154" s="55" t="s">
        <v>25</v>
      </c>
      <c r="L154" s="25"/>
      <c r="M154" s="25"/>
      <c r="N154" s="25"/>
      <c r="O154" s="23"/>
      <c r="P154" s="25"/>
      <c r="Q154" s="23"/>
      <c r="R154" s="23"/>
      <c r="S154" s="24"/>
    </row>
    <row r="155" spans="1:21" ht="16.2" thickBot="1" x14ac:dyDescent="0.35">
      <c r="A155" s="108" t="s">
        <v>28</v>
      </c>
      <c r="B155" s="104">
        <v>61</v>
      </c>
      <c r="C155" s="105">
        <v>61</v>
      </c>
      <c r="D155" s="122">
        <v>61</v>
      </c>
      <c r="E155" s="104">
        <v>72</v>
      </c>
      <c r="F155" s="105">
        <v>72</v>
      </c>
      <c r="G155" s="124">
        <v>72</v>
      </c>
      <c r="H155" s="104">
        <v>79</v>
      </c>
      <c r="I155" s="105">
        <v>79</v>
      </c>
      <c r="J155" s="124">
        <v>79</v>
      </c>
      <c r="K155" s="134">
        <v>91</v>
      </c>
      <c r="L155" s="106">
        <v>91</v>
      </c>
      <c r="M155" s="107">
        <v>91</v>
      </c>
      <c r="N155" s="134">
        <v>97</v>
      </c>
      <c r="O155" s="106">
        <v>97</v>
      </c>
      <c r="P155" s="107">
        <v>97</v>
      </c>
      <c r="Q155" s="125">
        <v>101</v>
      </c>
      <c r="R155" s="106">
        <v>101</v>
      </c>
      <c r="S155" s="107">
        <v>101</v>
      </c>
      <c r="T155" s="22"/>
    </row>
    <row r="156" spans="1:21" ht="18" x14ac:dyDescent="0.4">
      <c r="A156" s="109" t="s">
        <v>8</v>
      </c>
      <c r="B156" s="100">
        <v>8.9250000000000006E-3</v>
      </c>
      <c r="C156" s="101">
        <v>8.9250000000000006E-3</v>
      </c>
      <c r="D156" s="123">
        <v>8.9250000000000006E-3</v>
      </c>
      <c r="E156" s="100">
        <v>1.4E-2</v>
      </c>
      <c r="F156" s="101">
        <v>1.4E-2</v>
      </c>
      <c r="G156" s="123">
        <v>1.4E-2</v>
      </c>
      <c r="H156" s="100">
        <v>1.9949999999999999E-2</v>
      </c>
      <c r="I156" s="101">
        <v>1.9949999999999999E-2</v>
      </c>
      <c r="J156" s="123">
        <v>1.9949999999999999E-2</v>
      </c>
      <c r="K156" s="135">
        <v>1.4E-2</v>
      </c>
      <c r="L156" s="102">
        <v>1.4E-2</v>
      </c>
      <c r="M156" s="103">
        <v>1.4E-2</v>
      </c>
      <c r="N156" s="135">
        <v>1.9949999999999999E-2</v>
      </c>
      <c r="O156" s="102">
        <v>1.9949999999999999E-2</v>
      </c>
      <c r="P156" s="103">
        <v>1.9949999999999999E-2</v>
      </c>
      <c r="Q156" s="126">
        <v>1.9949999999999999E-2</v>
      </c>
      <c r="R156" s="102">
        <v>1.9949999999999999E-2</v>
      </c>
      <c r="S156" s="103">
        <v>1.9949999999999999E-2</v>
      </c>
      <c r="T156" s="42"/>
    </row>
    <row r="157" spans="1:21" ht="15.6" x14ac:dyDescent="0.3">
      <c r="A157" s="110" t="s">
        <v>2</v>
      </c>
      <c r="B157" s="27">
        <v>9.9000000000000008E-3</v>
      </c>
      <c r="C157" s="20">
        <v>9.9000000000000008E-3</v>
      </c>
      <c r="D157" s="28">
        <v>9.9000000000000008E-3</v>
      </c>
      <c r="E157" s="27">
        <v>2.1000000000000001E-2</v>
      </c>
      <c r="F157" s="20">
        <v>2.1000000000000001E-2</v>
      </c>
      <c r="G157" s="28">
        <v>2.1000000000000001E-2</v>
      </c>
      <c r="H157" s="27">
        <v>2.0899999999999998E-2</v>
      </c>
      <c r="I157" s="20">
        <v>2.0899999999999998E-2</v>
      </c>
      <c r="J157" s="28">
        <v>2.0899999999999998E-2</v>
      </c>
      <c r="K157" s="36">
        <v>6.0629999999999998E-3</v>
      </c>
      <c r="L157" s="21">
        <v>6.1879999999999999E-3</v>
      </c>
      <c r="M157" s="37">
        <v>6.3299999999999997E-3</v>
      </c>
      <c r="N157" s="36">
        <v>1.1516999999999999E-2</v>
      </c>
      <c r="O157" s="21">
        <v>1.2567E-2</v>
      </c>
      <c r="P157" s="37">
        <v>1.4057E-2</v>
      </c>
      <c r="Q157" s="33">
        <v>1.5335E-2</v>
      </c>
      <c r="R157" s="21">
        <v>1.7444999999999999E-2</v>
      </c>
      <c r="S157" s="37">
        <v>1.9956000000000002E-2</v>
      </c>
      <c r="T157" s="42"/>
    </row>
    <row r="158" spans="1:21" ht="18" x14ac:dyDescent="0.4">
      <c r="A158" s="111" t="s">
        <v>9</v>
      </c>
      <c r="B158" s="27">
        <v>5.4999999999999997E-3</v>
      </c>
      <c r="C158" s="20">
        <v>5.4999999999999997E-3</v>
      </c>
      <c r="D158" s="28">
        <v>5.4999999999999997E-3</v>
      </c>
      <c r="E158" s="27">
        <v>5.4999999999999997E-3</v>
      </c>
      <c r="F158" s="20">
        <v>5.4999999999999997E-3</v>
      </c>
      <c r="G158" s="28">
        <v>5.4999999999999997E-3</v>
      </c>
      <c r="H158" s="27">
        <v>5.4999999999999997E-3</v>
      </c>
      <c r="I158" s="20">
        <v>5.4999999999999997E-3</v>
      </c>
      <c r="J158" s="28">
        <v>5.4999999999999997E-3</v>
      </c>
      <c r="K158" s="36">
        <v>1.0525E-2</v>
      </c>
      <c r="L158" s="21">
        <v>1.0525E-2</v>
      </c>
      <c r="M158" s="37">
        <v>1.0525E-2</v>
      </c>
      <c r="N158" s="36">
        <v>1.035E-2</v>
      </c>
      <c r="O158" s="21">
        <v>1.035E-2</v>
      </c>
      <c r="P158" s="37">
        <v>1.035E-2</v>
      </c>
      <c r="Q158" s="33">
        <v>8.2050000000000005E-3</v>
      </c>
      <c r="R158" s="21">
        <v>8.2050000000000005E-3</v>
      </c>
      <c r="S158" s="37">
        <v>8.2050000000000005E-3</v>
      </c>
      <c r="T158" s="43"/>
    </row>
    <row r="159" spans="1:21" ht="15.6" x14ac:dyDescent="0.3">
      <c r="A159" s="111" t="s">
        <v>3</v>
      </c>
      <c r="B159" s="27">
        <v>7.1599999999999995E-4</v>
      </c>
      <c r="C159" s="20">
        <v>8.4500000000000005E-4</v>
      </c>
      <c r="D159" s="28">
        <v>9.9099999999999991E-4</v>
      </c>
      <c r="E159" s="27">
        <v>7.2940000000000001E-3</v>
      </c>
      <c r="F159" s="20">
        <v>8.1689999999999992E-3</v>
      </c>
      <c r="G159" s="28">
        <v>8.9379999999999998E-3</v>
      </c>
      <c r="H159" s="27">
        <v>9.7000000000000003E-3</v>
      </c>
      <c r="I159" s="20">
        <v>1.069E-2</v>
      </c>
      <c r="J159" s="28">
        <v>1.1615E-2</v>
      </c>
      <c r="K159" s="36">
        <v>5.6300000000000002E-4</v>
      </c>
      <c r="L159" s="21">
        <v>6.8800000000000003E-4</v>
      </c>
      <c r="M159" s="37">
        <v>8.3000000000000001E-4</v>
      </c>
      <c r="N159" s="36">
        <v>3.2169999999999998E-3</v>
      </c>
      <c r="O159" s="21">
        <v>4.267E-3</v>
      </c>
      <c r="P159" s="37">
        <v>5.757E-3</v>
      </c>
      <c r="Q159" s="33">
        <v>5.2350000000000001E-3</v>
      </c>
      <c r="R159" s="21">
        <v>7.345E-3</v>
      </c>
      <c r="S159" s="37">
        <v>9.8560000000000002E-3</v>
      </c>
      <c r="T159" s="44"/>
    </row>
    <row r="160" spans="1:21" ht="16.2" thickBot="1" x14ac:dyDescent="0.35">
      <c r="A160" s="112" t="s">
        <v>7</v>
      </c>
      <c r="B160" s="86">
        <v>90</v>
      </c>
      <c r="C160" s="87">
        <v>90</v>
      </c>
      <c r="D160" s="88">
        <v>90</v>
      </c>
      <c r="E160" s="86">
        <v>90</v>
      </c>
      <c r="F160" s="87">
        <v>90</v>
      </c>
      <c r="G160" s="88">
        <v>90</v>
      </c>
      <c r="H160" s="86">
        <v>90</v>
      </c>
      <c r="I160" s="87">
        <v>90</v>
      </c>
      <c r="J160" s="88">
        <v>90</v>
      </c>
      <c r="K160" s="89">
        <v>47.58</v>
      </c>
      <c r="L160" s="90">
        <v>47.58</v>
      </c>
      <c r="M160" s="91">
        <v>47.58</v>
      </c>
      <c r="N160" s="89">
        <v>59.7</v>
      </c>
      <c r="O160" s="90">
        <v>59.7</v>
      </c>
      <c r="P160" s="91">
        <v>59.7</v>
      </c>
      <c r="Q160" s="127">
        <v>75.010000000000005</v>
      </c>
      <c r="R160" s="90">
        <v>75.010000000000005</v>
      </c>
      <c r="S160" s="91">
        <v>75.010000000000005</v>
      </c>
      <c r="T160" s="45"/>
    </row>
    <row r="161" spans="1:21" ht="15.6" x14ac:dyDescent="0.3">
      <c r="A161" s="113" t="s">
        <v>6</v>
      </c>
      <c r="B161" s="80">
        <f>2*PI()*_deg/360</f>
        <v>1.5707963267948966</v>
      </c>
      <c r="C161" s="81">
        <f>2*PI()*C160/360</f>
        <v>1.5707963267948966</v>
      </c>
      <c r="D161" s="82">
        <f t="shared" ref="D161:N161" si="40">2*PI()*D160/360</f>
        <v>1.5707963267948966</v>
      </c>
      <c r="E161" s="80">
        <f t="shared" si="40"/>
        <v>1.5707963267948966</v>
      </c>
      <c r="F161" s="81">
        <f t="shared" si="40"/>
        <v>1.5707963267948966</v>
      </c>
      <c r="G161" s="82">
        <f t="shared" si="40"/>
        <v>1.5707963267948966</v>
      </c>
      <c r="H161" s="80">
        <f t="shared" si="40"/>
        <v>1.5707963267948966</v>
      </c>
      <c r="I161" s="81">
        <f t="shared" si="40"/>
        <v>1.5707963267948966</v>
      </c>
      <c r="J161" s="82">
        <f t="shared" si="40"/>
        <v>1.5707963267948966</v>
      </c>
      <c r="K161" s="83">
        <f t="shared" si="40"/>
        <v>0.83042765809890196</v>
      </c>
      <c r="L161" s="84">
        <f t="shared" si="40"/>
        <v>0.83042765809890196</v>
      </c>
      <c r="M161" s="85">
        <f t="shared" si="40"/>
        <v>0.83042765809890196</v>
      </c>
      <c r="N161" s="83">
        <f t="shared" si="40"/>
        <v>1.0419615634406147</v>
      </c>
      <c r="O161" s="84">
        <f>2*PI()*O160/360</f>
        <v>1.0419615634406147</v>
      </c>
      <c r="P161" s="85">
        <f>2*PI()*P160/360</f>
        <v>1.0419615634406147</v>
      </c>
      <c r="Q161" s="128">
        <f>2*PI()*Q160/360</f>
        <v>1.3091714719209466</v>
      </c>
      <c r="R161" s="84">
        <f>2*PI()*R160/360</f>
        <v>1.3091714719209466</v>
      </c>
      <c r="S161" s="85">
        <f>2*PI()*S160/360</f>
        <v>1.3091714719209466</v>
      </c>
      <c r="T161" s="46"/>
    </row>
    <row r="162" spans="1:21" ht="18" x14ac:dyDescent="0.4">
      <c r="A162" s="114" t="s">
        <v>15</v>
      </c>
      <c r="B162" s="92">
        <f>_r1-(_l-_d)/TAN(alpha)</f>
        <v>5.4999999999999988E-3</v>
      </c>
      <c r="C162" s="93">
        <f>C158-(C157-C159)/TAN(C161)</f>
        <v>5.4999999999999988E-3</v>
      </c>
      <c r="D162" s="94">
        <f t="shared" ref="D162:O162" si="41">D158-(D157-D159)/TAN(D161)</f>
        <v>5.4999999999999988E-3</v>
      </c>
      <c r="E162" s="92">
        <f t="shared" si="41"/>
        <v>5.4999999999999988E-3</v>
      </c>
      <c r="F162" s="93">
        <f t="shared" si="41"/>
        <v>5.4999999999999988E-3</v>
      </c>
      <c r="G162" s="94">
        <f t="shared" si="41"/>
        <v>5.4999999999999988E-3</v>
      </c>
      <c r="H162" s="92">
        <f t="shared" si="41"/>
        <v>5.4999999999999988E-3</v>
      </c>
      <c r="I162" s="93">
        <f t="shared" si="41"/>
        <v>5.4999999999999988E-3</v>
      </c>
      <c r="J162" s="94">
        <f t="shared" si="41"/>
        <v>5.4999999999999988E-3</v>
      </c>
      <c r="K162" s="95">
        <f t="shared" si="41"/>
        <v>5.4992880960224042E-3</v>
      </c>
      <c r="L162" s="96">
        <f t="shared" si="41"/>
        <v>5.4992880960224042E-3</v>
      </c>
      <c r="M162" s="97">
        <f t="shared" si="41"/>
        <v>5.4992880960224042E-3</v>
      </c>
      <c r="N162" s="95">
        <f t="shared" si="41"/>
        <v>5.4998716032046494E-3</v>
      </c>
      <c r="O162" s="96">
        <f t="shared" si="41"/>
        <v>5.4998716032046494E-3</v>
      </c>
      <c r="P162" s="97">
        <f>P158-(P157-P159)/TAN(P161)</f>
        <v>5.4998716032046494E-3</v>
      </c>
      <c r="Q162" s="129">
        <f>Q158-(Q157-Q159)/TAN(Q161)</f>
        <v>5.5006024127489039E-3</v>
      </c>
      <c r="R162" s="96">
        <f>R158-(R157-R159)/TAN(R161)</f>
        <v>5.5006024127489048E-3</v>
      </c>
      <c r="S162" s="97">
        <f>S158-(S157-S159)/TAN(S161)</f>
        <v>5.500602412748903E-3</v>
      </c>
      <c r="T162" s="47"/>
      <c r="U162" s="3">
        <v>1</v>
      </c>
    </row>
    <row r="163" spans="1:21" ht="18" x14ac:dyDescent="0.4">
      <c r="A163" s="115" t="s">
        <v>10</v>
      </c>
      <c r="B163" s="31">
        <f>_rb0-_d/TAN(alpha)</f>
        <v>5.4999999999999988E-3</v>
      </c>
      <c r="C163" s="18">
        <f>C162-C159/TAN(C161)</f>
        <v>5.4999999999999988E-3</v>
      </c>
      <c r="D163" s="32">
        <f t="shared" ref="D163:O163" si="42">D162-D159/TAN(D161)</f>
        <v>5.4999999999999988E-3</v>
      </c>
      <c r="E163" s="31">
        <f t="shared" si="42"/>
        <v>5.4999999999999979E-3</v>
      </c>
      <c r="F163" s="18">
        <f t="shared" si="42"/>
        <v>5.4999999999999979E-3</v>
      </c>
      <c r="G163" s="32">
        <f t="shared" si="42"/>
        <v>5.4999999999999979E-3</v>
      </c>
      <c r="H163" s="31">
        <f t="shared" si="42"/>
        <v>5.4999999999999979E-3</v>
      </c>
      <c r="I163" s="18">
        <f t="shared" si="42"/>
        <v>5.4999999999999979E-3</v>
      </c>
      <c r="J163" s="32">
        <f t="shared" si="42"/>
        <v>5.4999999999999979E-3</v>
      </c>
      <c r="K163" s="40">
        <f t="shared" si="42"/>
        <v>4.9848379502152431E-3</v>
      </c>
      <c r="L163" s="19">
        <f t="shared" si="42"/>
        <v>4.8706172251248431E-3</v>
      </c>
      <c r="M163" s="41">
        <f t="shared" si="42"/>
        <v>4.7408624814221489E-3</v>
      </c>
      <c r="N163" s="40">
        <f t="shared" si="42"/>
        <v>3.6200085848322829E-3</v>
      </c>
      <c r="O163" s="19">
        <f t="shared" si="42"/>
        <v>3.0064381249967267E-3</v>
      </c>
      <c r="P163" s="41">
        <f>P162-P159/TAN(P161)</f>
        <v>2.1357524248491275E-3</v>
      </c>
      <c r="Q163" s="35">
        <f>Q162-Q159/TAN(Q161)</f>
        <v>4.098867623713311E-3</v>
      </c>
      <c r="R163" s="19">
        <f>R162-R159/TAN(R161)</f>
        <v>3.5338895139014489E-3</v>
      </c>
      <c r="S163" s="41">
        <f>S162-S159/TAN(S161)</f>
        <v>2.8615387870115951E-3</v>
      </c>
      <c r="T163" s="48"/>
    </row>
    <row r="164" spans="1:21" ht="18" x14ac:dyDescent="0.4">
      <c r="A164" s="116" t="s">
        <v>11</v>
      </c>
      <c r="B164" s="31">
        <f>SQRT((2*(_r1-_r0)^2+3*(_r2-_r1)*(_r1+_r2-2*_r0))^2+_l^2*(3*_r2-2*_r1-_r0)^2)/(3*(2*_r2-_r1-_r0))</f>
        <v>5.2378579829926658E-3</v>
      </c>
      <c r="C164" s="18">
        <f>SQRT((2*(C158-C163)^2+3*(C156-C158)*(C158+C156-2*C163))^2+C157^2*(3*C156-2*C158-C163)^2)/(3*(2*C156-C158-C163))</f>
        <v>5.2378579829926658E-3</v>
      </c>
      <c r="D164" s="32">
        <f t="shared" ref="D164:O164" si="43">SQRT((2*(D158-D163)^2+3*(D156-D158)*(D158+D156-2*D163))^2+D157^2*(3*D156-2*D158-D163)^2)/(3*(2*D156-D158-D163))</f>
        <v>5.2378579829926658E-3</v>
      </c>
      <c r="E164" s="31">
        <f t="shared" si="43"/>
        <v>1.1327510759209194E-2</v>
      </c>
      <c r="F164" s="18">
        <f t="shared" si="43"/>
        <v>1.1327510759209194E-2</v>
      </c>
      <c r="G164" s="32">
        <f t="shared" si="43"/>
        <v>1.1327510759209194E-2</v>
      </c>
      <c r="H164" s="31">
        <f t="shared" si="43"/>
        <v>1.2704452959494166E-2</v>
      </c>
      <c r="I164" s="18">
        <f t="shared" si="43"/>
        <v>1.2704452959494166E-2</v>
      </c>
      <c r="J164" s="32">
        <f t="shared" si="43"/>
        <v>1.2704452959494166E-2</v>
      </c>
      <c r="K164" s="40">
        <f t="shared" si="43"/>
        <v>6.2469861809398954E-3</v>
      </c>
      <c r="L164" s="19">
        <f t="shared" si="43"/>
        <v>6.3388597344370525E-3</v>
      </c>
      <c r="M164" s="41">
        <f t="shared" si="43"/>
        <v>6.4431350242777153E-3</v>
      </c>
      <c r="N164" s="40">
        <f t="shared" si="43"/>
        <v>1.1036226301380762E-2</v>
      </c>
      <c r="O164" s="19">
        <f t="shared" si="43"/>
        <v>1.1632817880088632E-2</v>
      </c>
      <c r="P164" s="41">
        <f>SQRT((2*(P158-P163)^2+3*(P156-P158)*(P158+P156-2*P163))^2+P157^2*(3*P156-2*P158-P163)^2)/(3*(2*P156-P158-P163))</f>
        <v>1.247826860459959E-2</v>
      </c>
      <c r="Q164" s="35">
        <f>SQRT((2*(Q158-Q163)^2+3*(Q156-Q158)*(Q158+Q156-2*Q163))^2+Q157^2*(3*Q156-2*Q158-Q163)^2)/(3*(2*Q156-Q158-Q163))</f>
        <v>1.1503673354917971E-2</v>
      </c>
      <c r="R164" s="19">
        <f>SQRT((2*(R158-R163)^2+3*(R156-R158)*(R158+R156-2*R163))^2+R157^2*(3*R156-2*R158-R163)^2)/(3*(2*R156-R158-R163))</f>
        <v>1.2433867826604238E-2</v>
      </c>
      <c r="S164" s="41">
        <f>SQRT((2*(S158-S163)^2+3*(S156-S158)*(S158+S156-2*S163))^2+S157^2*(3*S156-2*S158-S163)^2)/(3*(2*S156-S158-S163))</f>
        <v>1.3551103408244884E-2</v>
      </c>
      <c r="T164" s="49"/>
    </row>
    <row r="165" spans="1:21" ht="18" x14ac:dyDescent="0.4">
      <c r="A165" s="117" t="s">
        <v>12</v>
      </c>
      <c r="B165" s="29">
        <f>epsilon0*(PI()*(_r0^2-_rb0^2)/_d+2*PI()/alpha*(_r0*LN(EXP(1)*\LM*SIN(alpha)/_d)+_d*_xlfn.COT(alpha)/2*LN(SQRT(EXP(1)*\LM)*SIN(alpha)/_d)))</f>
        <v>5.8242608740690344E-13</v>
      </c>
      <c r="C165" s="14">
        <f t="shared" ref="C165:S165" si="44">epsilon0*(PI()*(C163^2-C162^2)/C159+2*PI()/C161*(C163*LN(EXP(1)*C164*SIN(C161)/C159)+C159*_xlfn.COT(C161)/2*LN(SQRT(EXP(1)*C164)*SIN(C161)/C159)))</f>
        <v>5.5015751231099724E-13</v>
      </c>
      <c r="D165" s="30">
        <f t="shared" si="44"/>
        <v>5.1911195002220898E-13</v>
      </c>
      <c r="E165" s="29">
        <f t="shared" si="44"/>
        <v>2.8053617188317426E-13</v>
      </c>
      <c r="F165" s="14">
        <f t="shared" si="44"/>
        <v>2.5846731222374977E-13</v>
      </c>
      <c r="G165" s="30">
        <f t="shared" si="44"/>
        <v>2.4094277025353058E-13</v>
      </c>
      <c r="H165" s="29">
        <f t="shared" si="44"/>
        <v>2.4735224491628284E-13</v>
      </c>
      <c r="I165" s="14">
        <f t="shared" si="44"/>
        <v>2.2842179241341121E-13</v>
      </c>
      <c r="J165" s="30">
        <f t="shared" si="44"/>
        <v>2.1225625806727822E-13</v>
      </c>
      <c r="K165" s="38">
        <f t="shared" si="44"/>
        <v>8.5836672049829079E-13</v>
      </c>
      <c r="L165" s="15">
        <f t="shared" si="44"/>
        <v>7.9246437309593104E-13</v>
      </c>
      <c r="M165" s="39">
        <f t="shared" si="44"/>
        <v>7.3293746603471659E-13</v>
      </c>
      <c r="N165" s="38">
        <f t="shared" si="44"/>
        <v>4.4758062392892082E-13</v>
      </c>
      <c r="O165" s="15">
        <f t="shared" si="44"/>
        <v>3.9816687012668927E-13</v>
      </c>
      <c r="P165" s="39">
        <f t="shared" si="44"/>
        <v>3.5941849861992078E-13</v>
      </c>
      <c r="Q165" s="34">
        <f t="shared" si="44"/>
        <v>3.375819028858568E-13</v>
      </c>
      <c r="R165" s="15">
        <f t="shared" si="44"/>
        <v>2.8984271281816061E-13</v>
      </c>
      <c r="S165" s="39">
        <f t="shared" si="44"/>
        <v>2.5836334566014667E-13</v>
      </c>
      <c r="T165" s="50"/>
      <c r="U165" s="3" t="s">
        <v>24</v>
      </c>
    </row>
    <row r="166" spans="1:21" ht="18" x14ac:dyDescent="0.4">
      <c r="A166" s="117" t="s">
        <v>13</v>
      </c>
      <c r="B166" s="29">
        <f>epsilon0*PI()*_rb0^2/_d</f>
        <v>1.1751977721111606E-12</v>
      </c>
      <c r="C166" s="14">
        <f>epsilon0*PI()*C162^2/C159</f>
        <v>9.9578888145750409E-13</v>
      </c>
      <c r="D166" s="30">
        <f t="shared" ref="D166:N166" si="45">epsilon0*PI()*D162^2/D159</f>
        <v>8.4908335502683249E-13</v>
      </c>
      <c r="E166" s="29">
        <f t="shared" si="45"/>
        <v>1.1536079035256251E-13</v>
      </c>
      <c r="F166" s="14">
        <f t="shared" si="45"/>
        <v>1.0300423611599841E-13</v>
      </c>
      <c r="G166" s="30">
        <f t="shared" si="45"/>
        <v>9.4142045740835869E-14</v>
      </c>
      <c r="H166" s="29">
        <f t="shared" si="45"/>
        <v>8.6746557199133084E-14</v>
      </c>
      <c r="I166" s="14">
        <f t="shared" si="45"/>
        <v>7.8712965840186243E-14</v>
      </c>
      <c r="J166" s="30">
        <f t="shared" si="45"/>
        <v>7.2444391289848553E-14</v>
      </c>
      <c r="K166" s="38">
        <f t="shared" si="45"/>
        <v>1.4941808018275781E-12</v>
      </c>
      <c r="L166" s="15">
        <f t="shared" si="45"/>
        <v>1.2227089991699513E-12</v>
      </c>
      <c r="M166" s="39">
        <f t="shared" si="45"/>
        <v>1.013522640275815E-12</v>
      </c>
      <c r="N166" s="38">
        <f t="shared" si="45"/>
        <v>2.6154874684402886E-13</v>
      </c>
      <c r="O166" s="15">
        <f>epsilon0*PI()*O162^2/O159</f>
        <v>1.9718826308817456E-13</v>
      </c>
      <c r="P166" s="39">
        <f>epsilon0*PI()*P162^2/P159</f>
        <v>1.461529127318466E-13</v>
      </c>
      <c r="Q166" s="34">
        <f>epsilon0*PI()*Q162^2/Q159</f>
        <v>1.6076904306309588E-13</v>
      </c>
      <c r="R166" s="15">
        <f>epsilon0*PI()*R162^2/R159</f>
        <v>1.1458487956913645E-13</v>
      </c>
      <c r="S166" s="39">
        <f>epsilon0*PI()*S162^2/S159</f>
        <v>8.5392242333127696E-14</v>
      </c>
      <c r="T166" s="50"/>
    </row>
    <row r="167" spans="1:21" ht="16.2" thickBot="1" x14ac:dyDescent="0.35">
      <c r="A167" s="118" t="s">
        <v>14</v>
      </c>
      <c r="B167" s="56">
        <f>IF(_deg=90,Mu0/2/PI()*_l*LN(_r2/_r1),Mu0*(_l/(2*PI())*(LN(EXP(1)*_r2/_r1)-(_r0/(_r1-_r0)*LN(_r1/_r0)))))</f>
        <v>9.5853430614600998E-10</v>
      </c>
      <c r="C167" s="57">
        <f t="shared" ref="C167:S167" si="46">IF(_deg=90,Mu0/2/PI()*C157*LN(C156/C158),Mu0*(C157/(2*PI())*(LN(EXP(1)*C156/C158)-(C163/(C158-C163)*LN(C158/C163)))))</f>
        <v>9.5853430614600998E-10</v>
      </c>
      <c r="D167" s="58">
        <f t="shared" si="46"/>
        <v>9.5853430614600998E-10</v>
      </c>
      <c r="E167" s="56">
        <f t="shared" si="46"/>
        <v>3.9240987969827017E-9</v>
      </c>
      <c r="F167" s="57">
        <f t="shared" si="46"/>
        <v>3.9240987969827017E-9</v>
      </c>
      <c r="G167" s="58">
        <f t="shared" si="46"/>
        <v>3.9240987969827017E-9</v>
      </c>
      <c r="H167" s="56">
        <f t="shared" si="46"/>
        <v>5.3858507935873301E-9</v>
      </c>
      <c r="I167" s="57">
        <f t="shared" si="46"/>
        <v>5.3858507935873301E-9</v>
      </c>
      <c r="J167" s="58">
        <f t="shared" si="46"/>
        <v>5.3858507935873301E-9</v>
      </c>
      <c r="K167" s="59">
        <f t="shared" si="46"/>
        <v>3.4595956982676606E-10</v>
      </c>
      <c r="L167" s="60">
        <f t="shared" si="46"/>
        <v>3.5309216857793639E-10</v>
      </c>
      <c r="M167" s="61">
        <f t="shared" si="46"/>
        <v>3.6119480075926583E-10</v>
      </c>
      <c r="N167" s="59">
        <f t="shared" si="46"/>
        <v>1.5115892592566605E-9</v>
      </c>
      <c r="O167" s="60">
        <f t="shared" si="46"/>
        <v>1.6494002102178041E-9</v>
      </c>
      <c r="P167" s="61">
        <f t="shared" si="46"/>
        <v>1.8449605120579038E-9</v>
      </c>
      <c r="Q167" s="130">
        <f t="shared" si="46"/>
        <v>2.7249847794406406E-9</v>
      </c>
      <c r="R167" s="60">
        <f t="shared" si="46"/>
        <v>3.0999256261716314E-9</v>
      </c>
      <c r="S167" s="61">
        <f t="shared" si="46"/>
        <v>3.5461230034898877E-9</v>
      </c>
      <c r="T167" s="51"/>
    </row>
    <row r="168" spans="1:21" ht="15.6" x14ac:dyDescent="0.3">
      <c r="A168" s="119" t="s">
        <v>23</v>
      </c>
      <c r="B168" s="68">
        <f>(0.5/(PI()*SQRT(\L*(_C0+_C1))))*0.000000001</f>
        <v>3.8775136151252978</v>
      </c>
      <c r="C168" s="69">
        <f>(0.5/(PI()*SQRT(C167*(C166+C165))))*0.000000001</f>
        <v>4.1344627731922996</v>
      </c>
      <c r="D168" s="70">
        <f>(0.5/(PI()*SQRT(D167*(D166+D165))))*0.000000001</f>
        <v>4.3948317487198443</v>
      </c>
      <c r="E168" s="68">
        <f t="shared" ref="E168:O168" si="47">(0.5/(PI()*SQRT(E167*(E166+E165))))*0.000000001</f>
        <v>4.0379327382506247</v>
      </c>
      <c r="F168" s="69">
        <f t="shared" si="47"/>
        <v>4.2258405427252459</v>
      </c>
      <c r="G168" s="70">
        <f t="shared" si="47"/>
        <v>4.3890728643121015</v>
      </c>
      <c r="H168" s="68">
        <f t="shared" si="47"/>
        <v>3.7519367934808034</v>
      </c>
      <c r="I168" s="69">
        <f t="shared" si="47"/>
        <v>3.9131679575472038</v>
      </c>
      <c r="J168" s="70">
        <f t="shared" si="47"/>
        <v>4.064421536075451</v>
      </c>
      <c r="K168" s="71">
        <f t="shared" si="47"/>
        <v>5.5787674061590771</v>
      </c>
      <c r="L168" s="72">
        <f t="shared" si="47"/>
        <v>5.9665032437678898</v>
      </c>
      <c r="M168" s="73">
        <f t="shared" si="47"/>
        <v>6.3368007502738433</v>
      </c>
      <c r="N168" s="71">
        <f t="shared" si="47"/>
        <v>4.8611664990405234</v>
      </c>
      <c r="O168" s="72">
        <f t="shared" si="47"/>
        <v>5.0788929322511205</v>
      </c>
      <c r="P168" s="73">
        <f>(0.5/(PI()*SQRT(P167*(P166+P165))))*0.000000001</f>
        <v>5.2111711880082341</v>
      </c>
      <c r="Q168" s="131">
        <f>(0.5/(PI()*SQRT(Q167*(Q166+Q165))))*0.000000001</f>
        <v>4.3188731421256561</v>
      </c>
      <c r="R168" s="72">
        <f>(0.5/(PI()*SQRT(R167*(R166+R165))))*0.000000001</f>
        <v>4.4949421371374525</v>
      </c>
      <c r="S168" s="73">
        <f>(0.5/(PI()*SQRT(S167*(S166+S165))))*0.000000001</f>
        <v>4.5584621218145438</v>
      </c>
      <c r="T168" s="52"/>
    </row>
    <row r="169" spans="1:21" ht="16.8" thickBot="1" x14ac:dyDescent="0.4">
      <c r="A169" s="120" t="s">
        <v>27</v>
      </c>
      <c r="B169" s="74">
        <v>3.8</v>
      </c>
      <c r="C169" s="75">
        <v>4</v>
      </c>
      <c r="D169" s="76">
        <v>4.2</v>
      </c>
      <c r="E169" s="74">
        <v>3.8</v>
      </c>
      <c r="F169" s="75">
        <v>4</v>
      </c>
      <c r="G169" s="76">
        <v>4.2</v>
      </c>
      <c r="H169" s="74">
        <v>3.8</v>
      </c>
      <c r="I169" s="75">
        <v>4</v>
      </c>
      <c r="J169" s="76">
        <v>4.2</v>
      </c>
      <c r="K169" s="77">
        <v>3.8</v>
      </c>
      <c r="L169" s="78">
        <v>4</v>
      </c>
      <c r="M169" s="79">
        <v>4.2</v>
      </c>
      <c r="N169" s="77">
        <v>3.8</v>
      </c>
      <c r="O169" s="78">
        <v>4</v>
      </c>
      <c r="P169" s="79">
        <v>4.2</v>
      </c>
      <c r="Q169" s="132">
        <v>3.8</v>
      </c>
      <c r="R169" s="78">
        <v>4</v>
      </c>
      <c r="S169" s="79">
        <v>4.2</v>
      </c>
      <c r="T169" s="53"/>
    </row>
    <row r="170" spans="1:21" ht="16.2" thickBot="1" x14ac:dyDescent="0.35">
      <c r="A170" s="121" t="s">
        <v>17</v>
      </c>
      <c r="B170" s="62">
        <f t="shared" ref="B170:S170" si="48">_c/B168/1000000000</f>
        <v>7.7315642898216505E-2</v>
      </c>
      <c r="C170" s="63">
        <f t="shared" si="48"/>
        <v>7.2510619745772761E-2</v>
      </c>
      <c r="D170" s="64">
        <f t="shared" si="48"/>
        <v>6.8214774794808822E-2</v>
      </c>
      <c r="E170" s="62">
        <f t="shared" si="48"/>
        <v>7.4244044523109287E-2</v>
      </c>
      <c r="F170" s="63">
        <f t="shared" si="48"/>
        <v>7.0942681099524812E-2</v>
      </c>
      <c r="G170" s="64">
        <f t="shared" si="48"/>
        <v>6.8304279119546216E-2</v>
      </c>
      <c r="H170" s="62">
        <f t="shared" si="48"/>
        <v>7.9903387104203333E-2</v>
      </c>
      <c r="I170" s="63">
        <f t="shared" si="48"/>
        <v>7.6611191048367777E-2</v>
      </c>
      <c r="J170" s="64">
        <f t="shared" si="48"/>
        <v>7.3760178499958307E-2</v>
      </c>
      <c r="K170" s="65">
        <f t="shared" si="48"/>
        <v>5.3738117432360205E-2</v>
      </c>
      <c r="L170" s="66">
        <f t="shared" si="48"/>
        <v>5.0245922234792739E-2</v>
      </c>
      <c r="M170" s="67">
        <f t="shared" si="48"/>
        <v>4.7309749795595914E-2</v>
      </c>
      <c r="N170" s="65">
        <f t="shared" si="48"/>
        <v>6.1670888676446649E-2</v>
      </c>
      <c r="O170" s="66">
        <f t="shared" si="48"/>
        <v>5.9027126974130331E-2</v>
      </c>
      <c r="P170" s="67">
        <f t="shared" si="48"/>
        <v>5.7528806324741735E-2</v>
      </c>
      <c r="Q170" s="133">
        <f t="shared" si="48"/>
        <v>6.9414508862478103E-2</v>
      </c>
      <c r="R170" s="66">
        <f t="shared" si="48"/>
        <v>6.6695509942853032E-2</v>
      </c>
      <c r="S170" s="67">
        <f t="shared" si="48"/>
        <v>6.5766139980705698E-2</v>
      </c>
      <c r="T170" s="43"/>
    </row>
    <row r="171" spans="1:21" ht="15.6" x14ac:dyDescent="0.3">
      <c r="A171" s="148" t="s">
        <v>29</v>
      </c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</row>
    <row r="172" spans="1:21" ht="15.6" x14ac:dyDescent="0.3">
      <c r="A172" s="148" t="s">
        <v>33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21" ht="15.6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</row>
    <row r="174" spans="1:21" ht="16.2" thickBot="1" x14ac:dyDescent="0.35">
      <c r="A174" s="178" t="s">
        <v>83</v>
      </c>
      <c r="B174" s="4"/>
      <c r="C174" s="4"/>
      <c r="D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</row>
    <row r="175" spans="1:21" ht="15.6" x14ac:dyDescent="0.3">
      <c r="A175" s="240" t="s">
        <v>69</v>
      </c>
      <c r="D175" s="242">
        <v>5.0579999999999997E-6</v>
      </c>
      <c r="E175" s="241">
        <v>7.311E-6</v>
      </c>
      <c r="F175" s="241">
        <v>1.0000000000000001E-5</v>
      </c>
      <c r="J175" s="4"/>
      <c r="K175" s="5" t="s">
        <v>62</v>
      </c>
      <c r="L175" s="4"/>
      <c r="M175" s="4"/>
      <c r="N175" s="4"/>
      <c r="P175" s="4"/>
      <c r="Q175" s="4"/>
      <c r="R175" s="4"/>
      <c r="S175" s="4"/>
    </row>
    <row r="176" spans="1:21" ht="15.6" x14ac:dyDescent="0.3">
      <c r="A176" s="215" t="s">
        <v>71</v>
      </c>
      <c r="D176" s="216">
        <v>5.1130000000000004</v>
      </c>
      <c r="E176" s="210">
        <v>6.0490000000000004</v>
      </c>
      <c r="F176" s="210">
        <v>6.9489999999999998</v>
      </c>
      <c r="J176" s="4"/>
      <c r="K176" s="4"/>
      <c r="L176" s="4"/>
      <c r="M176" s="4"/>
      <c r="N176" s="4"/>
      <c r="P176" s="4"/>
      <c r="Q176" s="4"/>
      <c r="R176" s="4"/>
      <c r="S176" s="4"/>
    </row>
    <row r="177" spans="1:19" ht="15.6" x14ac:dyDescent="0.3">
      <c r="A177" s="243" t="s">
        <v>70</v>
      </c>
      <c r="D177" s="245">
        <v>686.2</v>
      </c>
      <c r="E177" s="244">
        <v>747.5</v>
      </c>
      <c r="F177" s="244">
        <v>802.7</v>
      </c>
      <c r="J177" s="4"/>
      <c r="K177" s="178" t="s">
        <v>81</v>
      </c>
      <c r="L177" s="4"/>
      <c r="M177" s="4"/>
      <c r="S177" s="4"/>
    </row>
    <row r="178" spans="1:19" ht="15.6" x14ac:dyDescent="0.3">
      <c r="A178" s="217"/>
      <c r="B178" s="4"/>
      <c r="D178" s="156" t="s">
        <v>79</v>
      </c>
      <c r="E178" s="156" t="s">
        <v>79</v>
      </c>
      <c r="F178" s="156" t="s">
        <v>79</v>
      </c>
      <c r="G178" s="4"/>
      <c r="J178" s="4"/>
      <c r="K178" s="178" t="s">
        <v>80</v>
      </c>
      <c r="R178" s="249">
        <f>1/(EXP(1))</f>
        <v>0.36787944117144233</v>
      </c>
      <c r="S178" s="4"/>
    </row>
    <row r="179" spans="1:19" ht="18" x14ac:dyDescent="0.4">
      <c r="A179" s="145" t="s">
        <v>74</v>
      </c>
      <c r="B179" s="218">
        <v>4.9699999999999996E-3</v>
      </c>
      <c r="C179" s="218">
        <v>4.9699999999999996E-3</v>
      </c>
      <c r="D179" s="218">
        <v>4.9699999999999996E-3</v>
      </c>
      <c r="E179" s="137">
        <v>4.9699999999999996E-3</v>
      </c>
      <c r="F179" s="137">
        <v>4.9699999999999996E-3</v>
      </c>
      <c r="G179" s="218">
        <v>4.9699999999999996E-3</v>
      </c>
      <c r="H179" s="218">
        <v>4.9699999999999996E-3</v>
      </c>
      <c r="I179" s="218">
        <v>4.9699999999999996E-3</v>
      </c>
      <c r="J179" s="4"/>
      <c r="K179" s="4"/>
      <c r="L179" s="4"/>
      <c r="M179" s="4"/>
      <c r="N179" s="4"/>
      <c r="P179" s="4"/>
      <c r="Q179" s="4"/>
      <c r="R179" s="4"/>
      <c r="S179" s="4"/>
    </row>
    <row r="180" spans="1:19" ht="18" x14ac:dyDescent="0.4">
      <c r="A180" s="145" t="s">
        <v>75</v>
      </c>
      <c r="B180" s="218">
        <v>5.0000000000000001E-4</v>
      </c>
      <c r="C180" s="218">
        <v>5.0000000000000001E-4</v>
      </c>
      <c r="D180" s="218">
        <v>5.0000000000000001E-4</v>
      </c>
      <c r="E180" s="137">
        <v>5.0000000000000001E-4</v>
      </c>
      <c r="F180" s="137">
        <v>5.0000000000000001E-4</v>
      </c>
      <c r="G180" s="218">
        <v>5.0000000000000001E-4</v>
      </c>
      <c r="H180" s="218">
        <v>5.0000000000000001E-4</v>
      </c>
      <c r="I180" s="218">
        <v>5.0000000000000001E-4</v>
      </c>
      <c r="J180" s="4"/>
      <c r="K180" s="178" t="s">
        <v>72</v>
      </c>
      <c r="L180" s="4"/>
      <c r="M180" s="4"/>
      <c r="N180" s="4"/>
    </row>
    <row r="181" spans="1:19" ht="15.6" x14ac:dyDescent="0.3">
      <c r="A181" s="145" t="s">
        <v>31</v>
      </c>
      <c r="B181" s="219">
        <f t="shared" ref="B181:I181" si="49">B180/B179</f>
        <v>0.1006036217303823</v>
      </c>
      <c r="C181" s="219">
        <f t="shared" si="49"/>
        <v>0.1006036217303823</v>
      </c>
      <c r="D181" s="219">
        <f t="shared" si="49"/>
        <v>0.1006036217303823</v>
      </c>
      <c r="E181" s="140">
        <f t="shared" si="49"/>
        <v>0.1006036217303823</v>
      </c>
      <c r="F181" s="140">
        <f t="shared" si="49"/>
        <v>0.1006036217303823</v>
      </c>
      <c r="G181" s="219">
        <f t="shared" si="49"/>
        <v>0.1006036217303823</v>
      </c>
      <c r="H181" s="219">
        <f t="shared" si="49"/>
        <v>0.1006036217303823</v>
      </c>
      <c r="I181" s="219">
        <f t="shared" si="49"/>
        <v>0.1006036217303823</v>
      </c>
      <c r="J181" s="4"/>
      <c r="K181" s="4"/>
      <c r="L181" s="4"/>
      <c r="M181" s="4"/>
      <c r="N181" s="4"/>
    </row>
    <row r="182" spans="1:19" ht="15.6" x14ac:dyDescent="0.3">
      <c r="A182" s="220" t="s">
        <v>76</v>
      </c>
      <c r="B182" s="218">
        <v>1.4E-3</v>
      </c>
      <c r="C182" s="218">
        <v>1.4E-3</v>
      </c>
      <c r="D182" s="218">
        <v>1.4E-3</v>
      </c>
      <c r="E182" s="137">
        <v>1.4E-3</v>
      </c>
      <c r="F182" s="137">
        <v>1.4E-3</v>
      </c>
      <c r="G182" s="218">
        <v>1.4E-3</v>
      </c>
      <c r="H182" s="218">
        <v>1.4E-3</v>
      </c>
      <c r="I182" s="218">
        <v>1.4E-3</v>
      </c>
      <c r="J182" s="4"/>
      <c r="K182" s="4"/>
      <c r="L182" s="4"/>
      <c r="M182" s="4"/>
      <c r="N182" s="4"/>
    </row>
    <row r="183" spans="1:19" ht="15.6" x14ac:dyDescent="0.3">
      <c r="A183" s="221" t="s">
        <v>3</v>
      </c>
      <c r="B183" s="222">
        <v>7.1788209206818773E-7</v>
      </c>
      <c r="C183" s="222">
        <v>2.9893746493689502E-6</v>
      </c>
      <c r="D183" s="239">
        <v>5.0579999999999997E-6</v>
      </c>
      <c r="E183" s="238">
        <v>7.311E-6</v>
      </c>
      <c r="F183" s="238">
        <v>1.0000000000000001E-5</v>
      </c>
      <c r="G183" s="222">
        <v>2.3590291208827973E-5</v>
      </c>
      <c r="H183" s="222">
        <v>7.2559384958388213E-5</v>
      </c>
      <c r="I183" s="222">
        <v>2.7208230127978431E-4</v>
      </c>
      <c r="J183" s="4"/>
      <c r="K183" s="4"/>
      <c r="L183" s="4"/>
      <c r="M183" s="4"/>
      <c r="N183" s="4"/>
    </row>
    <row r="184" spans="1:19" ht="15.6" x14ac:dyDescent="0.3">
      <c r="A184" s="237" t="s">
        <v>7</v>
      </c>
      <c r="B184" s="223">
        <v>90</v>
      </c>
      <c r="C184" s="223">
        <v>90</v>
      </c>
      <c r="D184" s="223">
        <v>90</v>
      </c>
      <c r="E184" s="183">
        <v>90</v>
      </c>
      <c r="F184" s="183">
        <v>90</v>
      </c>
      <c r="G184" s="223">
        <v>90</v>
      </c>
      <c r="H184" s="223">
        <v>90</v>
      </c>
      <c r="I184" s="223">
        <v>90</v>
      </c>
      <c r="J184" s="4"/>
      <c r="K184" s="4"/>
      <c r="L184" s="4"/>
      <c r="M184" s="4"/>
      <c r="N184" s="4"/>
    </row>
    <row r="185" spans="1:19" ht="15.6" x14ac:dyDescent="0.3">
      <c r="A185" s="224" t="s">
        <v>6</v>
      </c>
      <c r="B185" s="219">
        <f t="shared" ref="B185:I185" si="50">2*PI()*B184/360</f>
        <v>1.5707963267948966</v>
      </c>
      <c r="C185" s="219">
        <f t="shared" si="50"/>
        <v>1.5707963267948966</v>
      </c>
      <c r="D185" s="219">
        <f t="shared" si="50"/>
        <v>1.5707963267948966</v>
      </c>
      <c r="E185" s="140">
        <f t="shared" si="50"/>
        <v>1.5707963267948966</v>
      </c>
      <c r="F185" s="140">
        <f t="shared" si="50"/>
        <v>1.5707963267948966</v>
      </c>
      <c r="G185" s="219">
        <f t="shared" si="50"/>
        <v>1.5707963267948966</v>
      </c>
      <c r="H185" s="219">
        <f t="shared" si="50"/>
        <v>1.5707963267948966</v>
      </c>
      <c r="I185" s="219">
        <f t="shared" si="50"/>
        <v>1.5707963267948966</v>
      </c>
      <c r="J185" s="4"/>
      <c r="L185" s="4"/>
      <c r="N185" s="4"/>
    </row>
    <row r="186" spans="1:19" ht="18" x14ac:dyDescent="0.4">
      <c r="A186" s="225" t="s">
        <v>15</v>
      </c>
      <c r="B186" s="218">
        <f t="shared" ref="B186:I186" si="51">B180-(B182-B183)/TAN(B185)</f>
        <v>4.999999999999999E-4</v>
      </c>
      <c r="C186" s="218">
        <f t="shared" si="51"/>
        <v>4.999999999999999E-4</v>
      </c>
      <c r="D186" s="218">
        <f t="shared" si="51"/>
        <v>4.999999999999999E-4</v>
      </c>
      <c r="E186" s="137">
        <f t="shared" si="51"/>
        <v>4.999999999999999E-4</v>
      </c>
      <c r="F186" s="137">
        <f t="shared" si="51"/>
        <v>4.999999999999999E-4</v>
      </c>
      <c r="G186" s="218">
        <f t="shared" si="51"/>
        <v>4.999999999999999E-4</v>
      </c>
      <c r="H186" s="218">
        <f t="shared" si="51"/>
        <v>4.999999999999999E-4</v>
      </c>
      <c r="I186" s="218">
        <f t="shared" si="51"/>
        <v>4.999999999999999E-4</v>
      </c>
      <c r="J186" s="4"/>
      <c r="K186" s="4"/>
      <c r="L186" s="4"/>
      <c r="M186" s="4"/>
      <c r="N186" s="4"/>
    </row>
    <row r="187" spans="1:19" ht="18" x14ac:dyDescent="0.4">
      <c r="A187" s="226" t="s">
        <v>10</v>
      </c>
      <c r="B187" s="218">
        <f t="shared" ref="B187:I187" si="52">B186-B183/TAN(B185)</f>
        <v>4.999999999999999E-4</v>
      </c>
      <c r="C187" s="218">
        <f t="shared" si="52"/>
        <v>4.999999999999999E-4</v>
      </c>
      <c r="D187" s="218">
        <f t="shared" si="52"/>
        <v>4.999999999999999E-4</v>
      </c>
      <c r="E187" s="137">
        <f t="shared" si="52"/>
        <v>4.999999999999999E-4</v>
      </c>
      <c r="F187" s="137">
        <f t="shared" si="52"/>
        <v>4.999999999999999E-4</v>
      </c>
      <c r="G187" s="218">
        <f t="shared" si="52"/>
        <v>4.999999999999999E-4</v>
      </c>
      <c r="H187" s="218">
        <f t="shared" si="52"/>
        <v>4.999999999999999E-4</v>
      </c>
      <c r="I187" s="218">
        <f t="shared" si="52"/>
        <v>4.999999999999999E-4</v>
      </c>
      <c r="J187" s="4"/>
      <c r="K187" s="4"/>
      <c r="L187" s="4"/>
      <c r="M187" s="4"/>
      <c r="N187" s="4"/>
    </row>
    <row r="188" spans="1:19" ht="18" x14ac:dyDescent="0.4">
      <c r="A188" s="227" t="s">
        <v>11</v>
      </c>
      <c r="B188" s="218">
        <f t="shared" ref="B188:I188" si="53">SQRT((2*(B180-B187)^2+3*(B179-B180)*(B180+B179-2*B187))^2+B182^2*(3*B179-2*B180-B187)^2)/(3*(2*B179-B180-B187))</f>
        <v>2.3420557209426081E-3</v>
      </c>
      <c r="C188" s="218">
        <f t="shared" si="53"/>
        <v>2.3420557209426081E-3</v>
      </c>
      <c r="D188" s="218">
        <f t="shared" si="53"/>
        <v>2.3420557209426081E-3</v>
      </c>
      <c r="E188" s="137">
        <f t="shared" si="53"/>
        <v>2.3420557209426081E-3</v>
      </c>
      <c r="F188" s="137">
        <f t="shared" si="53"/>
        <v>2.3420557209426081E-3</v>
      </c>
      <c r="G188" s="218">
        <f t="shared" si="53"/>
        <v>2.3420557209426081E-3</v>
      </c>
      <c r="H188" s="218">
        <f t="shared" si="53"/>
        <v>2.3420557209426081E-3</v>
      </c>
      <c r="I188" s="218">
        <f t="shared" si="53"/>
        <v>2.3420557209426081E-3</v>
      </c>
      <c r="J188" s="4"/>
      <c r="K188" s="178" t="s">
        <v>73</v>
      </c>
      <c r="L188" s="4"/>
      <c r="M188" s="4"/>
    </row>
    <row r="189" spans="1:19" ht="18" x14ac:dyDescent="0.4">
      <c r="A189" s="228" t="s">
        <v>12</v>
      </c>
      <c r="B189" s="229">
        <f t="shared" ref="B189:I189" si="54">epsilon0*(PI()*(B187^2-B186^2)/B183+2*PI()/B185*(B187*LN(EXP(1)*B188*SIN(B185)/B183)+B183*_xlfn.COT(B185)/2*LN(SQRT(EXP(1)*B188)*SIN(B185)/B183)))</f>
        <v>1.6097328316936772E-13</v>
      </c>
      <c r="C189" s="229">
        <f t="shared" si="54"/>
        <v>1.35712034598928E-13</v>
      </c>
      <c r="D189" s="229">
        <f t="shared" si="54"/>
        <v>1.2639907713240979E-13</v>
      </c>
      <c r="E189" s="138">
        <f t="shared" si="54"/>
        <v>1.1987515367755258E-13</v>
      </c>
      <c r="F189" s="138">
        <f t="shared" si="54"/>
        <v>1.1432880136147026E-13</v>
      </c>
      <c r="G189" s="229">
        <f t="shared" si="54"/>
        <v>9.9130585406987028E-14</v>
      </c>
      <c r="H189" s="229">
        <f t="shared" si="54"/>
        <v>7.9233984175187727E-14</v>
      </c>
      <c r="I189" s="229">
        <f t="shared" si="54"/>
        <v>5.5828837039068729E-14</v>
      </c>
      <c r="J189" s="4"/>
      <c r="K189" s="4"/>
      <c r="L189" s="4"/>
      <c r="M189" s="4"/>
      <c r="N189" s="4"/>
    </row>
    <row r="190" spans="1:19" ht="18" x14ac:dyDescent="0.4">
      <c r="A190" s="228" t="s">
        <v>13</v>
      </c>
      <c r="B190" s="229">
        <f t="shared" ref="B190:I190" si="55">epsilon0*PI()*B186^2/B183</f>
        <v>9.6869150612372862E-12</v>
      </c>
      <c r="C190" s="229">
        <f t="shared" si="55"/>
        <v>2.3262600595465159E-12</v>
      </c>
      <c r="D190" s="229">
        <f t="shared" si="55"/>
        <v>1.3748641458773943E-12</v>
      </c>
      <c r="E190" s="138">
        <f t="shared" si="55"/>
        <v>9.5117806727504578E-13</v>
      </c>
      <c r="F190" s="138">
        <f t="shared" si="55"/>
        <v>6.9540628498478593E-13</v>
      </c>
      <c r="G190" s="229">
        <f t="shared" si="55"/>
        <v>2.9478495149926366E-13</v>
      </c>
      <c r="H190" s="229">
        <f t="shared" si="55"/>
        <v>9.5839605777197767E-14</v>
      </c>
      <c r="I190" s="229">
        <f t="shared" si="55"/>
        <v>2.5558674037738837E-14</v>
      </c>
      <c r="J190" s="4"/>
      <c r="K190" s="4"/>
      <c r="L190" s="4"/>
      <c r="M190" s="4"/>
      <c r="N190" s="4"/>
      <c r="O190" s="4"/>
    </row>
    <row r="191" spans="1:19" ht="15.6" x14ac:dyDescent="0.3">
      <c r="A191" s="230" t="s">
        <v>14</v>
      </c>
      <c r="B191" s="218">
        <f t="shared" ref="B191:I191" si="56">IF(_deg=90,Mu0/2/PI()*B182*LN(B179/B180),Mu0*(B182/(2*PI())*(LN(EXP(1)*B179/B180)-(B187/(B180-B187)*LN(B180/B187)))))</f>
        <v>6.4303876578717512E-10</v>
      </c>
      <c r="C191" s="218">
        <f t="shared" si="56"/>
        <v>6.4303876578717512E-10</v>
      </c>
      <c r="D191" s="218">
        <f t="shared" si="56"/>
        <v>6.4303876578717512E-10</v>
      </c>
      <c r="E191" s="137">
        <f t="shared" si="56"/>
        <v>6.4303876578717512E-10</v>
      </c>
      <c r="F191" s="137">
        <f t="shared" si="56"/>
        <v>6.4303876578717512E-10</v>
      </c>
      <c r="G191" s="218">
        <f t="shared" si="56"/>
        <v>6.4303876578717512E-10</v>
      </c>
      <c r="H191" s="218">
        <f t="shared" si="56"/>
        <v>6.4303876578717512E-10</v>
      </c>
      <c r="I191" s="218">
        <f t="shared" si="56"/>
        <v>6.4303876578717512E-10</v>
      </c>
      <c r="J191" s="4"/>
      <c r="K191" s="4"/>
      <c r="L191" s="4"/>
      <c r="M191" s="4"/>
      <c r="N191" s="4"/>
      <c r="O191" s="4"/>
    </row>
    <row r="192" spans="1:19" ht="15.6" x14ac:dyDescent="0.3">
      <c r="A192" s="231" t="s">
        <v>30</v>
      </c>
      <c r="B192" s="250">
        <f t="shared" ref="B192:I192" si="57">(0.5/(PI()*SQRT(B191*(B190+B189))))*0.000001</f>
        <v>2000.0000017447796</v>
      </c>
      <c r="C192" s="250">
        <f t="shared" si="57"/>
        <v>3999.9999969551395</v>
      </c>
      <c r="D192" s="28">
        <f t="shared" si="57"/>
        <v>5122.3957816263455</v>
      </c>
      <c r="E192" s="20">
        <f t="shared" si="57"/>
        <v>6064.5143524338318</v>
      </c>
      <c r="F192" s="20">
        <f t="shared" si="57"/>
        <v>6974.7729572454091</v>
      </c>
      <c r="G192" s="250">
        <f t="shared" si="57"/>
        <v>9999.9999689947672</v>
      </c>
      <c r="H192" s="250">
        <f t="shared" si="57"/>
        <v>14999.999182642636</v>
      </c>
      <c r="I192" s="250">
        <f t="shared" si="57"/>
        <v>21999.999465291348</v>
      </c>
      <c r="J192" s="4"/>
      <c r="K192" s="4"/>
      <c r="L192" s="4"/>
      <c r="M192" s="4"/>
      <c r="N192" s="4"/>
      <c r="O192" s="4"/>
    </row>
    <row r="193" spans="1:19" ht="15.6" x14ac:dyDescent="0.3">
      <c r="A193" s="232" t="s">
        <v>17</v>
      </c>
      <c r="B193" s="233">
        <f t="shared" ref="B193:I193" si="58">_c/B192/1000000</f>
        <v>0.14989622886923207</v>
      </c>
      <c r="C193" s="233">
        <f t="shared" si="58"/>
        <v>7.4948114557051637E-2</v>
      </c>
      <c r="D193" s="233">
        <f t="shared" si="58"/>
        <v>5.8525828690421257E-2</v>
      </c>
      <c r="E193" s="209">
        <f t="shared" si="58"/>
        <v>4.943387723696066E-2</v>
      </c>
      <c r="F193" s="209">
        <f t="shared" si="58"/>
        <v>4.2982396679819512E-2</v>
      </c>
      <c r="G193" s="233">
        <f t="shared" si="58"/>
        <v>2.997924589295135E-2</v>
      </c>
      <c r="H193" s="233">
        <f t="shared" si="58"/>
        <v>1.9986164955722609E-2</v>
      </c>
      <c r="I193" s="233">
        <f t="shared" si="58"/>
        <v>1.3626930240292613E-2</v>
      </c>
      <c r="J193" s="4"/>
      <c r="K193" s="4"/>
      <c r="L193" s="4"/>
      <c r="M193" s="4"/>
      <c r="N193" s="4"/>
      <c r="O193" s="4"/>
    </row>
    <row r="194" spans="1:19" ht="15.6" x14ac:dyDescent="0.3">
      <c r="A194" s="232" t="s">
        <v>82</v>
      </c>
      <c r="B194" s="234">
        <f t="shared" ref="B194:I194" si="59">2*PI()*B192*1000000*Mu0*B182*LN(B179/B180)/(B182/B180+B182/B179+2*LN(B179/B180))</f>
        <v>6.6154357027800339</v>
      </c>
      <c r="C194" s="234">
        <f t="shared" si="59"/>
        <v>13.230871383946051</v>
      </c>
      <c r="D194" s="234">
        <f t="shared" si="59"/>
        <v>16.943439953989099</v>
      </c>
      <c r="E194" s="214">
        <f t="shared" si="59"/>
        <v>20.059702366056477</v>
      </c>
      <c r="F194" s="214">
        <f t="shared" si="59"/>
        <v>23.070580999946444</v>
      </c>
      <c r="G194" s="234">
        <f t="shared" si="59"/>
        <v>33.077178382487411</v>
      </c>
      <c r="H194" s="234">
        <f t="shared" si="59"/>
        <v>49.615765023978426</v>
      </c>
      <c r="I194" s="234">
        <f t="shared" si="59"/>
        <v>72.769790898431424</v>
      </c>
      <c r="J194" s="4"/>
      <c r="K194" s="4"/>
      <c r="L194" s="4"/>
      <c r="M194" s="4"/>
      <c r="N194" s="4"/>
      <c r="O194" s="4"/>
    </row>
    <row r="195" spans="1:19" ht="15.6" x14ac:dyDescent="0.3">
      <c r="A195" s="235" t="s">
        <v>77</v>
      </c>
      <c r="B195" s="236">
        <f t="shared" ref="B195:I195" si="60">SQRT(2/(2*PI()*B192*1000000*Mu0*33000000))</f>
        <v>1.9590619233366923E-6</v>
      </c>
      <c r="C195" s="236">
        <f t="shared" si="60"/>
        <v>1.385265971887224E-6</v>
      </c>
      <c r="D195" s="236">
        <f t="shared" si="60"/>
        <v>1.224127335550916E-6</v>
      </c>
      <c r="E195" s="208">
        <f t="shared" si="60"/>
        <v>1.1250327047784337E-6</v>
      </c>
      <c r="F195" s="208">
        <f t="shared" si="60"/>
        <v>1.0490546766778357E-6</v>
      </c>
      <c r="G195" s="236">
        <f t="shared" si="60"/>
        <v>8.7611912828283764E-7</v>
      </c>
      <c r="H195" s="236">
        <f t="shared" si="60"/>
        <v>7.153482911091798E-7</v>
      </c>
      <c r="I195" s="236">
        <f t="shared" si="60"/>
        <v>5.9067940205221042E-7</v>
      </c>
      <c r="J195" s="4"/>
      <c r="K195" s="4"/>
      <c r="L195" s="4"/>
      <c r="M195" s="4"/>
      <c r="N195" s="4"/>
      <c r="O195" s="4"/>
    </row>
    <row r="196" spans="1:19" ht="15.6" x14ac:dyDescent="0.3">
      <c r="A196" s="235" t="s">
        <v>78</v>
      </c>
      <c r="B196" s="236">
        <f t="shared" ref="B196:I196" si="61">1/(33000000*B195)</f>
        <v>1.5468132957950562E-2</v>
      </c>
      <c r="C196" s="236">
        <f t="shared" si="61"/>
        <v>2.1875243395856191E-2</v>
      </c>
      <c r="D196" s="236">
        <f t="shared" si="61"/>
        <v>2.4754802399206688E-2</v>
      </c>
      <c r="E196" s="208">
        <f t="shared" si="61"/>
        <v>2.693524390386344E-2</v>
      </c>
      <c r="F196" s="208">
        <f t="shared" si="61"/>
        <v>2.8886035186454207E-2</v>
      </c>
      <c r="G196" s="236">
        <f t="shared" si="61"/>
        <v>3.4587796710275197E-2</v>
      </c>
      <c r="H196" s="236">
        <f t="shared" si="61"/>
        <v>4.2361225545173374E-2</v>
      </c>
      <c r="I196" s="236">
        <f t="shared" si="61"/>
        <v>5.1301992583028658E-2</v>
      </c>
      <c r="J196" s="4"/>
      <c r="K196" s="4"/>
      <c r="L196" s="4"/>
      <c r="M196" s="4"/>
      <c r="N196" s="4"/>
      <c r="O196" s="4"/>
    </row>
    <row r="197" spans="1:19" ht="16.2" thickBot="1" x14ac:dyDescent="0.35">
      <c r="A197" s="246" t="s">
        <v>64</v>
      </c>
      <c r="B197" s="251">
        <f t="shared" ref="B197:I197" si="62">B194/B196</f>
        <v>427.68159032274963</v>
      </c>
      <c r="C197" s="251">
        <f t="shared" si="62"/>
        <v>604.83310491769726</v>
      </c>
      <c r="D197" s="248">
        <f t="shared" si="62"/>
        <v>684.45062419613907</v>
      </c>
      <c r="E197" s="247">
        <f t="shared" si="62"/>
        <v>744.7380999278505</v>
      </c>
      <c r="F197" s="247">
        <f t="shared" si="62"/>
        <v>798.67592942506496</v>
      </c>
      <c r="G197" s="251">
        <f t="shared" si="62"/>
        <v>956.32510678718609</v>
      </c>
      <c r="H197" s="251">
        <f t="shared" si="62"/>
        <v>1171.2542398252601</v>
      </c>
      <c r="I197" s="251">
        <f t="shared" si="62"/>
        <v>1418.4593469865454</v>
      </c>
      <c r="J197" s="4"/>
      <c r="K197" s="4"/>
      <c r="L197" s="4"/>
      <c r="M197" s="4"/>
      <c r="N197" s="4"/>
      <c r="O197" s="4"/>
    </row>
    <row r="198" spans="1:19" ht="15.6" x14ac:dyDescent="0.3">
      <c r="A198" s="4"/>
      <c r="B198" s="156"/>
      <c r="C198" s="156"/>
      <c r="D198" s="156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</row>
    <row r="199" spans="1:19" ht="15.6" x14ac:dyDescent="0.3">
      <c r="A199" s="212" t="s">
        <v>3</v>
      </c>
      <c r="B199" s="211">
        <f>B183</f>
        <v>7.1788209206818773E-7</v>
      </c>
      <c r="C199" s="211">
        <f t="shared" ref="C199:I199" si="63">C183</f>
        <v>2.9893746493689502E-6</v>
      </c>
      <c r="D199" s="211">
        <f t="shared" si="63"/>
        <v>5.0579999999999997E-6</v>
      </c>
      <c r="E199" s="211">
        <f t="shared" si="63"/>
        <v>7.311E-6</v>
      </c>
      <c r="F199" s="211">
        <f t="shared" si="63"/>
        <v>1.0000000000000001E-5</v>
      </c>
      <c r="G199" s="211">
        <f t="shared" si="63"/>
        <v>2.3590291208827973E-5</v>
      </c>
      <c r="H199" s="211">
        <f t="shared" si="63"/>
        <v>7.2559384958388213E-5</v>
      </c>
      <c r="I199" s="211">
        <f t="shared" si="63"/>
        <v>2.7208230127978431E-4</v>
      </c>
      <c r="J199" s="4"/>
      <c r="K199" s="4"/>
      <c r="L199" s="4"/>
      <c r="M199" s="4"/>
      <c r="N199" s="4"/>
      <c r="O199" s="4"/>
    </row>
    <row r="200" spans="1:19" ht="15.6" x14ac:dyDescent="0.3">
      <c r="A200" s="213" t="s">
        <v>30</v>
      </c>
      <c r="B200" s="252">
        <f>B192</f>
        <v>2000.0000017447796</v>
      </c>
      <c r="C200" s="252">
        <f t="shared" ref="C200:I200" si="64">C192</f>
        <v>3999.9999969551395</v>
      </c>
      <c r="D200" s="252">
        <f t="shared" si="64"/>
        <v>5122.3957816263455</v>
      </c>
      <c r="E200" s="252">
        <f t="shared" si="64"/>
        <v>6064.5143524338318</v>
      </c>
      <c r="F200" s="252">
        <f t="shared" si="64"/>
        <v>6974.7729572454091</v>
      </c>
      <c r="G200" s="252">
        <f t="shared" si="64"/>
        <v>9999.9999689947672</v>
      </c>
      <c r="H200" s="252">
        <f t="shared" si="64"/>
        <v>14999.999182642636</v>
      </c>
      <c r="I200" s="252">
        <f t="shared" si="64"/>
        <v>21999.999465291348</v>
      </c>
      <c r="J200" s="4"/>
      <c r="K200" s="4"/>
      <c r="L200" s="4"/>
      <c r="M200" s="4"/>
      <c r="N200" s="4"/>
      <c r="O200" s="4"/>
    </row>
    <row r="201" spans="1:19" ht="15.6" x14ac:dyDescent="0.3">
      <c r="A201" s="253" t="s">
        <v>64</v>
      </c>
      <c r="B201" s="254">
        <f>B197</f>
        <v>427.68159032274963</v>
      </c>
      <c r="C201" s="254">
        <f t="shared" ref="C201:I201" si="65">C197</f>
        <v>604.83310491769726</v>
      </c>
      <c r="D201" s="254">
        <f t="shared" si="65"/>
        <v>684.45062419613907</v>
      </c>
      <c r="E201" s="254">
        <f t="shared" si="65"/>
        <v>744.7380999278505</v>
      </c>
      <c r="F201" s="254">
        <f t="shared" si="65"/>
        <v>798.67592942506496</v>
      </c>
      <c r="G201" s="254">
        <f t="shared" si="65"/>
        <v>956.32510678718609</v>
      </c>
      <c r="H201" s="254">
        <f t="shared" si="65"/>
        <v>1171.2542398252601</v>
      </c>
      <c r="I201" s="254">
        <f t="shared" si="65"/>
        <v>1418.4593469865454</v>
      </c>
      <c r="J201" s="4"/>
      <c r="K201" s="4"/>
      <c r="L201" s="4"/>
      <c r="M201" s="4"/>
      <c r="N201" s="4"/>
      <c r="O201" s="4"/>
    </row>
    <row r="202" spans="1:19" ht="15.6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</row>
    <row r="203" spans="1:19" ht="15.6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</row>
    <row r="204" spans="1:19" ht="15.6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</row>
    <row r="205" spans="1:19" ht="15.6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</row>
    <row r="206" spans="1:19" ht="15.6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</row>
    <row r="207" spans="1:19" ht="15.6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</row>
    <row r="208" spans="1:19" ht="15.6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</row>
    <row r="209" spans="1:19" ht="15.6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</row>
    <row r="210" spans="1:19" ht="15.6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</row>
    <row r="211" spans="1:19" ht="15.6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</row>
    <row r="212" spans="1:19" ht="15.6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</row>
    <row r="213" spans="1:19" ht="15.6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</row>
    <row r="214" spans="1:19" ht="15.6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</row>
    <row r="215" spans="1:19" ht="15.6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N215" s="4"/>
      <c r="O215" s="4"/>
      <c r="P215" s="4"/>
      <c r="Q215" s="4"/>
      <c r="R215" s="4"/>
      <c r="S215" s="4"/>
    </row>
    <row r="216" spans="1:19" ht="15.6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</row>
    <row r="217" spans="1:19" ht="15.6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</row>
    <row r="218" spans="1:19" ht="15.6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</row>
    <row r="219" spans="1:19" ht="15.6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</row>
    <row r="220" spans="1:19" ht="15.6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</row>
    <row r="221" spans="1:19" ht="15.6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</row>
    <row r="222" spans="1:19" ht="15.6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</row>
    <row r="223" spans="1:19" ht="15.6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</row>
  </sheetData>
  <sortState xmlns:xlrd2="http://schemas.microsoft.com/office/spreadsheetml/2017/richdata2" ref="Q52:R56">
    <sortCondition descending="1" ref="R52:R56"/>
  </sortState>
  <conditionalFormatting sqref="I178:J178 G17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A123" r:id="rId1" xr:uid="{5000C17B-F22F-42B1-8834-3464B938A0C4}"/>
    <hyperlink ref="Q78" r:id="rId2" xr:uid="{A2D18013-23FC-498C-B293-0471A6FC5348}"/>
    <hyperlink ref="K77" r:id="rId3" xr:uid="{C8844092-60CC-43D8-AD9F-CA987F972244}"/>
    <hyperlink ref="I116" r:id="rId4" location="Cause" xr:uid="{DBDADA06-49F6-40D0-AE09-51CE8FDD7390}"/>
    <hyperlink ref="A73" r:id="rId5" location="Resistivity_and_conductivity_of_various_materials" xr:uid="{40E432D4-8451-4514-B69A-DB2E2CEEED93}"/>
    <hyperlink ref="I115" r:id="rId6" xr:uid="{1C3392F2-AE3A-4B00-AC48-0287FD23C0C4}"/>
    <hyperlink ref="K175" r:id="rId7" xr:uid="{D00B193B-85D0-4E1F-8059-C068F6EF196B}"/>
  </hyperlinks>
  <pageMargins left="0.7" right="0.7" top="0.75" bottom="0.75" header="0.3" footer="0.3"/>
  <pageSetup orientation="portrait" horizontalDpi="4294967293" verticalDpi="0" r:id="rId8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4345C-56D0-434B-A4DB-F70B43656B17}">
  <dimension ref="A1:V103"/>
  <sheetViews>
    <sheetView workbookViewId="0">
      <selection activeCell="J5" sqref="J5"/>
    </sheetView>
    <sheetView topLeftCell="A51" workbookViewId="1"/>
  </sheetViews>
  <sheetFormatPr defaultRowHeight="14.4" x14ac:dyDescent="0.3"/>
  <cols>
    <col min="2" max="21" width="9.44140625" customWidth="1"/>
  </cols>
  <sheetData>
    <row r="1" spans="1:22" ht="18" x14ac:dyDescent="0.35">
      <c r="A1" s="314" t="s">
        <v>182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ht="63" x14ac:dyDescent="0.35">
      <c r="A2" s="2"/>
      <c r="B2" s="3"/>
      <c r="C2" s="3"/>
      <c r="D2" s="3"/>
      <c r="E2" s="302" t="s">
        <v>102</v>
      </c>
      <c r="F2" s="302" t="s">
        <v>50</v>
      </c>
      <c r="G2" s="302" t="s">
        <v>93</v>
      </c>
      <c r="H2" s="302" t="s">
        <v>104</v>
      </c>
      <c r="I2" s="302" t="s">
        <v>173</v>
      </c>
      <c r="J2" s="302" t="s">
        <v>107</v>
      </c>
      <c r="K2" s="302" t="s">
        <v>105</v>
      </c>
      <c r="L2" s="302" t="s">
        <v>106</v>
      </c>
      <c r="M2" s="302" t="s">
        <v>110</v>
      </c>
      <c r="N2" s="302" t="s">
        <v>108</v>
      </c>
      <c r="O2" s="302" t="s">
        <v>109</v>
      </c>
      <c r="P2" s="3"/>
      <c r="Q2" s="3"/>
      <c r="R2" s="3"/>
      <c r="S2" s="3"/>
      <c r="T2" s="3"/>
      <c r="U2" s="3"/>
    </row>
    <row r="3" spans="1:22" ht="16.2" thickBot="1" x14ac:dyDescent="0.35">
      <c r="A3" s="178"/>
      <c r="B3" s="4"/>
      <c r="C3" s="4"/>
      <c r="D3" s="4"/>
      <c r="E3" s="6" t="s">
        <v>176</v>
      </c>
      <c r="F3" s="6" t="s">
        <v>177</v>
      </c>
      <c r="G3" s="7" t="s">
        <v>2</v>
      </c>
      <c r="H3" s="6" t="s">
        <v>3</v>
      </c>
      <c r="I3" s="178" t="s">
        <v>174</v>
      </c>
      <c r="J3" s="3"/>
      <c r="K3" s="3"/>
      <c r="L3" s="3"/>
      <c r="M3" s="3"/>
      <c r="N3" s="3"/>
      <c r="O3" s="3"/>
      <c r="P3" s="137"/>
      <c r="Q3" s="137"/>
      <c r="R3" s="137"/>
      <c r="S3" s="137"/>
      <c r="T3" s="137"/>
      <c r="U3" s="137"/>
    </row>
    <row r="4" spans="1:22" ht="15.6" x14ac:dyDescent="0.3">
      <c r="A4" s="178" t="s">
        <v>172</v>
      </c>
      <c r="B4" s="4"/>
      <c r="C4" s="186"/>
      <c r="D4" s="4"/>
      <c r="E4" s="265">
        <v>2.5000000000000001E-2</v>
      </c>
      <c r="F4" s="265">
        <v>0.01</v>
      </c>
      <c r="G4" s="265">
        <v>7.4999999999999997E-2</v>
      </c>
      <c r="H4" s="182">
        <v>1.5877224526913882E-4</v>
      </c>
      <c r="I4" s="182">
        <v>1.43415</v>
      </c>
      <c r="J4" s="4">
        <v>7.4999999999999997E-2</v>
      </c>
      <c r="K4" s="4">
        <v>4500</v>
      </c>
      <c r="L4" s="4">
        <v>9000</v>
      </c>
      <c r="M4" s="4">
        <v>1E-3</v>
      </c>
      <c r="N4" s="4">
        <v>700</v>
      </c>
      <c r="O4" s="4">
        <v>3500</v>
      </c>
      <c r="P4" s="137"/>
      <c r="Q4" s="137"/>
      <c r="R4" s="137"/>
      <c r="S4" s="137"/>
      <c r="T4" s="137"/>
      <c r="U4" s="137"/>
    </row>
    <row r="5" spans="1:22" ht="18" x14ac:dyDescent="0.35">
      <c r="A5" s="178" t="s">
        <v>101</v>
      </c>
      <c r="B5" s="3"/>
      <c r="C5" s="186"/>
      <c r="D5" s="188"/>
      <c r="E5" s="189"/>
      <c r="F5" s="3"/>
      <c r="G5" s="3"/>
      <c r="H5" s="193" t="s">
        <v>51</v>
      </c>
      <c r="I5" s="194">
        <v>0.6</v>
      </c>
      <c r="J5" s="190"/>
      <c r="K5" s="3"/>
      <c r="L5" s="190"/>
      <c r="M5" s="186"/>
      <c r="N5" s="191"/>
      <c r="O5" s="191"/>
      <c r="P5" s="3"/>
      <c r="Q5" s="3"/>
      <c r="R5" s="192"/>
      <c r="S5" s="3"/>
      <c r="T5" s="3"/>
      <c r="U5" s="187" t="s">
        <v>175</v>
      </c>
    </row>
    <row r="6" spans="1:22" ht="15.6" x14ac:dyDescent="0.3">
      <c r="A6" s="6" t="s">
        <v>3</v>
      </c>
      <c r="B6" s="137">
        <v>1.9197255597457132E-5</v>
      </c>
      <c r="C6" s="137">
        <v>2.9667438800310255E-5</v>
      </c>
      <c r="D6" s="137">
        <v>4.584805992199947E-5</v>
      </c>
      <c r="E6" s="137">
        <v>7.0853591803457985E-5</v>
      </c>
      <c r="F6" s="137">
        <v>1.0949714077306398E-4</v>
      </c>
      <c r="G6" s="137">
        <v>1.6921688135069308E-4</v>
      </c>
      <c r="H6" s="137">
        <v>2.615077684393611E-4</v>
      </c>
      <c r="I6" s="137">
        <v>4.0413410534618864E-4</v>
      </c>
      <c r="J6" s="137">
        <v>6.2454884640199997E-4</v>
      </c>
      <c r="K6" s="137">
        <v>9.6517778722965083E-4</v>
      </c>
      <c r="L6" s="137">
        <v>1.4915857523847024E-3</v>
      </c>
      <c r="M6" s="137">
        <v>2.3050966217353194E-3</v>
      </c>
      <c r="N6" s="137">
        <v>3.5622963192297628E-3</v>
      </c>
      <c r="O6" s="137">
        <v>5.5051727317376757E-3</v>
      </c>
      <c r="P6" s="137">
        <v>8.5076939396274039E-3</v>
      </c>
      <c r="Q6" s="137">
        <v>1.3147790214300192E-2</v>
      </c>
      <c r="R6" s="137">
        <v>2.0318594997179518E-2</v>
      </c>
      <c r="S6" s="137">
        <v>3.1400356708641233E-2</v>
      </c>
      <c r="T6" s="137">
        <v>4.8526111257534164E-2</v>
      </c>
      <c r="U6" s="316">
        <v>7.4992252337393303E-2</v>
      </c>
      <c r="V6" s="311"/>
    </row>
    <row r="7" spans="1:22" ht="15.6" x14ac:dyDescent="0.3">
      <c r="A7" s="141" t="s">
        <v>178</v>
      </c>
      <c r="B7" s="142">
        <v>100.00001806919417</v>
      </c>
      <c r="C7" s="142">
        <v>123.91549523653723</v>
      </c>
      <c r="D7" s="142">
        <v>153.33236636947379</v>
      </c>
      <c r="E7" s="142">
        <v>189.35332153743781</v>
      </c>
      <c r="F7" s="142">
        <v>233.18772618834276</v>
      </c>
      <c r="G7" s="142">
        <v>286.08487005060306</v>
      </c>
      <c r="H7" s="142">
        <v>349.21932278124882</v>
      </c>
      <c r="I7" s="142">
        <v>423.52992932851862</v>
      </c>
      <c r="J7" s="142">
        <v>509.54305515287831</v>
      </c>
      <c r="K7" s="142">
        <v>607.2553289374074</v>
      </c>
      <c r="L7" s="142">
        <v>716.19148283117852</v>
      </c>
      <c r="M7" s="142">
        <v>835.75111569579474</v>
      </c>
      <c r="N7" s="139">
        <v>965.89368100655543</v>
      </c>
      <c r="O7" s="139">
        <v>1108.137401003497</v>
      </c>
      <c r="P7" s="139">
        <v>1266.9063798668099</v>
      </c>
      <c r="Q7" s="139">
        <v>1451.646461629271</v>
      </c>
      <c r="R7" s="139">
        <v>1681.2642176316781</v>
      </c>
      <c r="S7" s="139">
        <v>1996.2485722063934</v>
      </c>
      <c r="T7" s="139">
        <v>2502.263693976332</v>
      </c>
      <c r="U7" s="311">
        <v>3627.6101246199319</v>
      </c>
      <c r="V7" s="311"/>
    </row>
    <row r="8" spans="1:22" ht="15.6" x14ac:dyDescent="0.3">
      <c r="A8" s="141" t="s">
        <v>179</v>
      </c>
      <c r="B8" s="142">
        <v>100.34573114002174</v>
      </c>
      <c r="C8" s="142">
        <v>124.54133249160233</v>
      </c>
      <c r="D8" s="142">
        <v>154.45841535198204</v>
      </c>
      <c r="E8" s="142">
        <v>191.36370562262991</v>
      </c>
      <c r="F8" s="142">
        <v>236.74135163151649</v>
      </c>
      <c r="G8" s="142">
        <v>292.28641157041534</v>
      </c>
      <c r="H8" s="142">
        <v>359.86590536390906</v>
      </c>
      <c r="I8" s="142">
        <v>441.4331530422462</v>
      </c>
      <c r="J8" s="142">
        <v>538.88807747542592</v>
      </c>
      <c r="K8" s="142">
        <v>653.89908981242809</v>
      </c>
      <c r="L8" s="142">
        <v>787.74789991931289</v>
      </c>
      <c r="M8" s="142">
        <v>941.32282560274882</v>
      </c>
      <c r="N8" s="139">
        <v>1115.4445784708923</v>
      </c>
      <c r="O8" s="139">
        <v>1311.7315629177483</v>
      </c>
      <c r="P8" s="139">
        <v>1534.2286924146877</v>
      </c>
      <c r="Q8" s="139">
        <v>1792.2320750183117</v>
      </c>
      <c r="R8" s="139">
        <v>2105.7130297869548</v>
      </c>
      <c r="S8" s="139">
        <v>2518.4127402363451</v>
      </c>
      <c r="T8" s="139">
        <v>3140.1440390952171</v>
      </c>
      <c r="U8" s="311">
        <v>4357.306518271741</v>
      </c>
      <c r="V8" s="311"/>
    </row>
    <row r="9" spans="1:22" ht="15.6" x14ac:dyDescent="0.3">
      <c r="A9" s="141" t="s">
        <v>94</v>
      </c>
      <c r="B9" s="312">
        <v>1285.2586095687384</v>
      </c>
      <c r="C9" s="312">
        <v>1430.7155288730723</v>
      </c>
      <c r="D9" s="312">
        <v>1591.5027801234476</v>
      </c>
      <c r="E9" s="312">
        <v>1768.5891092996837</v>
      </c>
      <c r="F9" s="312">
        <v>1962.6521136761962</v>
      </c>
      <c r="G9" s="312">
        <v>2173.8918163122976</v>
      </c>
      <c r="H9" s="312">
        <v>2401.8153464141437</v>
      </c>
      <c r="I9" s="312">
        <v>2645.0417741834822</v>
      </c>
      <c r="J9" s="312">
        <v>2901.2217583227798</v>
      </c>
      <c r="K9" s="312">
        <v>3167.2048211653878</v>
      </c>
      <c r="L9" s="312">
        <v>3439.5771764406895</v>
      </c>
      <c r="M9" s="312">
        <v>3715.6000926725487</v>
      </c>
      <c r="N9" s="312">
        <v>3994.4330365398973</v>
      </c>
      <c r="O9" s="312">
        <v>4278.4581579193318</v>
      </c>
      <c r="P9" s="312">
        <v>4574.7013163090141</v>
      </c>
      <c r="Q9" s="312">
        <v>4896.8963591610445</v>
      </c>
      <c r="R9" s="312">
        <v>5269.9739385291687</v>
      </c>
      <c r="S9" s="312">
        <v>5742.4575280855224</v>
      </c>
      <c r="T9" s="312">
        <v>6429.2012408553983</v>
      </c>
      <c r="U9" s="312">
        <v>7741.0662663542817</v>
      </c>
      <c r="V9" s="312"/>
    </row>
    <row r="10" spans="1:22" ht="15.6" x14ac:dyDescent="0.3">
      <c r="A10" s="141" t="s">
        <v>95</v>
      </c>
      <c r="B10" s="312">
        <v>1287.4783458468935</v>
      </c>
      <c r="C10" s="312">
        <v>1434.3239047735542</v>
      </c>
      <c r="D10" s="312">
        <v>1597.3359643059071</v>
      </c>
      <c r="E10" s="312">
        <v>1777.9529687354654</v>
      </c>
      <c r="F10" s="312">
        <v>1977.550323291674</v>
      </c>
      <c r="G10" s="312">
        <v>2197.3275212678482</v>
      </c>
      <c r="H10" s="312">
        <v>2438.1523182283017</v>
      </c>
      <c r="I10" s="312">
        <v>2700.3680195602315</v>
      </c>
      <c r="J10" s="312">
        <v>2983.5943093303408</v>
      </c>
      <c r="K10" s="312">
        <v>3286.592417463879</v>
      </c>
      <c r="L10" s="312">
        <v>3607.3153477348774</v>
      </c>
      <c r="M10" s="312">
        <v>3943.2996245185523</v>
      </c>
      <c r="N10" s="312">
        <v>4292.5412867814439</v>
      </c>
      <c r="O10" s="312">
        <v>4654.9279885452161</v>
      </c>
      <c r="P10" s="312">
        <v>5034.2587403562275</v>
      </c>
      <c r="Q10" s="312">
        <v>5441.1112450299415</v>
      </c>
      <c r="R10" s="312">
        <v>5897.8004567736898</v>
      </c>
      <c r="S10" s="312">
        <v>6449.9141837684474</v>
      </c>
      <c r="T10" s="312">
        <v>7202.2014946226645</v>
      </c>
      <c r="U10" s="312">
        <v>8483.9780929955523</v>
      </c>
      <c r="V10" s="312"/>
    </row>
    <row r="11" spans="1:22" ht="15.6" x14ac:dyDescent="0.3">
      <c r="A11" s="313" t="s">
        <v>98</v>
      </c>
      <c r="B11" s="140">
        <v>2.9979240382992844</v>
      </c>
      <c r="C11" s="140">
        <v>2.4193298620784947</v>
      </c>
      <c r="D11" s="140">
        <v>1.955180534275536</v>
      </c>
      <c r="E11" s="140">
        <v>1.5832437243025959</v>
      </c>
      <c r="F11" s="140">
        <v>1.2856270906722658</v>
      </c>
      <c r="G11" s="140">
        <v>1.0479144106676188</v>
      </c>
      <c r="H11" s="209">
        <v>0.85846469093518685</v>
      </c>
      <c r="I11" s="209">
        <v>0.70784243860948159</v>
      </c>
      <c r="J11" s="209">
        <v>0.58835549806493426</v>
      </c>
      <c r="K11" s="209">
        <v>0.49368435930333515</v>
      </c>
      <c r="L11" s="209">
        <v>0.41859260433381534</v>
      </c>
      <c r="M11" s="209">
        <v>0.35871020973799278</v>
      </c>
      <c r="N11" s="209">
        <v>0.31037831999023641</v>
      </c>
      <c r="O11" s="209">
        <v>0.27053726165051073</v>
      </c>
      <c r="P11" s="209">
        <v>0.23663347407842183</v>
      </c>
      <c r="Q11" s="209">
        <v>0.20651891898219124</v>
      </c>
      <c r="R11" s="209">
        <v>0.17831370872943711</v>
      </c>
      <c r="S11" s="209">
        <v>0.15017791981118286</v>
      </c>
      <c r="T11" s="209">
        <v>0.11980849928873867</v>
      </c>
      <c r="U11" s="209">
        <v>8.2641862741909045E-2</v>
      </c>
      <c r="V11" s="209"/>
    </row>
    <row r="12" spans="1:22" ht="15.6" x14ac:dyDescent="0.3">
      <c r="A12" s="313" t="s">
        <v>97</v>
      </c>
      <c r="B12" s="140">
        <v>2.9875955319082945</v>
      </c>
      <c r="C12" s="140">
        <v>2.407172398129068</v>
      </c>
      <c r="D12" s="140">
        <v>1.9409266715369873</v>
      </c>
      <c r="E12" s="140">
        <v>1.5666108524841804</v>
      </c>
      <c r="F12" s="140">
        <v>1.2663290799598939</v>
      </c>
      <c r="G12" s="140">
        <v>1.0256804494921803</v>
      </c>
      <c r="H12" s="209">
        <v>0.83306713287228285</v>
      </c>
      <c r="I12" s="209">
        <v>0.67913444183769578</v>
      </c>
      <c r="J12" s="209">
        <v>0.55631673909814972</v>
      </c>
      <c r="K12" s="209">
        <v>0.45846899417767334</v>
      </c>
      <c r="L12" s="209">
        <v>0.38056903487868016</v>
      </c>
      <c r="M12" s="209">
        <v>0.31847996228927794</v>
      </c>
      <c r="N12" s="209">
        <v>0.26876499629499356</v>
      </c>
      <c r="O12" s="209">
        <v>0.22854711015198648</v>
      </c>
      <c r="P12" s="209">
        <v>0.19540271895721326</v>
      </c>
      <c r="Q12" s="209">
        <v>0.1672732355250014</v>
      </c>
      <c r="R12" s="209">
        <v>0.14237099441338946</v>
      </c>
      <c r="S12" s="209">
        <v>0.11904024039040774</v>
      </c>
      <c r="T12" s="209">
        <v>9.5470925622373831E-2</v>
      </c>
      <c r="U12" s="209">
        <v>6.8802242105957714E-2</v>
      </c>
      <c r="V12" s="209"/>
    </row>
    <row r="13" spans="1:22" ht="15.6" x14ac:dyDescent="0.3">
      <c r="A13" s="141" t="s">
        <v>180</v>
      </c>
      <c r="B13" s="140">
        <v>2.2841507836105577</v>
      </c>
      <c r="C13" s="140">
        <v>1.8180310206698367</v>
      </c>
      <c r="D13" s="140">
        <v>1.4405194554039216</v>
      </c>
      <c r="E13" s="140">
        <v>1.1343265776490064</v>
      </c>
      <c r="F13" s="140">
        <v>0.88575642410066757</v>
      </c>
      <c r="G13" s="140">
        <v>0.68408111268872784</v>
      </c>
      <c r="H13" s="140">
        <v>0.52101602101590916</v>
      </c>
      <c r="I13" s="140">
        <v>0.39023309154527125</v>
      </c>
      <c r="J13" s="140">
        <v>0.28685840242203281</v>
      </c>
      <c r="K13" s="140">
        <v>0.20694244978167145</v>
      </c>
      <c r="L13" s="140">
        <v>0.14696746825282664</v>
      </c>
      <c r="M13" s="140">
        <v>0.10351781468777826</v>
      </c>
      <c r="N13" s="209">
        <v>7.3212953269286868E-2</v>
      </c>
      <c r="O13" s="209">
        <v>5.2878553678860109E-2</v>
      </c>
      <c r="P13" s="209">
        <v>3.981384670202532E-2</v>
      </c>
      <c r="Q13" s="209">
        <v>3.2021197474324151E-2</v>
      </c>
      <c r="R13" s="209">
        <v>2.8423671504227643E-2</v>
      </c>
      <c r="S13" s="209">
        <v>2.9547026399642583E-2</v>
      </c>
      <c r="T13" s="209">
        <v>4.2520230933855103E-2</v>
      </c>
      <c r="U13" s="209"/>
      <c r="V13" s="209"/>
    </row>
    <row r="14" spans="1:22" ht="15.6" x14ac:dyDescent="0.3">
      <c r="A14" s="141" t="s">
        <v>181</v>
      </c>
      <c r="B14" s="195">
        <v>2.3109052518763278</v>
      </c>
      <c r="C14" s="140">
        <v>1.8489452682553413</v>
      </c>
      <c r="D14" s="140">
        <v>1.4758850339837388</v>
      </c>
      <c r="E14" s="140">
        <v>1.1742618682506907</v>
      </c>
      <c r="F14" s="140">
        <v>0.93009546594892456</v>
      </c>
      <c r="G14" s="140">
        <v>0.73224449266119918</v>
      </c>
      <c r="H14" s="140">
        <v>0.57189471066358499</v>
      </c>
      <c r="I14" s="140">
        <v>0.4421434064090255</v>
      </c>
      <c r="J14" s="140">
        <v>0.33764310236690859</v>
      </c>
      <c r="K14" s="140">
        <v>0.2542682082469252</v>
      </c>
      <c r="L14" s="140">
        <v>0.18878042257262859</v>
      </c>
      <c r="M14" s="140">
        <v>0.13849967766868088</v>
      </c>
      <c r="N14" s="209">
        <v>0.10102906349739656</v>
      </c>
      <c r="O14" s="209">
        <v>7.4103433112240283E-2</v>
      </c>
      <c r="P14" s="209">
        <v>5.560302358636255E-2</v>
      </c>
      <c r="Q14" s="209">
        <v>4.3716286283109453E-2</v>
      </c>
      <c r="R14" s="209">
        <v>3.7241344940898757E-2</v>
      </c>
      <c r="S14" s="209">
        <v>3.6303877711423974E-2</v>
      </c>
      <c r="T14" s="209">
        <v>4.5989420048198504E-2</v>
      </c>
      <c r="U14" s="209"/>
      <c r="V14" s="209"/>
    </row>
    <row r="68" spans="1:21" x14ac:dyDescent="0.3">
      <c r="A68" s="257" t="s">
        <v>191</v>
      </c>
    </row>
    <row r="69" spans="1:21" ht="15.6" x14ac:dyDescent="0.3">
      <c r="A69" s="6" t="s">
        <v>183</v>
      </c>
      <c r="B69" s="137">
        <v>2.5000000000000001E-2</v>
      </c>
      <c r="C69" s="137">
        <v>2.5000000000000001E-2</v>
      </c>
      <c r="D69" s="137">
        <v>2.5000000000000001E-2</v>
      </c>
      <c r="E69" s="137">
        <v>2.5000000000000001E-2</v>
      </c>
      <c r="F69" s="137">
        <v>2.5000000000000001E-2</v>
      </c>
      <c r="G69" s="137">
        <v>2.5000000000000001E-2</v>
      </c>
      <c r="H69" s="137">
        <v>2.5000000000000001E-2</v>
      </c>
      <c r="I69" s="137">
        <v>2.5000000000000001E-2</v>
      </c>
      <c r="J69" s="137">
        <v>2.5000000000000001E-2</v>
      </c>
      <c r="K69" s="137">
        <v>2.5000000000000001E-2</v>
      </c>
      <c r="L69" s="137">
        <v>2.5000000000000001E-2</v>
      </c>
      <c r="M69" s="137">
        <v>2.5000000000000001E-2</v>
      </c>
      <c r="N69" s="137">
        <v>2.5000000000000001E-2</v>
      </c>
      <c r="O69" s="137">
        <v>2.5000000000000001E-2</v>
      </c>
      <c r="P69" s="137">
        <v>2.5000000000000001E-2</v>
      </c>
      <c r="Q69" s="137">
        <v>2.5000000000000001E-2</v>
      </c>
      <c r="R69" s="137">
        <v>2.5000000000000001E-2</v>
      </c>
      <c r="S69" s="137">
        <v>2.5000000000000001E-2</v>
      </c>
      <c r="T69" s="137">
        <v>2.5000000000000001E-2</v>
      </c>
      <c r="U69" s="137">
        <v>2.5000000000000001E-2</v>
      </c>
    </row>
    <row r="70" spans="1:21" ht="15.6" x14ac:dyDescent="0.3">
      <c r="A70" s="6" t="s">
        <v>177</v>
      </c>
      <c r="B70" s="137">
        <v>1.4999999999999999E-2</v>
      </c>
      <c r="C70" s="137">
        <v>1.4999999999999999E-2</v>
      </c>
      <c r="D70" s="137">
        <v>1.4999999999999999E-2</v>
      </c>
      <c r="E70" s="137">
        <v>1.4999999999999999E-2</v>
      </c>
      <c r="F70" s="137">
        <v>1.4999999999999999E-2</v>
      </c>
      <c r="G70" s="137">
        <v>1.4999999999999999E-2</v>
      </c>
      <c r="H70" s="137">
        <v>1.4999999999999999E-2</v>
      </c>
      <c r="I70" s="137">
        <v>1.4999999999999999E-2</v>
      </c>
      <c r="J70" s="137">
        <v>1.4999999999999999E-2</v>
      </c>
      <c r="K70" s="137">
        <v>1.4999999999999999E-2</v>
      </c>
      <c r="L70" s="137">
        <v>1.4999999999999999E-2</v>
      </c>
      <c r="M70" s="137">
        <v>1.4999999999999999E-2</v>
      </c>
      <c r="N70" s="137">
        <v>1.4999999999999999E-2</v>
      </c>
      <c r="O70" s="137">
        <v>1.4999999999999999E-2</v>
      </c>
      <c r="P70" s="137">
        <v>1.4999999999999999E-2</v>
      </c>
      <c r="Q70" s="137">
        <v>1.4999999999999999E-2</v>
      </c>
      <c r="R70" s="137">
        <v>1.4999999999999999E-2</v>
      </c>
      <c r="S70" s="137">
        <v>1.4999999999999999E-2</v>
      </c>
      <c r="T70" s="137">
        <v>1.4999999999999999E-2</v>
      </c>
      <c r="U70" s="137">
        <v>1.4999999999999999E-2</v>
      </c>
    </row>
    <row r="71" spans="1:21" ht="15.6" x14ac:dyDescent="0.3">
      <c r="A71" s="6" t="s">
        <v>31</v>
      </c>
      <c r="B71" s="140">
        <v>0.6</v>
      </c>
      <c r="C71" s="140">
        <v>0.6</v>
      </c>
      <c r="D71" s="140">
        <v>0.6</v>
      </c>
      <c r="E71" s="140">
        <v>0.6</v>
      </c>
      <c r="F71" s="140">
        <v>0.6</v>
      </c>
      <c r="G71" s="140">
        <v>0.6</v>
      </c>
      <c r="H71" s="140">
        <v>0.6</v>
      </c>
      <c r="I71" s="140">
        <v>0.6</v>
      </c>
      <c r="J71" s="140">
        <v>0.6</v>
      </c>
      <c r="K71" s="140">
        <v>0.6</v>
      </c>
      <c r="L71" s="140">
        <v>0.6</v>
      </c>
      <c r="M71" s="140">
        <v>0.6</v>
      </c>
      <c r="N71" s="140">
        <v>0.6</v>
      </c>
      <c r="O71" s="140">
        <v>0.6</v>
      </c>
      <c r="P71" s="140">
        <v>0.6</v>
      </c>
      <c r="Q71" s="140">
        <v>0.6</v>
      </c>
      <c r="R71" s="140">
        <v>0.6</v>
      </c>
      <c r="S71" s="140">
        <v>0.6</v>
      </c>
      <c r="T71" s="140">
        <v>0.6</v>
      </c>
      <c r="U71" s="140">
        <v>0.6</v>
      </c>
    </row>
    <row r="72" spans="1:21" ht="15.6" x14ac:dyDescent="0.3">
      <c r="A72" s="7" t="s">
        <v>2</v>
      </c>
      <c r="B72" s="137">
        <v>7.4999999999999997E-2</v>
      </c>
      <c r="C72" s="137">
        <v>7.4999999999999997E-2</v>
      </c>
      <c r="D72" s="137">
        <v>7.4999999999999997E-2</v>
      </c>
      <c r="E72" s="137">
        <v>7.4999999999999997E-2</v>
      </c>
      <c r="F72" s="137">
        <v>7.4999999999999997E-2</v>
      </c>
      <c r="G72" s="137">
        <v>7.4999999999999997E-2</v>
      </c>
      <c r="H72" s="137">
        <v>7.4999999999999997E-2</v>
      </c>
      <c r="I72" s="137">
        <v>7.4999999999999997E-2</v>
      </c>
      <c r="J72" s="137">
        <v>7.4999999999999997E-2</v>
      </c>
      <c r="K72" s="137">
        <v>7.4999999999999997E-2</v>
      </c>
      <c r="L72" s="137">
        <v>7.4999999999999997E-2</v>
      </c>
      <c r="M72" s="137">
        <v>7.4999999999999997E-2</v>
      </c>
      <c r="N72" s="137">
        <v>7.4999999999999997E-2</v>
      </c>
      <c r="O72" s="137">
        <v>7.4999999999999997E-2</v>
      </c>
      <c r="P72" s="137">
        <v>7.4999999999999997E-2</v>
      </c>
      <c r="Q72" s="137">
        <v>7.4999999999999997E-2</v>
      </c>
      <c r="R72" s="137">
        <v>7.4999999999999997E-2</v>
      </c>
      <c r="S72" s="137">
        <v>7.4999999999999997E-2</v>
      </c>
      <c r="T72" s="137">
        <v>7.4999999999999997E-2</v>
      </c>
      <c r="U72" s="137">
        <v>7.4999999999999997E-2</v>
      </c>
    </row>
    <row r="73" spans="1:21" ht="15.6" x14ac:dyDescent="0.3">
      <c r="A73" s="6" t="s">
        <v>3</v>
      </c>
      <c r="B73" s="137">
        <v>1.9197255597457132E-5</v>
      </c>
      <c r="C73" s="137">
        <v>2.9667438800310255E-5</v>
      </c>
      <c r="D73" s="137">
        <v>4.584805992199947E-5</v>
      </c>
      <c r="E73" s="137">
        <v>7.0853591803457985E-5</v>
      </c>
      <c r="F73" s="137">
        <v>1.0949714077306398E-4</v>
      </c>
      <c r="G73" s="137">
        <v>1.6921688135069308E-4</v>
      </c>
      <c r="H73" s="137">
        <v>2.615077684393611E-4</v>
      </c>
      <c r="I73" s="137">
        <v>4.0413410534618864E-4</v>
      </c>
      <c r="J73" s="137">
        <v>6.2454884640199997E-4</v>
      </c>
      <c r="K73" s="137">
        <v>9.6517778722965083E-4</v>
      </c>
      <c r="L73" s="137">
        <v>1.4915857523847024E-3</v>
      </c>
      <c r="M73" s="137">
        <v>2.3050966217353194E-3</v>
      </c>
      <c r="N73" s="137">
        <v>3.5622963192297628E-3</v>
      </c>
      <c r="O73" s="137">
        <v>5.5051727317376757E-3</v>
      </c>
      <c r="P73" s="137">
        <v>8.5076939396274039E-3</v>
      </c>
      <c r="Q73" s="137">
        <v>1.3147790214300192E-2</v>
      </c>
      <c r="R73" s="137">
        <v>2.0318594997179518E-2</v>
      </c>
      <c r="S73" s="137">
        <v>3.1400356708641233E-2</v>
      </c>
      <c r="T73" s="137">
        <v>4.8526111257534164E-2</v>
      </c>
      <c r="U73" s="137">
        <v>7.4992252337393303E-2</v>
      </c>
    </row>
    <row r="74" spans="1:21" ht="15.6" x14ac:dyDescent="0.3">
      <c r="A74" s="8" t="s">
        <v>7</v>
      </c>
      <c r="B74" s="183">
        <v>90</v>
      </c>
      <c r="C74" s="183">
        <v>90</v>
      </c>
      <c r="D74" s="183">
        <v>90</v>
      </c>
      <c r="E74" s="183">
        <v>90</v>
      </c>
      <c r="F74" s="183">
        <v>90</v>
      </c>
      <c r="G74" s="183">
        <v>90</v>
      </c>
      <c r="H74" s="183">
        <v>90</v>
      </c>
      <c r="I74" s="183">
        <v>90</v>
      </c>
      <c r="J74" s="183">
        <v>90</v>
      </c>
      <c r="K74" s="183">
        <v>90</v>
      </c>
      <c r="L74" s="183">
        <v>90</v>
      </c>
      <c r="M74" s="183">
        <v>90</v>
      </c>
      <c r="N74" s="183">
        <v>90</v>
      </c>
      <c r="O74" s="183">
        <v>90</v>
      </c>
      <c r="P74" s="183">
        <v>90</v>
      </c>
      <c r="Q74" s="183">
        <v>90</v>
      </c>
      <c r="R74" s="183">
        <v>90</v>
      </c>
      <c r="S74" s="183">
        <v>90</v>
      </c>
      <c r="T74" s="183">
        <v>90</v>
      </c>
      <c r="U74" s="183">
        <v>90</v>
      </c>
    </row>
    <row r="75" spans="1:21" ht="15.6" x14ac:dyDescent="0.3">
      <c r="A75" s="9" t="s">
        <v>6</v>
      </c>
      <c r="B75" s="140">
        <v>1.5707963267948966</v>
      </c>
      <c r="C75" s="140">
        <v>1.5707963267948966</v>
      </c>
      <c r="D75" s="140">
        <v>1.5707963267948966</v>
      </c>
      <c r="E75" s="140">
        <v>1.5707963267948966</v>
      </c>
      <c r="F75" s="140">
        <v>1.5707963267948966</v>
      </c>
      <c r="G75" s="140">
        <v>1.5707963267948966</v>
      </c>
      <c r="H75" s="140">
        <v>1.5707963267948966</v>
      </c>
      <c r="I75" s="140">
        <v>1.5707963267948966</v>
      </c>
      <c r="J75" s="140">
        <v>1.5707963267948966</v>
      </c>
      <c r="K75" s="140">
        <v>1.5707963267948966</v>
      </c>
      <c r="L75" s="140">
        <v>1.5707963267948966</v>
      </c>
      <c r="M75" s="140">
        <v>1.5707963267948966</v>
      </c>
      <c r="N75" s="140">
        <v>1.5707963267948966</v>
      </c>
      <c r="O75" s="140">
        <v>1.5707963267948966</v>
      </c>
      <c r="P75" s="140">
        <v>1.5707963267948966</v>
      </c>
      <c r="Q75" s="140">
        <v>1.5707963267948966</v>
      </c>
      <c r="R75" s="140">
        <v>1.5707963267948966</v>
      </c>
      <c r="S75" s="140">
        <v>1.5707963267948966</v>
      </c>
      <c r="T75" s="140">
        <v>1.5707963267948966</v>
      </c>
      <c r="U75" s="140">
        <v>1.5707963267948966</v>
      </c>
    </row>
    <row r="76" spans="1:21" ht="15.6" x14ac:dyDescent="0.3">
      <c r="A76" s="10" t="s">
        <v>184</v>
      </c>
      <c r="B76" s="137">
        <v>1.4999999999999994E-2</v>
      </c>
      <c r="C76" s="137">
        <v>1.4999999999999994E-2</v>
      </c>
      <c r="D76" s="137">
        <v>1.4999999999999994E-2</v>
      </c>
      <c r="E76" s="137">
        <v>1.4999999999999994E-2</v>
      </c>
      <c r="F76" s="137">
        <v>1.4999999999999994E-2</v>
      </c>
      <c r="G76" s="137">
        <v>1.4999999999999994E-2</v>
      </c>
      <c r="H76" s="137">
        <v>1.4999999999999994E-2</v>
      </c>
      <c r="I76" s="137">
        <v>1.4999999999999994E-2</v>
      </c>
      <c r="J76" s="137">
        <v>1.4999999999999994E-2</v>
      </c>
      <c r="K76" s="137">
        <v>1.4999999999999994E-2</v>
      </c>
      <c r="L76" s="137">
        <v>1.4999999999999994E-2</v>
      </c>
      <c r="M76" s="137">
        <v>1.4999999999999994E-2</v>
      </c>
      <c r="N76" s="137">
        <v>1.4999999999999994E-2</v>
      </c>
      <c r="O76" s="137">
        <v>1.4999999999999996E-2</v>
      </c>
      <c r="P76" s="137">
        <v>1.4999999999999996E-2</v>
      </c>
      <c r="Q76" s="137">
        <v>1.4999999999999996E-2</v>
      </c>
      <c r="R76" s="137">
        <v>1.4999999999999996E-2</v>
      </c>
      <c r="S76" s="137">
        <v>1.4999999999999996E-2</v>
      </c>
      <c r="T76" s="137">
        <v>1.4999999999999998E-2</v>
      </c>
      <c r="U76" s="137">
        <v>1.4999999999999999E-2</v>
      </c>
    </row>
    <row r="77" spans="1:21" ht="15.6" x14ac:dyDescent="0.3">
      <c r="A77" s="11" t="s">
        <v>185</v>
      </c>
      <c r="B77" s="137">
        <v>1.4999999999999994E-2</v>
      </c>
      <c r="C77" s="137">
        <v>1.4999999999999994E-2</v>
      </c>
      <c r="D77" s="137">
        <v>1.4999999999999994E-2</v>
      </c>
      <c r="E77" s="137">
        <v>1.4999999999999994E-2</v>
      </c>
      <c r="F77" s="137">
        <v>1.4999999999999994E-2</v>
      </c>
      <c r="G77" s="137">
        <v>1.4999999999999994E-2</v>
      </c>
      <c r="H77" s="137">
        <v>1.4999999999999994E-2</v>
      </c>
      <c r="I77" s="137">
        <v>1.4999999999999994E-2</v>
      </c>
      <c r="J77" s="137">
        <v>1.4999999999999994E-2</v>
      </c>
      <c r="K77" s="137">
        <v>1.4999999999999994E-2</v>
      </c>
      <c r="L77" s="137">
        <v>1.4999999999999994E-2</v>
      </c>
      <c r="M77" s="137">
        <v>1.4999999999999994E-2</v>
      </c>
      <c r="N77" s="137">
        <v>1.4999999999999994E-2</v>
      </c>
      <c r="O77" s="137">
        <v>1.4999999999999996E-2</v>
      </c>
      <c r="P77" s="137">
        <v>1.4999999999999996E-2</v>
      </c>
      <c r="Q77" s="137">
        <v>1.4999999999999996E-2</v>
      </c>
      <c r="R77" s="137">
        <v>1.4999999999999994E-2</v>
      </c>
      <c r="S77" s="137">
        <v>1.4999999999999994E-2</v>
      </c>
      <c r="T77" s="137">
        <v>1.4999999999999994E-2</v>
      </c>
      <c r="U77" s="137">
        <v>1.4999999999999994E-2</v>
      </c>
    </row>
    <row r="78" spans="1:21" ht="15.6" x14ac:dyDescent="0.3">
      <c r="A78" s="12" t="s">
        <v>186</v>
      </c>
      <c r="B78" s="137">
        <v>3.7831864876053889E-2</v>
      </c>
      <c r="C78" s="137">
        <v>3.7831864876053889E-2</v>
      </c>
      <c r="D78" s="137">
        <v>3.7831864876053889E-2</v>
      </c>
      <c r="E78" s="137">
        <v>3.7831864876053889E-2</v>
      </c>
      <c r="F78" s="137">
        <v>3.7831864876053889E-2</v>
      </c>
      <c r="G78" s="137">
        <v>3.7831864876053889E-2</v>
      </c>
      <c r="H78" s="137">
        <v>3.7831864876053889E-2</v>
      </c>
      <c r="I78" s="137">
        <v>3.7831864876053889E-2</v>
      </c>
      <c r="J78" s="137">
        <v>3.7831864876053889E-2</v>
      </c>
      <c r="K78" s="137">
        <v>3.7831864876053889E-2</v>
      </c>
      <c r="L78" s="137">
        <v>3.7831864876053889E-2</v>
      </c>
      <c r="M78" s="137">
        <v>3.7831864876053889E-2</v>
      </c>
      <c r="N78" s="137">
        <v>3.7831864876053889E-2</v>
      </c>
      <c r="O78" s="137">
        <v>3.7831864876053896E-2</v>
      </c>
      <c r="P78" s="137">
        <v>3.7831864876053896E-2</v>
      </c>
      <c r="Q78" s="137">
        <v>3.7831864876053896E-2</v>
      </c>
      <c r="R78" s="137">
        <v>3.7831864876053889E-2</v>
      </c>
      <c r="S78" s="137">
        <v>3.7831864876053889E-2</v>
      </c>
      <c r="T78" s="137">
        <v>3.7831864876053889E-2</v>
      </c>
      <c r="U78" s="137">
        <v>3.7831864876053889E-2</v>
      </c>
    </row>
    <row r="79" spans="1:21" ht="15.6" x14ac:dyDescent="0.3">
      <c r="A79" s="13" t="s">
        <v>187</v>
      </c>
      <c r="B79" s="138">
        <v>4.5613976017525854E-12</v>
      </c>
      <c r="C79" s="138">
        <v>4.3301530743451959E-12</v>
      </c>
      <c r="D79" s="138">
        <v>4.0989085469378064E-12</v>
      </c>
      <c r="E79" s="138">
        <v>3.8676640195304176E-12</v>
      </c>
      <c r="F79" s="138">
        <v>3.6364194921230281E-12</v>
      </c>
      <c r="G79" s="138">
        <v>3.4051749647156382E-12</v>
      </c>
      <c r="H79" s="138">
        <v>3.173930437308249E-12</v>
      </c>
      <c r="I79" s="138">
        <v>2.9426859099008599E-12</v>
      </c>
      <c r="J79" s="138">
        <v>2.7114413824934704E-12</v>
      </c>
      <c r="K79" s="138">
        <v>2.4801968550860812E-12</v>
      </c>
      <c r="L79" s="138">
        <v>2.2489523276786921E-12</v>
      </c>
      <c r="M79" s="138">
        <v>2.0177078002713026E-12</v>
      </c>
      <c r="N79" s="138">
        <v>1.7864632728639134E-12</v>
      </c>
      <c r="O79" s="138">
        <v>1.5552187454565243E-12</v>
      </c>
      <c r="P79" s="138">
        <v>1.3239742180491352E-12</v>
      </c>
      <c r="Q79" s="138">
        <v>1.0927296906417454E-12</v>
      </c>
      <c r="R79" s="138">
        <v>8.6148516323435608E-13</v>
      </c>
      <c r="S79" s="138">
        <v>6.3024063582696674E-13</v>
      </c>
      <c r="T79" s="138">
        <v>3.9899610841957735E-13</v>
      </c>
      <c r="U79" s="138">
        <v>1.6775158101218809E-13</v>
      </c>
    </row>
    <row r="80" spans="1:21" ht="15.6" x14ac:dyDescent="0.3">
      <c r="A80" s="13" t="s">
        <v>188</v>
      </c>
      <c r="B80" s="138">
        <v>3.260182963700339E-10</v>
      </c>
      <c r="C80" s="138">
        <v>2.1096046096158526E-10</v>
      </c>
      <c r="D80" s="138">
        <v>1.3650864563322458E-10</v>
      </c>
      <c r="E80" s="138">
        <v>8.8332241253542491E-11</v>
      </c>
      <c r="F80" s="138">
        <v>5.7158173452531693E-11</v>
      </c>
      <c r="G80" s="138">
        <v>3.6986005857727249E-11</v>
      </c>
      <c r="H80" s="138">
        <v>2.393296613027517E-11</v>
      </c>
      <c r="I80" s="138">
        <v>1.5486583493124867E-11</v>
      </c>
      <c r="J80" s="138">
        <v>1.0021084180875415E-11</v>
      </c>
      <c r="K80" s="138">
        <v>6.4844598038536397E-12</v>
      </c>
      <c r="L80" s="138">
        <v>4.1959750251414774E-12</v>
      </c>
      <c r="M80" s="138">
        <v>2.7151384917441939E-12</v>
      </c>
      <c r="N80" s="138">
        <v>1.7569163269989606E-12</v>
      </c>
      <c r="O80" s="138">
        <v>1.1368683363523754E-12</v>
      </c>
      <c r="P80" s="138">
        <v>7.3564665222749802E-13</v>
      </c>
      <c r="Q80" s="138">
        <v>4.7602345815160987E-13</v>
      </c>
      <c r="R80" s="138">
        <v>3.0802605031164089E-13</v>
      </c>
      <c r="S80" s="138">
        <v>1.9931800848430234E-13</v>
      </c>
      <c r="T80" s="138">
        <v>1.2897502813789461E-13</v>
      </c>
      <c r="U80" s="138">
        <v>8.3457375526009225E-14</v>
      </c>
    </row>
    <row r="81" spans="1:21" ht="15.6" x14ac:dyDescent="0.3">
      <c r="A81" s="17" t="s">
        <v>14</v>
      </c>
      <c r="B81" s="137">
        <v>7.6623843564898625E-9</v>
      </c>
      <c r="C81" s="137">
        <v>7.6623843564898625E-9</v>
      </c>
      <c r="D81" s="137">
        <v>7.6623843564898625E-9</v>
      </c>
      <c r="E81" s="137">
        <v>7.6623843564898625E-9</v>
      </c>
      <c r="F81" s="137">
        <v>7.6623843564898625E-9</v>
      </c>
      <c r="G81" s="137">
        <v>7.6623843564898625E-9</v>
      </c>
      <c r="H81" s="137">
        <v>7.6623843564898625E-9</v>
      </c>
      <c r="I81" s="137">
        <v>7.6623843564898625E-9</v>
      </c>
      <c r="J81" s="137">
        <v>7.6623843564898625E-9</v>
      </c>
      <c r="K81" s="137">
        <v>7.6623843564898625E-9</v>
      </c>
      <c r="L81" s="137">
        <v>7.6623843564898625E-9</v>
      </c>
      <c r="M81" s="137">
        <v>7.6623843564898625E-9</v>
      </c>
      <c r="N81" s="137">
        <v>7.6623843564898625E-9</v>
      </c>
      <c r="O81" s="137">
        <v>7.6623843564898625E-9</v>
      </c>
      <c r="P81" s="137">
        <v>7.6623843564898625E-9</v>
      </c>
      <c r="Q81" s="137">
        <v>7.6623843564898625E-9</v>
      </c>
      <c r="R81" s="137">
        <v>7.6623843564898625E-9</v>
      </c>
      <c r="S81" s="137">
        <v>7.6623843564898625E-9</v>
      </c>
      <c r="T81" s="137">
        <v>7.6623843564898625E-9</v>
      </c>
      <c r="U81" s="137">
        <v>7.6623843564898625E-9</v>
      </c>
    </row>
    <row r="82" spans="1:21" ht="15.6" x14ac:dyDescent="0.3">
      <c r="A82" s="141" t="s">
        <v>30</v>
      </c>
      <c r="B82" s="137">
        <v>100.00001806919417</v>
      </c>
      <c r="C82" s="142">
        <v>123.91549523653723</v>
      </c>
      <c r="D82" s="142">
        <v>153.33236636947379</v>
      </c>
      <c r="E82" s="142">
        <v>189.35332153743781</v>
      </c>
      <c r="F82" s="142">
        <v>233.18772618834276</v>
      </c>
      <c r="G82" s="142">
        <v>286.08487005060306</v>
      </c>
      <c r="H82" s="142">
        <v>349.21932278124882</v>
      </c>
      <c r="I82" s="142">
        <v>423.52992932851862</v>
      </c>
      <c r="J82" s="142">
        <v>509.54305515287831</v>
      </c>
      <c r="K82" s="142">
        <v>607.2553289374074</v>
      </c>
      <c r="L82" s="142">
        <v>716.19148283117852</v>
      </c>
      <c r="M82" s="142">
        <v>835.75111569579474</v>
      </c>
      <c r="N82" s="142">
        <v>965.89368100655543</v>
      </c>
      <c r="O82" s="142">
        <v>1108.137401003497</v>
      </c>
      <c r="P82" s="142">
        <v>1266.9063798668099</v>
      </c>
      <c r="Q82" s="142">
        <v>1451.646461629271</v>
      </c>
      <c r="R82" s="142">
        <v>1681.2642176316781</v>
      </c>
      <c r="S82" s="142">
        <v>1996.2485722063934</v>
      </c>
      <c r="T82" s="142">
        <v>2502.263693976332</v>
      </c>
      <c r="U82" s="137">
        <v>3627.6101246199319</v>
      </c>
    </row>
    <row r="83" spans="1:21" ht="15.6" x14ac:dyDescent="0.3">
      <c r="A83" s="16" t="s">
        <v>17</v>
      </c>
      <c r="B83" s="143">
        <v>2.9979240382992844</v>
      </c>
      <c r="C83" s="143">
        <v>2.4193298620784947</v>
      </c>
      <c r="D83" s="143">
        <v>1.955180534275536</v>
      </c>
      <c r="E83" s="143">
        <v>1.5832437243025959</v>
      </c>
      <c r="F83" s="143">
        <v>1.2856270906722658</v>
      </c>
      <c r="G83" s="143">
        <v>1.0479144106676188</v>
      </c>
      <c r="H83" s="143">
        <v>0.85846469093518685</v>
      </c>
      <c r="I83" s="143">
        <v>0.70784243860948159</v>
      </c>
      <c r="J83" s="143">
        <v>0.58835549806493426</v>
      </c>
      <c r="K83" s="143">
        <v>0.49368435930333515</v>
      </c>
      <c r="L83" s="143">
        <v>0.41859260433381534</v>
      </c>
      <c r="M83" s="143">
        <v>0.35871020973799278</v>
      </c>
      <c r="N83" s="143">
        <v>0.31037831999023641</v>
      </c>
      <c r="O83" s="143">
        <v>0.27053726165051073</v>
      </c>
      <c r="P83" s="143">
        <v>0.23663347407842183</v>
      </c>
      <c r="Q83" s="143">
        <v>0.20651891898219124</v>
      </c>
      <c r="R83" s="143">
        <v>0.17831370872943711</v>
      </c>
      <c r="S83" s="143">
        <v>0.15017791981118286</v>
      </c>
      <c r="T83" s="143">
        <v>0.11980849928873867</v>
      </c>
      <c r="U83" s="143">
        <v>8.2641862741909045E-2</v>
      </c>
    </row>
    <row r="84" spans="1:21" ht="16.2" thickBot="1" x14ac:dyDescent="0.35">
      <c r="A84" s="203" t="s">
        <v>189</v>
      </c>
      <c r="B84" s="299">
        <v>6.6082638802029933E-6</v>
      </c>
      <c r="C84" s="299">
        <v>5.9364198367392649E-6</v>
      </c>
      <c r="D84" s="299">
        <v>5.3366718251501983E-6</v>
      </c>
      <c r="E84" s="299">
        <v>4.8023184139679312E-6</v>
      </c>
      <c r="F84" s="299">
        <v>4.3274750462140579E-6</v>
      </c>
      <c r="G84" s="299">
        <v>3.9069690508981965E-6</v>
      </c>
      <c r="H84" s="299">
        <v>3.5362119152970534E-6</v>
      </c>
      <c r="I84" s="299">
        <v>3.2110373942789175E-6</v>
      </c>
      <c r="J84" s="299">
        <v>2.9275004649224323E-6</v>
      </c>
      <c r="K84" s="299">
        <v>2.6816478648854343E-6</v>
      </c>
      <c r="L84" s="299">
        <v>2.4692942215420794E-6</v>
      </c>
      <c r="M84" s="299">
        <v>2.2858563447348701E-6</v>
      </c>
      <c r="N84" s="299">
        <v>2.1262912580179848E-6</v>
      </c>
      <c r="O84" s="299">
        <v>1.9851375735934339E-6</v>
      </c>
      <c r="P84" s="299">
        <v>1.8565863559340847E-6</v>
      </c>
      <c r="Q84" s="299">
        <v>1.7344308360628902E-6</v>
      </c>
      <c r="R84" s="299">
        <v>1.6116451704319943E-6</v>
      </c>
      <c r="S84" s="299">
        <v>1.4790406380532004E-6</v>
      </c>
      <c r="T84" s="299">
        <v>1.3210549379541562E-6</v>
      </c>
      <c r="U84" s="299">
        <v>1.0971780571428976E-6</v>
      </c>
    </row>
    <row r="85" spans="1:21" ht="15.6" x14ac:dyDescent="0.3">
      <c r="A85" s="204" t="s">
        <v>190</v>
      </c>
      <c r="B85" s="207">
        <v>2.6088384824204578E-3</v>
      </c>
      <c r="C85" s="207">
        <v>2.9040892636953666E-3</v>
      </c>
      <c r="D85" s="207">
        <v>3.2304577979511591E-3</v>
      </c>
      <c r="E85" s="207">
        <v>3.5899104612720141E-3</v>
      </c>
      <c r="F85" s="207">
        <v>3.9838226514431838E-3</v>
      </c>
      <c r="G85" s="207">
        <v>4.4126003784696784E-3</v>
      </c>
      <c r="H85" s="207">
        <v>4.8752432053310625E-3</v>
      </c>
      <c r="I85" s="207">
        <v>5.3689480986359416E-3</v>
      </c>
      <c r="J85" s="207">
        <v>5.8889463278426818E-3</v>
      </c>
      <c r="K85" s="207">
        <v>6.428843002994066E-3</v>
      </c>
      <c r="L85" s="207">
        <v>6.981708766117126E-3</v>
      </c>
      <c r="M85" s="207">
        <v>7.5419844962577058E-3</v>
      </c>
      <c r="N85" s="207">
        <v>8.1079640654370226E-3</v>
      </c>
      <c r="O85" s="207">
        <v>8.6844827995752379E-3</v>
      </c>
      <c r="P85" s="207">
        <v>9.2858019006549133E-3</v>
      </c>
      <c r="Q85" s="207">
        <v>9.9397985518965871E-3</v>
      </c>
      <c r="R85" s="207">
        <v>1.0697077389585467E-2</v>
      </c>
      <c r="S85" s="207">
        <v>1.1656132136676687E-2</v>
      </c>
      <c r="T85" s="207">
        <v>1.3050095508791755E-2</v>
      </c>
      <c r="U85" s="207">
        <v>1.5712940119816266E-2</v>
      </c>
    </row>
    <row r="86" spans="1:21" ht="15.6" x14ac:dyDescent="0.3">
      <c r="A86" s="204" t="s">
        <v>63</v>
      </c>
      <c r="B86" s="206">
        <v>3.353032120505135</v>
      </c>
      <c r="C86" s="206">
        <v>4.1549256068025278</v>
      </c>
      <c r="D86" s="206">
        <v>5.14128256651074</v>
      </c>
      <c r="E86" s="206">
        <v>6.349076545166688</v>
      </c>
      <c r="F86" s="206">
        <v>7.8188579473660731</v>
      </c>
      <c r="G86" s="206">
        <v>9.5925158514117808</v>
      </c>
      <c r="H86" s="206">
        <v>11.709433948065426</v>
      </c>
      <c r="I86" s="206">
        <v>14.201092004315043</v>
      </c>
      <c r="J86" s="206">
        <v>17.085139219932223</v>
      </c>
      <c r="K86" s="206">
        <v>20.361462553598177</v>
      </c>
      <c r="L86" s="206">
        <v>24.014126124492353</v>
      </c>
      <c r="M86" s="206">
        <v>28.022998293230057</v>
      </c>
      <c r="N86" s="206">
        <v>32.386719522059977</v>
      </c>
      <c r="O86" s="206">
        <v>37.156196281152795</v>
      </c>
      <c r="P86" s="206">
        <v>42.47977017791078</v>
      </c>
      <c r="Q86" s="206">
        <v>48.674163339576623</v>
      </c>
      <c r="R86" s="206">
        <v>56.373319061545047</v>
      </c>
      <c r="S86" s="206">
        <v>66.934843736618632</v>
      </c>
      <c r="T86" s="206">
        <v>83.901690238405408</v>
      </c>
      <c r="U86" s="206">
        <v>121.6349107067545</v>
      </c>
    </row>
    <row r="87" spans="1:21" ht="15.6" x14ac:dyDescent="0.3">
      <c r="A87" s="255" t="s">
        <v>64</v>
      </c>
      <c r="B87" s="256">
        <v>1285.2586095687384</v>
      </c>
      <c r="C87" s="256">
        <v>1430.7155288730723</v>
      </c>
      <c r="D87" s="256">
        <v>1591.5027801234476</v>
      </c>
      <c r="E87" s="256">
        <v>1768.5891092996837</v>
      </c>
      <c r="F87" s="256">
        <v>1962.6521136761962</v>
      </c>
      <c r="G87" s="256">
        <v>2173.8918163122976</v>
      </c>
      <c r="H87" s="256">
        <v>2401.8153464141437</v>
      </c>
      <c r="I87" s="256">
        <v>2645.0417741834822</v>
      </c>
      <c r="J87" s="256">
        <v>2901.2217583227798</v>
      </c>
      <c r="K87" s="256">
        <v>3167.2048211653878</v>
      </c>
      <c r="L87" s="256">
        <v>3439.5771764406895</v>
      </c>
      <c r="M87" s="256">
        <v>3715.6000926725487</v>
      </c>
      <c r="N87" s="256">
        <v>3994.4330365398973</v>
      </c>
      <c r="O87" s="256">
        <v>4278.4581579193318</v>
      </c>
      <c r="P87" s="256">
        <v>4574.7013163090141</v>
      </c>
      <c r="Q87" s="256">
        <v>4896.8963591610445</v>
      </c>
      <c r="R87" s="256">
        <v>5269.9739385291687</v>
      </c>
      <c r="S87" s="256">
        <v>5742.4575280855224</v>
      </c>
      <c r="T87" s="256">
        <v>6429.2012408553983</v>
      </c>
      <c r="U87" s="256">
        <v>7741.0662663542817</v>
      </c>
    </row>
    <row r="88" spans="1:21" ht="15.6" x14ac:dyDescent="0.3">
      <c r="A88" s="255"/>
      <c r="B88" s="256"/>
      <c r="C88" s="256"/>
      <c r="D88" s="256"/>
      <c r="E88" s="256"/>
      <c r="F88" s="256"/>
      <c r="G88" s="256"/>
      <c r="H88" s="256"/>
      <c r="I88" s="256"/>
      <c r="J88" s="256"/>
      <c r="K88" s="256"/>
      <c r="L88" s="256"/>
      <c r="M88" s="256"/>
      <c r="N88" s="256"/>
      <c r="O88" s="256"/>
      <c r="P88" s="256"/>
      <c r="Q88" s="256"/>
      <c r="R88" s="256"/>
      <c r="S88" s="256"/>
      <c r="T88" s="256"/>
      <c r="U88" s="256"/>
    </row>
    <row r="89" spans="1:21" ht="15.6" x14ac:dyDescent="0.3">
      <c r="A89" s="318" t="s">
        <v>193</v>
      </c>
    </row>
    <row r="90" spans="1:21" ht="15.6" x14ac:dyDescent="0.3">
      <c r="A90" s="156" t="s">
        <v>177</v>
      </c>
      <c r="B90" s="137">
        <v>2.5000000000000001E-2</v>
      </c>
      <c r="C90" s="137">
        <v>2.5000000000000001E-2</v>
      </c>
      <c r="D90" s="137">
        <v>2.5000000000000001E-2</v>
      </c>
      <c r="E90" s="137">
        <v>2.5000000000000001E-2</v>
      </c>
      <c r="F90" s="137">
        <v>2.5000000000000001E-2</v>
      </c>
      <c r="G90" s="137">
        <v>2.5000000000000001E-2</v>
      </c>
      <c r="H90" s="137">
        <v>2.5000000000000001E-2</v>
      </c>
      <c r="I90" s="137">
        <v>2.5000000000000001E-2</v>
      </c>
      <c r="J90" s="137">
        <v>2.5000000000000001E-2</v>
      </c>
      <c r="K90" s="137">
        <v>2.5000000000000001E-2</v>
      </c>
      <c r="L90" s="137">
        <v>2.5000000000000001E-2</v>
      </c>
      <c r="M90" s="137">
        <v>2.5000000000000001E-2</v>
      </c>
      <c r="N90" s="137">
        <v>2.5000000000000001E-2</v>
      </c>
      <c r="O90" s="137">
        <v>2.5000000000000001E-2</v>
      </c>
      <c r="P90" s="137">
        <v>2.5000000000000001E-2</v>
      </c>
      <c r="Q90" s="137">
        <v>2.5000000000000001E-2</v>
      </c>
      <c r="R90" s="137">
        <v>2.5000000000000001E-2</v>
      </c>
      <c r="S90" s="137">
        <v>2.5000000000000001E-2</v>
      </c>
      <c r="T90" s="137">
        <v>2.5000000000000001E-2</v>
      </c>
      <c r="U90" s="137">
        <v>2.5000000000000001E-2</v>
      </c>
    </row>
    <row r="91" spans="1:21" ht="15.6" x14ac:dyDescent="0.3">
      <c r="A91" s="156" t="s">
        <v>192</v>
      </c>
      <c r="B91" s="140">
        <v>0.6</v>
      </c>
      <c r="C91" s="140">
        <v>0.6</v>
      </c>
      <c r="D91" s="140">
        <v>0.6</v>
      </c>
      <c r="E91" s="140">
        <v>0.6</v>
      </c>
      <c r="F91" s="140">
        <v>0.6</v>
      </c>
      <c r="G91" s="140">
        <v>0.6</v>
      </c>
      <c r="H91" s="140">
        <v>0.6</v>
      </c>
      <c r="I91" s="140">
        <v>0.6</v>
      </c>
      <c r="J91" s="140">
        <v>0.6</v>
      </c>
      <c r="K91" s="140">
        <v>0.6</v>
      </c>
      <c r="L91" s="140">
        <v>0.6</v>
      </c>
      <c r="M91" s="140">
        <v>0.6</v>
      </c>
      <c r="N91" s="140">
        <v>0.6</v>
      </c>
      <c r="O91" s="140">
        <v>0.6</v>
      </c>
      <c r="P91" s="140">
        <v>0.6</v>
      </c>
      <c r="Q91" s="140">
        <v>0.6</v>
      </c>
      <c r="R91" s="140">
        <v>0.6</v>
      </c>
      <c r="S91" s="140">
        <v>0.6</v>
      </c>
      <c r="T91" s="140">
        <v>0.6</v>
      </c>
      <c r="U91" s="140">
        <v>0.6</v>
      </c>
    </row>
    <row r="92" spans="1:21" ht="15.6" x14ac:dyDescent="0.3">
      <c r="A92" s="156" t="s">
        <v>185</v>
      </c>
      <c r="B92" s="137">
        <v>1.4999999999999999E-2</v>
      </c>
      <c r="C92" s="137">
        <v>1.4999999999999999E-2</v>
      </c>
      <c r="D92" s="137">
        <v>1.4999999999999999E-2</v>
      </c>
      <c r="E92" s="137">
        <v>1.4999999999999999E-2</v>
      </c>
      <c r="F92" s="137">
        <v>1.4999999999999999E-2</v>
      </c>
      <c r="G92" s="137">
        <v>1.4999999999999999E-2</v>
      </c>
      <c r="H92" s="137">
        <v>1.4999999999999999E-2</v>
      </c>
      <c r="I92" s="137">
        <v>1.4999999999999999E-2</v>
      </c>
      <c r="J92" s="137">
        <v>1.4999999999999999E-2</v>
      </c>
      <c r="K92" s="137">
        <v>1.4999999999999999E-2</v>
      </c>
      <c r="L92" s="137">
        <v>1.4999999999999999E-2</v>
      </c>
      <c r="M92" s="137">
        <v>1.4999999999999999E-2</v>
      </c>
      <c r="N92" s="137">
        <v>1.4999999999999999E-2</v>
      </c>
      <c r="O92" s="137">
        <v>1.4999999999999999E-2</v>
      </c>
      <c r="P92" s="137">
        <v>1.4999999999999999E-2</v>
      </c>
      <c r="Q92" s="137">
        <v>1.4999999999999999E-2</v>
      </c>
      <c r="R92" s="137">
        <v>1.4999999999999999E-2</v>
      </c>
      <c r="S92" s="137">
        <v>1.4999999999999999E-2</v>
      </c>
      <c r="T92" s="137">
        <v>1.4999999999999999E-2</v>
      </c>
      <c r="U92" s="137">
        <v>1.4999999999999999E-2</v>
      </c>
    </row>
    <row r="93" spans="1:21" ht="15.6" x14ac:dyDescent="0.3">
      <c r="A93" s="156" t="s">
        <v>36</v>
      </c>
      <c r="B93" s="137">
        <v>7.4999999999999997E-2</v>
      </c>
      <c r="C93" s="137">
        <v>7.4999999999999997E-2</v>
      </c>
      <c r="D93" s="137">
        <v>7.4999999999999997E-2</v>
      </c>
      <c r="E93" s="137">
        <v>7.4999999999999997E-2</v>
      </c>
      <c r="F93" s="137">
        <v>7.4999999999999997E-2</v>
      </c>
      <c r="G93" s="137">
        <v>7.4999999999999997E-2</v>
      </c>
      <c r="H93" s="137">
        <v>7.4999999999999997E-2</v>
      </c>
      <c r="I93" s="137">
        <v>7.4999999999999997E-2</v>
      </c>
      <c r="J93" s="137">
        <v>7.4999999999999997E-2</v>
      </c>
      <c r="K93" s="137">
        <v>7.4999999999999997E-2</v>
      </c>
      <c r="L93" s="137">
        <v>7.4999999999999997E-2</v>
      </c>
      <c r="M93" s="137">
        <v>7.4999999999999997E-2</v>
      </c>
      <c r="N93" s="137">
        <v>7.4999999999999997E-2</v>
      </c>
      <c r="O93" s="137">
        <v>7.4999999999999997E-2</v>
      </c>
      <c r="P93" s="137">
        <v>7.4999999999999997E-2</v>
      </c>
      <c r="Q93" s="137">
        <v>7.4999999999999997E-2</v>
      </c>
      <c r="R93" s="137">
        <v>7.4999999999999997E-2</v>
      </c>
      <c r="S93" s="137">
        <v>7.4999999999999997E-2</v>
      </c>
      <c r="T93" s="137">
        <v>7.4999999999999997E-2</v>
      </c>
      <c r="U93" s="137">
        <v>7.4999999999999997E-2</v>
      </c>
    </row>
    <row r="94" spans="1:21" ht="15.6" x14ac:dyDescent="0.3">
      <c r="A94" s="156" t="s">
        <v>3</v>
      </c>
      <c r="B94" s="137">
        <v>1.9197255597457132E-5</v>
      </c>
      <c r="C94" s="137">
        <v>2.9667438800310255E-5</v>
      </c>
      <c r="D94" s="137">
        <v>4.584805992199947E-5</v>
      </c>
      <c r="E94" s="137">
        <v>7.0853591803457985E-5</v>
      </c>
      <c r="F94" s="137">
        <v>1.0949714077306398E-4</v>
      </c>
      <c r="G94" s="137">
        <v>1.6921688135069308E-4</v>
      </c>
      <c r="H94" s="137">
        <v>2.615077684393611E-4</v>
      </c>
      <c r="I94" s="137">
        <v>4.0413410534618864E-4</v>
      </c>
      <c r="J94" s="137">
        <v>6.2454884640199997E-4</v>
      </c>
      <c r="K94" s="137">
        <v>9.6517778722965083E-4</v>
      </c>
      <c r="L94" s="137">
        <v>1.4915857523847024E-3</v>
      </c>
      <c r="M94" s="137">
        <v>2.3050966217353194E-3</v>
      </c>
      <c r="N94" s="137">
        <v>3.5622963192297628E-3</v>
      </c>
      <c r="O94" s="137">
        <v>5.5051727317376757E-3</v>
      </c>
      <c r="P94" s="137">
        <v>8.5076939396274039E-3</v>
      </c>
      <c r="Q94" s="137">
        <v>1.3147790214300192E-2</v>
      </c>
      <c r="R94" s="137">
        <v>2.0318594997179518E-2</v>
      </c>
      <c r="S94" s="137">
        <v>3.1400356708641233E-2</v>
      </c>
      <c r="T94" s="137">
        <v>4.8526111257534164E-2</v>
      </c>
      <c r="U94" s="137">
        <v>7.4992252337393303E-2</v>
      </c>
    </row>
    <row r="95" spans="1:21" ht="15.6" x14ac:dyDescent="0.3">
      <c r="A95" s="158" t="s">
        <v>38</v>
      </c>
      <c r="B95" s="157">
        <v>2.2874822062122503E-12</v>
      </c>
      <c r="C95" s="157">
        <v>2.1718599425085555E-12</v>
      </c>
      <c r="D95" s="157">
        <v>2.0562376788048608E-12</v>
      </c>
      <c r="E95" s="157">
        <v>1.940615415101166E-12</v>
      </c>
      <c r="F95" s="157">
        <v>1.8249931513974712E-12</v>
      </c>
      <c r="G95" s="157">
        <v>1.7093708876937767E-12</v>
      </c>
      <c r="H95" s="157">
        <v>1.5937486239900821E-12</v>
      </c>
      <c r="I95" s="157">
        <v>1.4781263602863873E-12</v>
      </c>
      <c r="J95" s="157">
        <v>1.3625040965826928E-12</v>
      </c>
      <c r="K95" s="157">
        <v>1.246881832878998E-12</v>
      </c>
      <c r="L95" s="157">
        <v>1.1312595691753034E-12</v>
      </c>
      <c r="M95" s="157">
        <v>1.0156373054716087E-12</v>
      </c>
      <c r="N95" s="157">
        <v>9.000150417679139E-13</v>
      </c>
      <c r="O95" s="157">
        <v>7.8439277806421923E-13</v>
      </c>
      <c r="P95" s="157">
        <v>6.6877051436052456E-13</v>
      </c>
      <c r="Q95" s="157">
        <v>5.5314825065683E-13</v>
      </c>
      <c r="R95" s="157">
        <v>4.3752598695313518E-13</v>
      </c>
      <c r="S95" s="157">
        <v>3.2190372324944046E-13</v>
      </c>
      <c r="T95" s="157">
        <v>2.0628145954574576E-13</v>
      </c>
      <c r="U95" s="157">
        <v>9.0659195842051122E-14</v>
      </c>
    </row>
    <row r="96" spans="1:21" ht="15.6" x14ac:dyDescent="0.3">
      <c r="A96" s="158" t="s">
        <v>37</v>
      </c>
      <c r="B96" s="157">
        <v>3.260182963700341E-10</v>
      </c>
      <c r="C96" s="157">
        <v>2.1096046096158541E-10</v>
      </c>
      <c r="D96" s="157">
        <v>1.3650864563322466E-10</v>
      </c>
      <c r="E96" s="157">
        <v>8.8332241253542543E-11</v>
      </c>
      <c r="F96" s="157">
        <v>5.7158173452531732E-11</v>
      </c>
      <c r="G96" s="157">
        <v>3.6986005857727275E-11</v>
      </c>
      <c r="H96" s="157">
        <v>2.3932966130275187E-11</v>
      </c>
      <c r="I96" s="157">
        <v>1.5486583493124877E-11</v>
      </c>
      <c r="J96" s="157">
        <v>1.0021084180875421E-11</v>
      </c>
      <c r="K96" s="157">
        <v>6.4844598038536437E-12</v>
      </c>
      <c r="L96" s="157">
        <v>4.1959750251414806E-12</v>
      </c>
      <c r="M96" s="157">
        <v>2.7151384917441955E-12</v>
      </c>
      <c r="N96" s="157">
        <v>1.7569163269989618E-12</v>
      </c>
      <c r="O96" s="157">
        <v>1.1368683363523758E-12</v>
      </c>
      <c r="P96" s="157">
        <v>7.3564665222749832E-13</v>
      </c>
      <c r="Q96" s="157">
        <v>4.7602345815161008E-13</v>
      </c>
      <c r="R96" s="157">
        <v>3.08026050311641E-13</v>
      </c>
      <c r="S96" s="157">
        <v>1.9931800848430242E-13</v>
      </c>
      <c r="T96" s="157">
        <v>1.2897502813789466E-13</v>
      </c>
      <c r="U96" s="157">
        <v>8.3457375526009225E-14</v>
      </c>
    </row>
    <row r="97" spans="1:21" ht="15.6" x14ac:dyDescent="0.3">
      <c r="A97" s="158" t="s">
        <v>14</v>
      </c>
      <c r="B97" s="157">
        <v>7.6623843564898625E-9</v>
      </c>
      <c r="C97" s="157">
        <v>7.6623843564898625E-9</v>
      </c>
      <c r="D97" s="157">
        <v>7.6623843564898625E-9</v>
      </c>
      <c r="E97" s="157">
        <v>7.6623843564898625E-9</v>
      </c>
      <c r="F97" s="157">
        <v>7.6623843564898625E-9</v>
      </c>
      <c r="G97" s="157">
        <v>7.6623843564898625E-9</v>
      </c>
      <c r="H97" s="157">
        <v>7.6623843564898625E-9</v>
      </c>
      <c r="I97" s="157">
        <v>7.6623843564898625E-9</v>
      </c>
      <c r="J97" s="157">
        <v>7.6623843564898625E-9</v>
      </c>
      <c r="K97" s="157">
        <v>7.6623843564898625E-9</v>
      </c>
      <c r="L97" s="157">
        <v>7.6623843564898625E-9</v>
      </c>
      <c r="M97" s="157">
        <v>7.6623843564898625E-9</v>
      </c>
      <c r="N97" s="157">
        <v>7.6623843564898625E-9</v>
      </c>
      <c r="O97" s="157">
        <v>7.6623843564898625E-9</v>
      </c>
      <c r="P97" s="157">
        <v>7.6623843564898625E-9</v>
      </c>
      <c r="Q97" s="157">
        <v>7.6623843564898625E-9</v>
      </c>
      <c r="R97" s="157">
        <v>7.6623843564898625E-9</v>
      </c>
      <c r="S97" s="157">
        <v>7.6623843564898625E-9</v>
      </c>
      <c r="T97" s="157">
        <v>7.6623843564898625E-9</v>
      </c>
      <c r="U97" s="157">
        <v>7.6623843564898625E-9</v>
      </c>
    </row>
    <row r="98" spans="1:21" ht="16.2" thickBot="1" x14ac:dyDescent="0.35">
      <c r="A98" s="156" t="s">
        <v>30</v>
      </c>
      <c r="B98" s="146">
        <v>100.34573114002174</v>
      </c>
      <c r="C98" s="146">
        <v>124.54133249160233</v>
      </c>
      <c r="D98" s="146">
        <v>154.45841535198204</v>
      </c>
      <c r="E98" s="146">
        <v>191.36370562262991</v>
      </c>
      <c r="F98" s="146">
        <v>236.74135163151649</v>
      </c>
      <c r="G98" s="146">
        <v>292.28641157041534</v>
      </c>
      <c r="H98" s="146">
        <v>359.86590536390906</v>
      </c>
      <c r="I98" s="146">
        <v>441.4331530422462</v>
      </c>
      <c r="J98" s="146">
        <v>538.88807747542592</v>
      </c>
      <c r="K98" s="146">
        <v>653.89908981242809</v>
      </c>
      <c r="L98" s="146">
        <v>787.74789991931289</v>
      </c>
      <c r="M98" s="146">
        <v>941.32282560274882</v>
      </c>
      <c r="N98" s="146">
        <v>1115.4445784708923</v>
      </c>
      <c r="O98" s="146">
        <v>1311.7315629177483</v>
      </c>
      <c r="P98" s="146">
        <v>1534.2286924146877</v>
      </c>
      <c r="Q98" s="146">
        <v>1792.2320750183117</v>
      </c>
      <c r="R98" s="146">
        <v>2105.7130297869548</v>
      </c>
      <c r="S98" s="146">
        <v>2518.4127402363451</v>
      </c>
      <c r="T98" s="146">
        <v>3140.1440390952171</v>
      </c>
      <c r="U98" s="147">
        <v>4357.306518271741</v>
      </c>
    </row>
    <row r="99" spans="1:21" ht="15.6" x14ac:dyDescent="0.3">
      <c r="A99" s="16" t="s">
        <v>17</v>
      </c>
      <c r="B99" s="143">
        <v>2.9875955319082945</v>
      </c>
      <c r="C99" s="143">
        <v>2.407172398129068</v>
      </c>
      <c r="D99" s="143">
        <v>1.9409266715369873</v>
      </c>
      <c r="E99" s="143">
        <v>1.5666108524841804</v>
      </c>
      <c r="F99" s="143">
        <v>1.2663290799598939</v>
      </c>
      <c r="G99" s="143">
        <v>1.0256804494921803</v>
      </c>
      <c r="H99" s="143">
        <v>0.83306713287228285</v>
      </c>
      <c r="I99" s="143">
        <v>0.67913444183769578</v>
      </c>
      <c r="J99" s="143">
        <v>0.55631673909814972</v>
      </c>
      <c r="K99" s="143">
        <v>0.45846899417767334</v>
      </c>
      <c r="L99" s="143">
        <v>0.38056903487868016</v>
      </c>
      <c r="M99" s="143">
        <v>0.31847996228927794</v>
      </c>
      <c r="N99" s="143">
        <v>0.26876499629499356</v>
      </c>
      <c r="O99" s="143">
        <v>0.22854711015198648</v>
      </c>
      <c r="P99" s="143">
        <v>0.19540271895721326</v>
      </c>
      <c r="Q99" s="143">
        <v>0.1672732355250014</v>
      </c>
      <c r="R99" s="143">
        <v>0.14237099441338946</v>
      </c>
      <c r="S99" s="143">
        <v>0.11904024039040774</v>
      </c>
      <c r="T99" s="143">
        <v>9.5470925622373831E-2</v>
      </c>
      <c r="U99" s="143">
        <v>6.8802242105957714E-2</v>
      </c>
    </row>
    <row r="100" spans="1:21" ht="16.2" thickBot="1" x14ac:dyDescent="0.35">
      <c r="A100" s="203" t="s">
        <v>189</v>
      </c>
      <c r="B100" s="299">
        <v>6.5968705988186291E-6</v>
      </c>
      <c r="C100" s="299">
        <v>5.9214853897829365E-6</v>
      </c>
      <c r="D100" s="299">
        <v>5.3171832577022295E-6</v>
      </c>
      <c r="E100" s="299">
        <v>4.7770262744203693E-6</v>
      </c>
      <c r="F100" s="299">
        <v>4.2948732815029928E-6</v>
      </c>
      <c r="G100" s="299">
        <v>3.8652990799625562E-6</v>
      </c>
      <c r="H100" s="299">
        <v>3.4835100263566575E-6</v>
      </c>
      <c r="I100" s="299">
        <v>3.1452483457111129E-6</v>
      </c>
      <c r="J100" s="299">
        <v>2.8466765805835442E-6</v>
      </c>
      <c r="K100" s="299">
        <v>2.5842352709153246E-6</v>
      </c>
      <c r="L100" s="299">
        <v>2.3544734040693692E-6</v>
      </c>
      <c r="M100" s="299">
        <v>2.1538632249812841E-6</v>
      </c>
      <c r="N100" s="299">
        <v>1.9786246605216297E-6</v>
      </c>
      <c r="O100" s="299">
        <v>1.824588493577835E-6</v>
      </c>
      <c r="P100" s="299">
        <v>1.6871059840940994E-6</v>
      </c>
      <c r="Q100" s="299">
        <v>1.5609546770599578E-6</v>
      </c>
      <c r="R100" s="299">
        <v>1.4400839954797612E-6</v>
      </c>
      <c r="S100" s="299">
        <v>1.3168125659263696E-6</v>
      </c>
      <c r="T100" s="299">
        <v>1.1792683185376499E-6</v>
      </c>
      <c r="U100" s="299">
        <v>1.001102071838821E-6</v>
      </c>
    </row>
    <row r="101" spans="1:21" ht="15.6" x14ac:dyDescent="0.3">
      <c r="A101" s="204" t="s">
        <v>190</v>
      </c>
      <c r="B101" s="207">
        <v>2.6133441386208228E-3</v>
      </c>
      <c r="C101" s="207">
        <v>2.9114136028113489E-3</v>
      </c>
      <c r="D101" s="207">
        <v>3.2422980885019859E-3</v>
      </c>
      <c r="E101" s="207">
        <v>3.6089173729224547E-3</v>
      </c>
      <c r="F101" s="207">
        <v>4.014063275606025E-3</v>
      </c>
      <c r="G101" s="207">
        <v>4.4601705472244353E-3</v>
      </c>
      <c r="H101" s="207">
        <v>4.9490005719012107E-3</v>
      </c>
      <c r="I101" s="207">
        <v>5.4812501964021905E-3</v>
      </c>
      <c r="J101" s="207">
        <v>6.0561474493630993E-3</v>
      </c>
      <c r="K101" s="207">
        <v>6.6711778554730461E-3</v>
      </c>
      <c r="L101" s="207">
        <v>7.3221863890524401E-3</v>
      </c>
      <c r="M101" s="207">
        <v>8.004172647876704E-3</v>
      </c>
      <c r="N101" s="207">
        <v>8.713068959788314E-3</v>
      </c>
      <c r="O101" s="207">
        <v>9.4486472831235499E-3</v>
      </c>
      <c r="P101" s="207">
        <v>1.0218618910251661E-2</v>
      </c>
      <c r="Q101" s="207">
        <v>1.1044454631529638E-2</v>
      </c>
      <c r="R101" s="207">
        <v>1.1971449697917977E-2</v>
      </c>
      <c r="S101" s="207">
        <v>1.3092138971604163E-2</v>
      </c>
      <c r="T101" s="207">
        <v>1.4619143787429996E-2</v>
      </c>
      <c r="U101" s="207">
        <v>1.722091442783304E-2</v>
      </c>
    </row>
    <row r="102" spans="1:21" ht="15.6" x14ac:dyDescent="0.3">
      <c r="A102" s="204" t="s">
        <v>63</v>
      </c>
      <c r="B102" s="206">
        <v>3.3646239887202114</v>
      </c>
      <c r="C102" s="206">
        <v>4.1759101271952153</v>
      </c>
      <c r="D102" s="206">
        <v>5.1790393437645186</v>
      </c>
      <c r="E102" s="206">
        <v>6.416485357108475</v>
      </c>
      <c r="F102" s="206">
        <v>7.9380121283879301</v>
      </c>
      <c r="G102" s="206">
        <v>9.8004554929645309</v>
      </c>
      <c r="H102" s="206">
        <v>12.066417217294129</v>
      </c>
      <c r="I102" s="206">
        <v>14.801392737572714</v>
      </c>
      <c r="J102" s="206">
        <v>18.069087066385201</v>
      </c>
      <c r="K102" s="206">
        <v>21.925442555350653</v>
      </c>
      <c r="L102" s="206">
        <v>26.413435340204288</v>
      </c>
      <c r="M102" s="206">
        <v>31.562850996953873</v>
      </c>
      <c r="N102" s="206">
        <v>37.401208244465188</v>
      </c>
      <c r="O102" s="206">
        <v>43.982772692103524</v>
      </c>
      <c r="P102" s="206">
        <v>51.443171563303849</v>
      </c>
      <c r="Q102" s="206">
        <v>60.09410629083893</v>
      </c>
      <c r="R102" s="206">
        <v>70.605221496623898</v>
      </c>
      <c r="S102" s="206">
        <v>84.443172848817341</v>
      </c>
      <c r="T102" s="206">
        <v>105.29001923593195</v>
      </c>
      <c r="U102" s="206">
        <v>146.10186074708653</v>
      </c>
    </row>
    <row r="103" spans="1:21" ht="15.6" x14ac:dyDescent="0.3">
      <c r="A103" s="255" t="s">
        <v>64</v>
      </c>
      <c r="B103" s="256">
        <v>1287.4783458468935</v>
      </c>
      <c r="C103" s="256">
        <v>1434.3239047735542</v>
      </c>
      <c r="D103" s="256">
        <v>1597.3359643059071</v>
      </c>
      <c r="E103" s="256">
        <v>1777.9529687354654</v>
      </c>
      <c r="F103" s="256">
        <v>1977.550323291674</v>
      </c>
      <c r="G103" s="256">
        <v>2197.3275212678482</v>
      </c>
      <c r="H103" s="256">
        <v>2438.1523182283017</v>
      </c>
      <c r="I103" s="256">
        <v>2700.3680195602315</v>
      </c>
      <c r="J103" s="256">
        <v>2983.5943093303408</v>
      </c>
      <c r="K103" s="256">
        <v>3286.592417463879</v>
      </c>
      <c r="L103" s="256">
        <v>3607.3153477348774</v>
      </c>
      <c r="M103" s="256">
        <v>3943.2996245185523</v>
      </c>
      <c r="N103" s="256">
        <v>4292.5412867814439</v>
      </c>
      <c r="O103" s="256">
        <v>4654.9279885452161</v>
      </c>
      <c r="P103" s="256">
        <v>5034.2587403562275</v>
      </c>
      <c r="Q103" s="256">
        <v>5441.1112450299415</v>
      </c>
      <c r="R103" s="256">
        <v>5897.8004567736898</v>
      </c>
      <c r="S103" s="256">
        <v>6449.9141837684474</v>
      </c>
      <c r="T103" s="256">
        <v>7202.2014946226645</v>
      </c>
      <c r="U103" s="256">
        <v>8483.9780929955523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E814D-DE99-4D5A-9965-03A66CEA316B}">
  <dimension ref="A1:Y47"/>
  <sheetViews>
    <sheetView workbookViewId="0">
      <selection activeCell="C10" sqref="C10"/>
    </sheetView>
    <sheetView topLeftCell="A5" workbookViewId="1"/>
  </sheetViews>
  <sheetFormatPr defaultRowHeight="14.4" x14ac:dyDescent="0.3"/>
  <cols>
    <col min="1" max="1" width="26.6640625" customWidth="1"/>
    <col min="2" max="25" width="7.109375" customWidth="1"/>
    <col min="26" max="29" width="6.44140625" customWidth="1"/>
  </cols>
  <sheetData>
    <row r="1" spans="1:25" x14ac:dyDescent="0.3">
      <c r="A1" s="257" t="s">
        <v>90</v>
      </c>
    </row>
    <row r="2" spans="1:25" ht="15" thickBot="1" x14ac:dyDescent="0.35">
      <c r="A2" s="298" t="s">
        <v>195</v>
      </c>
      <c r="B2" s="257"/>
    </row>
    <row r="3" spans="1:25" x14ac:dyDescent="0.3">
      <c r="A3" s="277" t="s">
        <v>85</v>
      </c>
      <c r="B3" s="278">
        <v>0.02</v>
      </c>
      <c r="C3" s="278">
        <v>0.02</v>
      </c>
      <c r="D3" s="278">
        <v>0.02</v>
      </c>
      <c r="E3" s="278">
        <v>0.02</v>
      </c>
      <c r="F3" s="279">
        <v>1.7500000000000002E-2</v>
      </c>
      <c r="G3" s="279">
        <v>1.7500000000000002E-2</v>
      </c>
      <c r="H3" s="279">
        <v>1.7500000000000002E-2</v>
      </c>
      <c r="I3" s="279">
        <v>1.7500000000000002E-2</v>
      </c>
      <c r="J3" s="278">
        <v>1.4999999999999999E-2</v>
      </c>
      <c r="K3" s="280">
        <v>1.4999999999999999E-2</v>
      </c>
      <c r="L3" s="280">
        <v>1.4999999999999999E-2</v>
      </c>
      <c r="M3" s="281">
        <v>1.4999999999999999E-2</v>
      </c>
      <c r="N3" s="278">
        <v>0.01</v>
      </c>
      <c r="O3" s="280">
        <v>0.01</v>
      </c>
      <c r="P3" s="280">
        <v>0.01</v>
      </c>
      <c r="Q3" s="281">
        <v>0.01</v>
      </c>
      <c r="R3" s="278">
        <v>5.0000000000000001E-3</v>
      </c>
      <c r="S3" s="280">
        <v>5.0000000000000001E-3</v>
      </c>
      <c r="T3" s="280">
        <v>5.0000000000000001E-3</v>
      </c>
      <c r="U3" s="281">
        <v>5.0000000000000001E-3</v>
      </c>
      <c r="V3" s="279">
        <v>2.5000000000000001E-3</v>
      </c>
      <c r="W3" s="282">
        <v>2.5000000000000001E-3</v>
      </c>
      <c r="X3" s="282">
        <v>2.5000000000000001E-3</v>
      </c>
      <c r="Y3" s="297">
        <v>2.5000000000000001E-3</v>
      </c>
    </row>
    <row r="4" spans="1:25" x14ac:dyDescent="0.3">
      <c r="A4" s="277" t="s">
        <v>87</v>
      </c>
      <c r="B4" s="283">
        <v>0.1</v>
      </c>
      <c r="C4" s="284">
        <v>7.4999999999999997E-2</v>
      </c>
      <c r="D4" s="284">
        <v>0.05</v>
      </c>
      <c r="E4" s="285">
        <v>2.5000000000000001E-2</v>
      </c>
      <c r="F4" s="283">
        <v>0.1</v>
      </c>
      <c r="G4" s="284">
        <v>7.4999999999999997E-2</v>
      </c>
      <c r="H4" s="284">
        <v>0.05</v>
      </c>
      <c r="I4" s="285">
        <v>2.5000000000000001E-2</v>
      </c>
      <c r="J4" s="283">
        <v>0.1</v>
      </c>
      <c r="K4" s="284">
        <v>7.4999999999999997E-2</v>
      </c>
      <c r="L4" s="284">
        <v>0.05</v>
      </c>
      <c r="M4" s="285">
        <v>2.5000000000000001E-2</v>
      </c>
      <c r="N4" s="283">
        <v>0.1</v>
      </c>
      <c r="O4" s="284">
        <v>7.4999999999999997E-2</v>
      </c>
      <c r="P4" s="284">
        <v>0.05</v>
      </c>
      <c r="Q4" s="285">
        <v>2.5000000000000001E-2</v>
      </c>
      <c r="R4" s="283">
        <v>0.1</v>
      </c>
      <c r="S4" s="284">
        <v>7.4999999999999997E-2</v>
      </c>
      <c r="T4" s="284">
        <v>0.05</v>
      </c>
      <c r="U4" s="285">
        <v>2.5000000000000001E-2</v>
      </c>
      <c r="V4" s="283">
        <v>0.1</v>
      </c>
      <c r="W4" s="284">
        <v>7.4999999999999997E-2</v>
      </c>
      <c r="X4" s="284">
        <v>0.05</v>
      </c>
      <c r="Y4" s="285">
        <v>2.5000000000000001E-2</v>
      </c>
    </row>
    <row r="5" spans="1:25" x14ac:dyDescent="0.3">
      <c r="A5" s="277" t="s">
        <v>92</v>
      </c>
      <c r="B5" s="286">
        <v>19.7</v>
      </c>
      <c r="C5" s="287">
        <v>14.8</v>
      </c>
      <c r="D5" s="287">
        <v>9.8000000000000007</v>
      </c>
      <c r="E5" s="288">
        <v>4.9000000000000004</v>
      </c>
      <c r="F5" s="286">
        <v>24.2</v>
      </c>
      <c r="G5" s="287">
        <v>18.100000000000001</v>
      </c>
      <c r="H5" s="287">
        <v>12</v>
      </c>
      <c r="I5" s="288">
        <v>6</v>
      </c>
      <c r="J5" s="289">
        <v>25.5</v>
      </c>
      <c r="K5" s="287">
        <v>19.100000000000001</v>
      </c>
      <c r="L5" s="287">
        <v>12.7</v>
      </c>
      <c r="M5" s="288">
        <v>6.33</v>
      </c>
      <c r="N5" s="286">
        <v>20.399999999999999</v>
      </c>
      <c r="O5" s="287">
        <v>15.2</v>
      </c>
      <c r="P5" s="287">
        <v>10.1</v>
      </c>
      <c r="Q5" s="288">
        <v>5.05</v>
      </c>
      <c r="R5" s="286">
        <v>8.9</v>
      </c>
      <c r="S5" s="287">
        <v>6.7</v>
      </c>
      <c r="T5" s="287">
        <v>4.4400000000000004</v>
      </c>
      <c r="U5" s="288">
        <v>2.2200000000000002</v>
      </c>
      <c r="V5" s="286">
        <v>3.2</v>
      </c>
      <c r="W5" s="287">
        <v>2.4</v>
      </c>
      <c r="X5" s="287">
        <v>1.6</v>
      </c>
      <c r="Y5" s="288">
        <v>0.79</v>
      </c>
    </row>
    <row r="6" spans="1:25" x14ac:dyDescent="0.3">
      <c r="A6" s="277" t="s">
        <v>86</v>
      </c>
      <c r="B6" s="290">
        <v>715</v>
      </c>
      <c r="C6" s="291">
        <v>704</v>
      </c>
      <c r="D6" s="291">
        <v>683</v>
      </c>
      <c r="E6" s="292">
        <v>626</v>
      </c>
      <c r="F6" s="290">
        <v>1035</v>
      </c>
      <c r="G6" s="291">
        <v>1012</v>
      </c>
      <c r="H6" s="291">
        <v>969</v>
      </c>
      <c r="I6" s="292">
        <v>859</v>
      </c>
      <c r="J6" s="290">
        <v>1323</v>
      </c>
      <c r="K6" s="291">
        <v>1285</v>
      </c>
      <c r="L6" s="291">
        <v>1216</v>
      </c>
      <c r="M6" s="292">
        <v>1048</v>
      </c>
      <c r="N6" s="290">
        <v>1752</v>
      </c>
      <c r="O6" s="291">
        <v>1686</v>
      </c>
      <c r="P6" s="291">
        <v>1570</v>
      </c>
      <c r="Q6" s="292">
        <v>1300</v>
      </c>
      <c r="R6" s="293">
        <v>1790</v>
      </c>
      <c r="S6" s="291">
        <v>1722</v>
      </c>
      <c r="T6" s="291">
        <v>1600</v>
      </c>
      <c r="U6" s="292">
        <v>1321</v>
      </c>
      <c r="V6" s="290">
        <v>1434</v>
      </c>
      <c r="W6" s="291">
        <v>1390</v>
      </c>
      <c r="X6" s="291">
        <v>1310</v>
      </c>
      <c r="Y6" s="292">
        <v>1116</v>
      </c>
    </row>
    <row r="7" spans="1:25" x14ac:dyDescent="0.3">
      <c r="A7" s="277" t="s">
        <v>88</v>
      </c>
      <c r="B7" s="290">
        <v>4060</v>
      </c>
      <c r="C7" s="291">
        <v>4381</v>
      </c>
      <c r="D7" s="291">
        <v>4790</v>
      </c>
      <c r="E7" s="292">
        <v>5316</v>
      </c>
      <c r="F7" s="290">
        <v>4173</v>
      </c>
      <c r="G7" s="291">
        <v>4467</v>
      </c>
      <c r="H7" s="291">
        <v>4823</v>
      </c>
      <c r="I7" s="292">
        <v>5222</v>
      </c>
      <c r="J7" s="290">
        <v>4082</v>
      </c>
      <c r="K7" s="291">
        <v>4355</v>
      </c>
      <c r="L7" s="291">
        <v>4668</v>
      </c>
      <c r="M7" s="292">
        <v>4978</v>
      </c>
      <c r="N7" s="290">
        <v>3186</v>
      </c>
      <c r="O7" s="291">
        <v>3460</v>
      </c>
      <c r="P7" s="291">
        <v>3795</v>
      </c>
      <c r="Q7" s="292">
        <v>4193</v>
      </c>
      <c r="R7" s="290">
        <v>2320</v>
      </c>
      <c r="S7" s="291">
        <v>2580</v>
      </c>
      <c r="T7" s="291">
        <v>2941</v>
      </c>
      <c r="U7" s="292">
        <v>3502</v>
      </c>
      <c r="V7" s="290">
        <v>2111</v>
      </c>
      <c r="W7" s="291">
        <v>2366</v>
      </c>
      <c r="X7" s="291">
        <v>2738</v>
      </c>
      <c r="Y7" s="292">
        <v>3371</v>
      </c>
    </row>
    <row r="8" spans="1:25" ht="15" thickBot="1" x14ac:dyDescent="0.35">
      <c r="A8" s="277" t="s">
        <v>89</v>
      </c>
      <c r="B8" s="294">
        <v>4556</v>
      </c>
      <c r="C8" s="295">
        <v>4659</v>
      </c>
      <c r="D8" s="295">
        <v>4725</v>
      </c>
      <c r="E8" s="296">
        <v>4566</v>
      </c>
      <c r="F8" s="294">
        <v>6687</v>
      </c>
      <c r="G8" s="295">
        <v>6765</v>
      </c>
      <c r="H8" s="295">
        <v>6729</v>
      </c>
      <c r="I8" s="296">
        <v>6207</v>
      </c>
      <c r="J8" s="294">
        <v>8452</v>
      </c>
      <c r="K8" s="295">
        <v>8482</v>
      </c>
      <c r="L8" s="295">
        <v>8311</v>
      </c>
      <c r="M8" s="296">
        <v>7393</v>
      </c>
      <c r="N8" s="294">
        <v>9886</v>
      </c>
      <c r="O8" s="295">
        <v>9921</v>
      </c>
      <c r="P8" s="295">
        <v>9671</v>
      </c>
      <c r="Q8" s="296">
        <v>8419</v>
      </c>
      <c r="R8" s="294">
        <v>8620</v>
      </c>
      <c r="S8" s="295">
        <v>8746</v>
      </c>
      <c r="T8" s="295">
        <v>8678</v>
      </c>
      <c r="U8" s="296">
        <v>7818</v>
      </c>
      <c r="V8" s="294">
        <v>6987</v>
      </c>
      <c r="W8" s="295">
        <v>6761</v>
      </c>
      <c r="X8" s="295">
        <v>6853</v>
      </c>
      <c r="Y8" s="296">
        <v>6482</v>
      </c>
    </row>
    <row r="9" spans="1:25" x14ac:dyDescent="0.3">
      <c r="A9" s="327"/>
      <c r="B9" s="328"/>
      <c r="C9" s="328"/>
      <c r="D9" s="328"/>
      <c r="E9" s="328"/>
      <c r="F9" s="328"/>
      <c r="G9" s="328"/>
      <c r="H9" s="328"/>
      <c r="I9" s="328"/>
      <c r="J9" s="328"/>
      <c r="K9" s="328"/>
      <c r="L9" s="328"/>
      <c r="M9" s="328"/>
      <c r="N9" s="328"/>
      <c r="O9" s="328"/>
      <c r="P9" s="328"/>
      <c r="Q9" s="328"/>
      <c r="R9" s="328"/>
      <c r="S9" s="328"/>
      <c r="T9" s="328"/>
      <c r="U9" s="328"/>
      <c r="V9" s="328"/>
      <c r="W9" s="328"/>
      <c r="X9" s="328"/>
      <c r="Y9" s="328"/>
    </row>
    <row r="10" spans="1:25" x14ac:dyDescent="0.3">
      <c r="A10" s="327"/>
      <c r="B10" s="328"/>
      <c r="C10" s="328"/>
      <c r="D10" s="328"/>
      <c r="E10" s="328"/>
      <c r="F10" s="328"/>
      <c r="G10" s="328"/>
      <c r="H10" s="328"/>
      <c r="I10" s="328"/>
      <c r="J10" s="328"/>
      <c r="K10" s="328"/>
      <c r="L10" s="328"/>
      <c r="M10" s="328"/>
      <c r="N10" s="328"/>
      <c r="O10" s="328"/>
      <c r="P10" s="328"/>
      <c r="Q10" s="328"/>
      <c r="R10" s="328"/>
      <c r="S10" s="328"/>
      <c r="T10" s="328"/>
      <c r="U10" s="328"/>
      <c r="V10" s="328"/>
      <c r="W10" s="328"/>
      <c r="X10" s="328"/>
      <c r="Y10" s="328"/>
    </row>
    <row r="11" spans="1:25" x14ac:dyDescent="0.3">
      <c r="A11" s="276" t="s">
        <v>207</v>
      </c>
      <c r="B11" s="266"/>
      <c r="C11" s="257"/>
      <c r="D11" s="267"/>
      <c r="R11" s="328"/>
      <c r="S11" s="328"/>
      <c r="T11" s="328"/>
      <c r="U11" s="328"/>
      <c r="V11" s="328"/>
      <c r="W11" s="328"/>
      <c r="X11" s="328"/>
      <c r="Y11" s="328"/>
    </row>
    <row r="12" spans="1:25" ht="15" thickBot="1" x14ac:dyDescent="0.35">
      <c r="A12" s="257" t="s">
        <v>199</v>
      </c>
      <c r="B12" s="266"/>
      <c r="C12" s="257"/>
      <c r="D12" s="267"/>
      <c r="E12" s="257"/>
      <c r="K12" s="257" t="s">
        <v>200</v>
      </c>
      <c r="L12" s="257"/>
      <c r="M12" s="257">
        <f>0.01/0.025</f>
        <v>0.39999999999999997</v>
      </c>
      <c r="R12" s="328"/>
      <c r="S12" s="328"/>
      <c r="T12" s="328"/>
      <c r="U12" s="328"/>
      <c r="V12" s="328"/>
      <c r="W12" s="328"/>
      <c r="X12" s="328"/>
      <c r="Y12" s="328"/>
    </row>
    <row r="13" spans="1:25" x14ac:dyDescent="0.3">
      <c r="A13" s="273" t="s">
        <v>85</v>
      </c>
      <c r="B13" s="259">
        <v>2.5000000000000001E-3</v>
      </c>
      <c r="C13" s="259">
        <v>5.0000000000000001E-3</v>
      </c>
      <c r="D13" s="259">
        <v>6.0000000000000001E-3</v>
      </c>
      <c r="E13" s="259">
        <v>7.0000000000000001E-3</v>
      </c>
      <c r="F13" s="259">
        <v>7.1000000000000004E-3</v>
      </c>
      <c r="G13" s="259">
        <v>7.1999999999999998E-3</v>
      </c>
      <c r="H13" s="259">
        <v>7.4999999999999997E-3</v>
      </c>
      <c r="I13" s="259">
        <v>8.0000000000000002E-3</v>
      </c>
      <c r="J13" s="269">
        <v>0.01</v>
      </c>
      <c r="K13" s="259">
        <v>1.0999999999999999E-2</v>
      </c>
      <c r="L13" s="259">
        <v>1.2E-2</v>
      </c>
      <c r="M13" s="259">
        <v>1.4E-2</v>
      </c>
      <c r="N13" s="259">
        <v>1.4999999999999999E-2</v>
      </c>
      <c r="O13" s="259">
        <v>1.6E-2</v>
      </c>
      <c r="P13" s="259">
        <v>1.7500000000000002E-2</v>
      </c>
      <c r="Q13" s="260">
        <v>0.02</v>
      </c>
      <c r="R13" s="328"/>
      <c r="S13" s="328"/>
      <c r="T13" s="328"/>
      <c r="U13" s="328"/>
      <c r="V13" s="328"/>
      <c r="W13" s="328"/>
      <c r="X13" s="328"/>
      <c r="Y13" s="328"/>
    </row>
    <row r="14" spans="1:25" x14ac:dyDescent="0.3">
      <c r="A14" s="335" t="s">
        <v>198</v>
      </c>
      <c r="B14" s="332">
        <v>2.39</v>
      </c>
      <c r="C14" s="332">
        <v>6.68</v>
      </c>
      <c r="D14" s="332">
        <v>8.5399999999999991</v>
      </c>
      <c r="E14" s="332">
        <v>10.4</v>
      </c>
      <c r="F14" s="332">
        <v>10.5</v>
      </c>
      <c r="G14" s="332">
        <v>10.7</v>
      </c>
      <c r="H14" s="332">
        <v>11.3</v>
      </c>
      <c r="I14" s="332">
        <v>12.1</v>
      </c>
      <c r="J14" s="270">
        <v>15.2</v>
      </c>
      <c r="K14" s="332">
        <v>16.5</v>
      </c>
      <c r="L14" s="332">
        <v>17.600000000000001</v>
      </c>
      <c r="M14" s="332">
        <v>18.899999999999999</v>
      </c>
      <c r="N14" s="333">
        <v>19.100000000000001</v>
      </c>
      <c r="O14" s="332">
        <v>18.899999999999999</v>
      </c>
      <c r="P14" s="332">
        <v>18.100000000000001</v>
      </c>
      <c r="Q14" s="334">
        <v>14.8</v>
      </c>
      <c r="R14" s="328"/>
      <c r="S14" s="328"/>
      <c r="T14" s="328"/>
      <c r="U14" s="328"/>
      <c r="V14" s="328"/>
      <c r="W14" s="328"/>
      <c r="X14" s="328"/>
      <c r="Y14" s="328"/>
    </row>
    <row r="15" spans="1:25" x14ac:dyDescent="0.3">
      <c r="A15" s="336" t="s">
        <v>86</v>
      </c>
      <c r="B15" s="337">
        <v>1390</v>
      </c>
      <c r="C15" s="337">
        <v>1722</v>
      </c>
      <c r="D15" s="337">
        <v>1765</v>
      </c>
      <c r="E15" s="337">
        <v>1777</v>
      </c>
      <c r="F15" s="271">
        <v>1777</v>
      </c>
      <c r="G15" s="337">
        <v>1776</v>
      </c>
      <c r="H15" s="337">
        <v>1774</v>
      </c>
      <c r="I15" s="337">
        <v>1765</v>
      </c>
      <c r="J15" s="271">
        <v>1686</v>
      </c>
      <c r="K15" s="337">
        <v>1626</v>
      </c>
      <c r="L15" s="337">
        <v>1554</v>
      </c>
      <c r="M15" s="337">
        <v>1383</v>
      </c>
      <c r="N15" s="337">
        <v>1285</v>
      </c>
      <c r="O15" s="337">
        <v>1181</v>
      </c>
      <c r="P15" s="337">
        <v>1012</v>
      </c>
      <c r="Q15" s="338">
        <v>704</v>
      </c>
      <c r="R15" s="328"/>
      <c r="S15" s="328"/>
      <c r="T15" s="328"/>
      <c r="U15" s="328"/>
      <c r="V15" s="328"/>
      <c r="W15" s="328"/>
      <c r="X15" s="328"/>
      <c r="Y15" s="328"/>
    </row>
    <row r="16" spans="1:25" x14ac:dyDescent="0.3">
      <c r="A16" s="274" t="s">
        <v>88</v>
      </c>
      <c r="B16" s="261">
        <v>5621</v>
      </c>
      <c r="C16" s="261">
        <v>4702</v>
      </c>
      <c r="D16" s="261">
        <v>4483</v>
      </c>
      <c r="E16" s="261">
        <v>4376</v>
      </c>
      <c r="F16" s="261">
        <v>4365</v>
      </c>
      <c r="G16" s="261">
        <v>4345</v>
      </c>
      <c r="H16" s="261">
        <v>4381</v>
      </c>
      <c r="I16" s="261">
        <v>4274</v>
      </c>
      <c r="J16" s="271">
        <v>4170</v>
      </c>
      <c r="K16" s="261">
        <v>3398</v>
      </c>
      <c r="L16" s="261">
        <v>4179</v>
      </c>
      <c r="M16" s="261">
        <v>4267</v>
      </c>
      <c r="N16" s="261">
        <v>4411</v>
      </c>
      <c r="O16" s="261">
        <v>4489</v>
      </c>
      <c r="P16" s="261">
        <v>4682</v>
      </c>
      <c r="Q16" s="262">
        <v>5381</v>
      </c>
      <c r="R16" s="328"/>
      <c r="S16" s="328"/>
      <c r="T16" s="328"/>
      <c r="U16" s="328"/>
      <c r="V16" s="328"/>
      <c r="W16" s="328"/>
      <c r="X16" s="328"/>
      <c r="Y16" s="328"/>
    </row>
    <row r="17" spans="1:25" ht="15" thickBot="1" x14ac:dyDescent="0.35">
      <c r="A17" s="275" t="s">
        <v>91</v>
      </c>
      <c r="B17" s="263">
        <v>10420</v>
      </c>
      <c r="C17" s="263">
        <v>11806</v>
      </c>
      <c r="D17" s="263">
        <v>11817</v>
      </c>
      <c r="E17" s="263">
        <v>11755</v>
      </c>
      <c r="F17" s="263">
        <v>11739</v>
      </c>
      <c r="G17" s="263">
        <v>11709</v>
      </c>
      <c r="H17" s="263">
        <v>11740</v>
      </c>
      <c r="I17" s="263">
        <v>11539</v>
      </c>
      <c r="J17" s="272">
        <v>10501</v>
      </c>
      <c r="K17" s="263">
        <v>9830</v>
      </c>
      <c r="L17" s="263">
        <v>10049</v>
      </c>
      <c r="M17" s="263">
        <v>9035</v>
      </c>
      <c r="N17" s="263">
        <v>8536</v>
      </c>
      <c r="O17" s="263">
        <v>7911</v>
      </c>
      <c r="P17" s="263">
        <v>6926</v>
      </c>
      <c r="Q17" s="264">
        <v>5163</v>
      </c>
      <c r="R17" s="328"/>
      <c r="S17" s="328"/>
      <c r="T17" s="328"/>
      <c r="U17" s="328"/>
      <c r="V17" s="328"/>
      <c r="W17" s="328"/>
      <c r="X17" s="328"/>
      <c r="Y17" s="328"/>
    </row>
    <row r="18" spans="1:25" x14ac:dyDescent="0.3">
      <c r="A18" s="327" t="s">
        <v>201</v>
      </c>
      <c r="B18" s="341">
        <f>B13/0.025</f>
        <v>9.9999999999999992E-2</v>
      </c>
      <c r="C18" s="341">
        <f t="shared" ref="C18:Q18" si="0">C13/0.025</f>
        <v>0.19999999999999998</v>
      </c>
      <c r="D18" s="341">
        <f t="shared" si="0"/>
        <v>0.24</v>
      </c>
      <c r="E18" s="341">
        <f t="shared" si="0"/>
        <v>0.27999999999999997</v>
      </c>
      <c r="F18" s="341">
        <f t="shared" si="0"/>
        <v>0.28399999999999997</v>
      </c>
      <c r="G18" s="341">
        <f t="shared" si="0"/>
        <v>0.28799999999999998</v>
      </c>
      <c r="H18" s="341">
        <f t="shared" si="0"/>
        <v>0.3</v>
      </c>
      <c r="I18" s="341">
        <f t="shared" si="0"/>
        <v>0.32</v>
      </c>
      <c r="J18" s="341">
        <f t="shared" si="0"/>
        <v>0.39999999999999997</v>
      </c>
      <c r="K18" s="341">
        <f t="shared" si="0"/>
        <v>0.43999999999999995</v>
      </c>
      <c r="L18" s="341">
        <f t="shared" si="0"/>
        <v>0.48</v>
      </c>
      <c r="M18" s="341">
        <f t="shared" si="0"/>
        <v>0.55999999999999994</v>
      </c>
      <c r="N18" s="341">
        <f t="shared" si="0"/>
        <v>0.6</v>
      </c>
      <c r="O18" s="341">
        <f t="shared" si="0"/>
        <v>0.64</v>
      </c>
      <c r="P18" s="341">
        <f t="shared" si="0"/>
        <v>0.70000000000000007</v>
      </c>
      <c r="Q18" s="341">
        <f t="shared" si="0"/>
        <v>0.79999999999999993</v>
      </c>
      <c r="R18" s="328"/>
      <c r="S18" s="328"/>
      <c r="T18" s="328"/>
      <c r="U18" s="328"/>
      <c r="V18" s="328"/>
      <c r="W18" s="328"/>
      <c r="X18" s="328"/>
      <c r="Y18" s="328"/>
    </row>
    <row r="19" spans="1:25" x14ac:dyDescent="0.3">
      <c r="A19" s="327"/>
      <c r="B19" s="328"/>
      <c r="C19" s="328"/>
      <c r="D19" s="328"/>
      <c r="E19" s="328"/>
      <c r="F19" s="328"/>
      <c r="G19" s="328"/>
      <c r="H19" s="328"/>
      <c r="I19" s="328"/>
      <c r="J19" s="328"/>
      <c r="K19" s="328"/>
      <c r="L19" s="328"/>
      <c r="M19" s="328"/>
      <c r="N19" s="328"/>
      <c r="O19" s="328"/>
      <c r="P19" s="328"/>
      <c r="Q19" s="328"/>
      <c r="R19" s="328"/>
      <c r="S19" s="328"/>
      <c r="T19" s="328"/>
      <c r="U19" s="328"/>
      <c r="V19" s="328"/>
      <c r="W19" s="328"/>
      <c r="X19" s="328"/>
      <c r="Y19" s="328"/>
    </row>
    <row r="20" spans="1:25" x14ac:dyDescent="0.3">
      <c r="A20" s="327"/>
      <c r="B20" s="328"/>
      <c r="C20" s="328"/>
      <c r="D20" s="328"/>
      <c r="E20" s="328"/>
      <c r="F20" s="328"/>
      <c r="G20" s="328"/>
      <c r="H20" s="328"/>
      <c r="I20" s="328"/>
      <c r="J20" s="328"/>
      <c r="K20" s="328"/>
      <c r="L20" s="328"/>
      <c r="M20" s="328"/>
      <c r="N20" s="328"/>
      <c r="O20" s="328"/>
      <c r="P20" s="328"/>
      <c r="Q20" s="328"/>
      <c r="R20" s="328"/>
      <c r="S20" s="328"/>
      <c r="T20" s="328"/>
      <c r="U20" s="328"/>
      <c r="V20" s="328"/>
      <c r="W20" s="328"/>
      <c r="X20" s="328"/>
      <c r="Y20" s="328"/>
    </row>
    <row r="21" spans="1:25" x14ac:dyDescent="0.3">
      <c r="A21" s="327"/>
      <c r="B21" s="328"/>
      <c r="C21" s="328"/>
      <c r="D21" s="328"/>
      <c r="E21" s="328"/>
      <c r="F21" s="328"/>
      <c r="G21" s="328"/>
      <c r="H21" s="328"/>
      <c r="I21" s="328"/>
      <c r="J21" s="328"/>
      <c r="K21" s="328"/>
      <c r="L21" s="328"/>
      <c r="M21" s="328"/>
      <c r="N21" s="328"/>
      <c r="O21" s="328"/>
      <c r="P21" s="328"/>
      <c r="Q21" s="328"/>
      <c r="R21" s="328"/>
      <c r="S21" s="328"/>
      <c r="T21" s="328"/>
      <c r="U21" s="328"/>
      <c r="V21" s="328"/>
      <c r="W21" s="328"/>
      <c r="X21" s="328"/>
      <c r="Y21" s="328"/>
    </row>
    <row r="22" spans="1:25" x14ac:dyDescent="0.3">
      <c r="A22" s="327"/>
      <c r="B22" s="328"/>
      <c r="C22" s="328"/>
      <c r="D22" s="328"/>
      <c r="E22" s="328"/>
      <c r="F22" s="328"/>
      <c r="G22" s="328"/>
      <c r="H22" s="328"/>
      <c r="I22" s="328"/>
      <c r="J22" s="328"/>
      <c r="K22" s="328"/>
      <c r="L22" s="328"/>
      <c r="M22" s="328"/>
      <c r="N22" s="328"/>
      <c r="O22" s="328"/>
      <c r="P22" s="328"/>
      <c r="Q22" s="328"/>
      <c r="R22" s="328"/>
      <c r="S22" s="328"/>
      <c r="T22" s="328"/>
      <c r="U22" s="328"/>
      <c r="V22" s="328"/>
      <c r="W22" s="328"/>
      <c r="X22" s="328"/>
      <c r="Y22" s="328"/>
    </row>
    <row r="23" spans="1:25" x14ac:dyDescent="0.3">
      <c r="A23" s="327"/>
      <c r="B23" s="328"/>
      <c r="C23" s="328"/>
      <c r="D23" s="328"/>
      <c r="E23" s="328"/>
      <c r="F23" s="328"/>
      <c r="G23" s="328"/>
      <c r="H23" s="328"/>
      <c r="I23" s="328"/>
      <c r="J23" s="328"/>
      <c r="K23" s="328"/>
      <c r="L23" s="328"/>
      <c r="M23" s="328"/>
      <c r="N23" s="328"/>
      <c r="O23" s="328"/>
      <c r="P23" s="328"/>
      <c r="Q23" s="328"/>
      <c r="R23" s="328"/>
      <c r="S23" s="328"/>
      <c r="T23" s="328"/>
      <c r="U23" s="328"/>
      <c r="V23" s="328"/>
      <c r="W23" s="328"/>
      <c r="X23" s="328"/>
      <c r="Y23" s="328"/>
    </row>
    <row r="24" spans="1:25" x14ac:dyDescent="0.3">
      <c r="A24" s="327"/>
      <c r="B24" s="328"/>
      <c r="C24" s="328"/>
      <c r="D24" s="328"/>
      <c r="E24" s="328"/>
      <c r="F24" s="328"/>
      <c r="G24" s="328"/>
      <c r="H24" s="328"/>
      <c r="I24" s="328"/>
      <c r="J24" s="328"/>
      <c r="K24" s="328"/>
      <c r="L24" s="328"/>
      <c r="M24" s="328"/>
      <c r="N24" s="328"/>
      <c r="O24" s="328"/>
      <c r="P24" s="328"/>
      <c r="Q24" s="328"/>
      <c r="R24" s="328"/>
      <c r="S24" s="328"/>
      <c r="T24" s="328"/>
      <c r="U24" s="328"/>
      <c r="V24" s="328"/>
      <c r="W24" s="328"/>
      <c r="X24" s="328"/>
      <c r="Y24" s="328"/>
    </row>
    <row r="25" spans="1:25" x14ac:dyDescent="0.3">
      <c r="A25" s="327"/>
      <c r="B25" s="328"/>
      <c r="C25" s="328"/>
      <c r="D25" s="328"/>
      <c r="E25" s="328"/>
      <c r="F25" s="328"/>
      <c r="G25" s="328"/>
      <c r="H25" s="328"/>
      <c r="I25" s="328"/>
      <c r="J25" s="328"/>
      <c r="K25" s="328"/>
      <c r="L25" s="328"/>
      <c r="M25" s="328"/>
      <c r="N25" s="328"/>
      <c r="O25" s="328"/>
      <c r="P25" s="328"/>
      <c r="Q25" s="328"/>
      <c r="R25" s="328"/>
      <c r="S25" s="328"/>
      <c r="T25" s="328"/>
      <c r="U25" s="328"/>
      <c r="V25" s="328"/>
      <c r="W25" s="328"/>
      <c r="X25" s="328"/>
      <c r="Y25" s="328"/>
    </row>
    <row r="26" spans="1:25" x14ac:dyDescent="0.3">
      <c r="A26" s="327"/>
      <c r="B26" s="328"/>
      <c r="C26" s="328"/>
      <c r="D26" s="328"/>
      <c r="E26" s="328"/>
      <c r="F26" s="328"/>
      <c r="G26" s="328"/>
      <c r="H26" s="328"/>
      <c r="I26" s="328"/>
      <c r="J26" s="328"/>
      <c r="K26" s="328"/>
      <c r="L26" s="328"/>
      <c r="M26" s="328"/>
      <c r="N26" s="328"/>
      <c r="O26" s="328"/>
      <c r="P26" s="328"/>
      <c r="Q26" s="328"/>
      <c r="R26" s="328"/>
      <c r="S26" s="328"/>
      <c r="T26" s="328"/>
      <c r="U26" s="328"/>
      <c r="V26" s="328"/>
      <c r="W26" s="328"/>
      <c r="X26" s="328"/>
      <c r="Y26" s="328"/>
    </row>
    <row r="27" spans="1:25" x14ac:dyDescent="0.3">
      <c r="A27" s="327"/>
      <c r="B27" s="328"/>
      <c r="C27" s="328"/>
      <c r="D27" s="328"/>
      <c r="E27" s="328"/>
      <c r="F27" s="328"/>
      <c r="G27" s="328"/>
      <c r="H27" s="328"/>
      <c r="I27" s="328"/>
      <c r="J27" s="328"/>
      <c r="K27" s="328"/>
      <c r="L27" s="328"/>
      <c r="M27" s="328"/>
      <c r="N27" s="328"/>
      <c r="O27" s="328"/>
      <c r="P27" s="328"/>
      <c r="Q27" s="328"/>
      <c r="R27" s="328"/>
      <c r="S27" s="328"/>
      <c r="T27" s="328"/>
      <c r="U27" s="328"/>
      <c r="V27" s="328"/>
      <c r="W27" s="328"/>
      <c r="X27" s="328"/>
      <c r="Y27" s="328"/>
    </row>
    <row r="28" spans="1:25" x14ac:dyDescent="0.3">
      <c r="A28" s="327"/>
      <c r="B28" s="328"/>
      <c r="C28" s="328"/>
      <c r="D28" s="328"/>
      <c r="E28" s="328"/>
      <c r="F28" s="328"/>
      <c r="G28" s="328"/>
      <c r="H28" s="328"/>
      <c r="I28" s="328"/>
      <c r="J28" s="328"/>
      <c r="K28" s="328"/>
      <c r="L28" s="328"/>
      <c r="M28" s="328"/>
      <c r="N28" s="328"/>
      <c r="O28" s="328"/>
      <c r="P28" s="328"/>
      <c r="Q28" s="328"/>
      <c r="R28" s="328"/>
      <c r="S28" s="328"/>
      <c r="T28" s="328"/>
      <c r="U28" s="328"/>
      <c r="V28" s="328"/>
      <c r="W28" s="328"/>
      <c r="X28" s="328"/>
      <c r="Y28" s="328"/>
    </row>
    <row r="29" spans="1:25" x14ac:dyDescent="0.3">
      <c r="A29" s="327"/>
      <c r="B29" s="328"/>
      <c r="C29" s="328"/>
      <c r="D29" s="328"/>
      <c r="E29" s="328"/>
      <c r="F29" s="328"/>
      <c r="G29" s="328"/>
      <c r="H29" s="328"/>
      <c r="I29" s="328"/>
      <c r="J29" s="328"/>
      <c r="K29" s="328"/>
      <c r="L29" s="328"/>
      <c r="M29" s="328"/>
      <c r="N29" s="328"/>
      <c r="O29" s="328"/>
      <c r="P29" s="328"/>
      <c r="Q29" s="328"/>
      <c r="R29" s="328"/>
      <c r="S29" s="328"/>
      <c r="T29" s="328"/>
      <c r="U29" s="328"/>
      <c r="V29" s="328"/>
      <c r="W29" s="328"/>
      <c r="X29" s="328"/>
      <c r="Y29" s="328"/>
    </row>
    <row r="30" spans="1:25" x14ac:dyDescent="0.3">
      <c r="A30" s="327"/>
      <c r="B30" s="328"/>
      <c r="C30" s="328"/>
      <c r="D30" s="328"/>
      <c r="E30" s="328"/>
      <c r="F30" s="328"/>
      <c r="G30" s="328"/>
      <c r="H30" s="328"/>
      <c r="I30" s="328"/>
      <c r="J30" s="328"/>
      <c r="K30" s="328"/>
      <c r="L30" s="328"/>
      <c r="M30" s="328"/>
      <c r="N30" s="328"/>
      <c r="O30" s="328"/>
      <c r="P30" s="328"/>
      <c r="Q30" s="328"/>
      <c r="R30" s="328"/>
      <c r="S30" s="328"/>
      <c r="T30" s="328"/>
      <c r="U30" s="328"/>
      <c r="V30" s="328"/>
      <c r="W30" s="328"/>
      <c r="X30" s="328"/>
      <c r="Y30" s="328"/>
    </row>
    <row r="31" spans="1:25" x14ac:dyDescent="0.3">
      <c r="A31" s="327"/>
      <c r="B31" s="328"/>
      <c r="C31" s="328"/>
      <c r="D31" s="328"/>
      <c r="E31" s="328"/>
      <c r="F31" s="328"/>
      <c r="G31" s="328"/>
      <c r="H31" s="328"/>
      <c r="I31" s="328"/>
      <c r="J31" s="328"/>
      <c r="K31" s="328"/>
      <c r="L31" s="328"/>
      <c r="M31" s="328"/>
      <c r="N31" s="328"/>
      <c r="O31" s="328"/>
      <c r="P31" s="328"/>
      <c r="Q31" s="328"/>
      <c r="R31" s="328"/>
      <c r="S31" s="328"/>
      <c r="T31" s="328"/>
      <c r="U31" s="328"/>
      <c r="V31" s="328"/>
      <c r="W31" s="328"/>
      <c r="X31" s="328"/>
      <c r="Y31" s="328"/>
    </row>
    <row r="32" spans="1:25" x14ac:dyDescent="0.3">
      <c r="A32" s="327"/>
      <c r="B32" s="328"/>
      <c r="C32" s="328"/>
      <c r="D32" s="328"/>
      <c r="E32" s="328"/>
      <c r="F32" s="328"/>
      <c r="G32" s="328"/>
      <c r="H32" s="328"/>
      <c r="I32" s="328"/>
      <c r="J32" s="328"/>
      <c r="K32" s="328"/>
      <c r="L32" s="328"/>
      <c r="M32" s="328"/>
      <c r="N32" s="328"/>
      <c r="O32" s="328"/>
      <c r="P32" s="328"/>
      <c r="Q32" s="328"/>
      <c r="R32" s="328"/>
      <c r="S32" s="328"/>
      <c r="T32" s="328"/>
      <c r="U32" s="328"/>
      <c r="V32" s="328"/>
      <c r="W32" s="328"/>
      <c r="X32" s="328"/>
      <c r="Y32" s="328"/>
    </row>
    <row r="33" spans="1:25" x14ac:dyDescent="0.3">
      <c r="A33" s="327"/>
      <c r="B33" s="328"/>
      <c r="C33" s="328"/>
      <c r="D33" s="328"/>
      <c r="E33" s="328"/>
      <c r="F33" s="328"/>
      <c r="G33" s="328"/>
      <c r="H33" s="328"/>
      <c r="I33" s="328"/>
      <c r="J33" s="328"/>
      <c r="K33" s="328"/>
      <c r="L33" s="328"/>
      <c r="M33" s="328"/>
      <c r="N33" s="328"/>
      <c r="O33" s="328"/>
      <c r="P33" s="328"/>
      <c r="Q33" s="328"/>
      <c r="R33" s="328"/>
      <c r="S33" s="328"/>
      <c r="T33" s="328"/>
      <c r="U33" s="328"/>
      <c r="V33" s="328"/>
      <c r="W33" s="328"/>
      <c r="X33" s="328"/>
      <c r="Y33" s="328"/>
    </row>
    <row r="34" spans="1:25" x14ac:dyDescent="0.3">
      <c r="A34" s="327"/>
      <c r="B34" s="328"/>
      <c r="C34" s="328"/>
      <c r="D34" s="328"/>
      <c r="E34" s="328"/>
      <c r="F34" s="328"/>
      <c r="G34" s="328"/>
      <c r="H34" s="328"/>
      <c r="I34" s="328"/>
      <c r="J34" s="328"/>
      <c r="K34" s="328"/>
      <c r="L34" s="328"/>
      <c r="M34" s="328"/>
      <c r="N34" s="328"/>
      <c r="O34" s="328"/>
      <c r="P34" s="328"/>
      <c r="Q34" s="328"/>
      <c r="R34" s="328"/>
      <c r="S34" s="328"/>
      <c r="T34" s="328"/>
      <c r="U34" s="328"/>
      <c r="V34" s="328"/>
      <c r="W34" s="328"/>
      <c r="X34" s="328"/>
      <c r="Y34" s="328"/>
    </row>
    <row r="35" spans="1:25" x14ac:dyDescent="0.3">
      <c r="A35" s="327"/>
      <c r="B35" s="328"/>
      <c r="C35" s="328"/>
      <c r="D35" s="328"/>
      <c r="E35" s="328"/>
      <c r="F35" s="328"/>
      <c r="G35" s="328"/>
      <c r="H35" s="328"/>
      <c r="I35" s="328"/>
      <c r="J35" s="328"/>
      <c r="K35" s="328"/>
      <c r="L35" s="328"/>
      <c r="M35" s="328"/>
      <c r="N35" s="328"/>
      <c r="O35" s="328"/>
      <c r="P35" s="328"/>
      <c r="Q35" s="328"/>
      <c r="R35" s="328"/>
      <c r="S35" s="328"/>
      <c r="T35" s="328"/>
      <c r="U35" s="328"/>
      <c r="V35" s="328"/>
      <c r="W35" s="328"/>
      <c r="X35" s="328"/>
      <c r="Y35" s="328"/>
    </row>
    <row r="36" spans="1:25" x14ac:dyDescent="0.3">
      <c r="A36" s="327"/>
      <c r="B36" s="328"/>
      <c r="C36" s="328"/>
      <c r="D36" s="328"/>
      <c r="E36" s="328"/>
      <c r="F36" s="328"/>
      <c r="G36" s="328"/>
      <c r="H36" s="328"/>
      <c r="I36" s="328"/>
      <c r="J36" s="328"/>
      <c r="K36" s="328"/>
      <c r="L36" s="328"/>
      <c r="M36" s="328"/>
      <c r="N36" s="328"/>
      <c r="O36" s="328"/>
      <c r="P36" s="328"/>
      <c r="Q36" s="328"/>
      <c r="R36" s="328"/>
      <c r="S36" s="328"/>
      <c r="T36" s="328"/>
      <c r="U36" s="328"/>
      <c r="V36" s="328"/>
      <c r="W36" s="328"/>
      <c r="X36" s="328"/>
      <c r="Y36" s="328"/>
    </row>
    <row r="37" spans="1:25" x14ac:dyDescent="0.3">
      <c r="A37" s="327"/>
      <c r="B37" s="328"/>
      <c r="C37" s="328"/>
      <c r="D37" s="328"/>
      <c r="E37" s="328"/>
      <c r="F37" s="328"/>
      <c r="G37" s="328"/>
      <c r="H37" s="328"/>
      <c r="I37" s="328"/>
      <c r="J37" s="328"/>
      <c r="K37" s="328"/>
      <c r="L37" s="328"/>
      <c r="M37" s="328"/>
      <c r="N37" s="328"/>
      <c r="O37" s="328"/>
      <c r="P37" s="328"/>
      <c r="Q37" s="328"/>
      <c r="R37" s="328"/>
      <c r="S37" s="328"/>
      <c r="T37" s="328"/>
      <c r="U37" s="328"/>
      <c r="V37" s="328"/>
      <c r="W37" s="328"/>
      <c r="X37" s="328"/>
      <c r="Y37" s="328"/>
    </row>
    <row r="38" spans="1:25" x14ac:dyDescent="0.3">
      <c r="A38" s="327"/>
      <c r="B38" s="328"/>
      <c r="C38" s="328"/>
      <c r="D38" s="328"/>
      <c r="E38" s="328"/>
      <c r="F38" s="328"/>
      <c r="G38" s="328"/>
      <c r="H38" s="328"/>
      <c r="I38" s="328"/>
      <c r="J38" s="328"/>
      <c r="K38" s="328"/>
      <c r="L38" s="328"/>
      <c r="M38" s="328"/>
      <c r="N38" s="328"/>
      <c r="O38" s="328"/>
      <c r="P38" s="328"/>
      <c r="Q38" s="328"/>
      <c r="R38" s="328"/>
      <c r="S38" s="328"/>
      <c r="T38" s="328"/>
      <c r="U38" s="328"/>
      <c r="V38" s="328"/>
      <c r="W38" s="328"/>
      <c r="X38" s="328"/>
      <c r="Y38" s="328"/>
    </row>
    <row r="39" spans="1:25" x14ac:dyDescent="0.3">
      <c r="A39" s="327"/>
      <c r="B39" s="328"/>
      <c r="C39" s="328"/>
      <c r="D39" s="328"/>
      <c r="E39" s="328"/>
      <c r="F39" s="328"/>
      <c r="G39" s="328"/>
      <c r="H39" s="328"/>
      <c r="I39" s="328"/>
      <c r="J39" s="328"/>
      <c r="K39" s="328"/>
      <c r="L39" s="328"/>
      <c r="M39" s="328"/>
      <c r="N39" s="328"/>
      <c r="O39" s="328"/>
      <c r="P39" s="328"/>
      <c r="Q39" s="328"/>
      <c r="R39" s="328"/>
      <c r="S39" s="328"/>
      <c r="T39" s="328"/>
      <c r="U39" s="328"/>
      <c r="V39" s="328"/>
      <c r="W39" s="328"/>
      <c r="X39" s="328"/>
      <c r="Y39" s="328"/>
    </row>
    <row r="40" spans="1:25" x14ac:dyDescent="0.3">
      <c r="A40" s="268"/>
      <c r="B40" s="258"/>
      <c r="C40" s="258"/>
      <c r="D40" s="258"/>
      <c r="E40" s="258"/>
      <c r="F40" s="258"/>
      <c r="G40" s="258"/>
      <c r="H40" s="258"/>
      <c r="I40" s="258"/>
      <c r="J40" s="258"/>
      <c r="K40" s="258"/>
      <c r="L40" s="258"/>
      <c r="M40" s="258"/>
      <c r="N40" s="258"/>
      <c r="O40" s="258"/>
      <c r="P40" s="258"/>
      <c r="Q40" s="258"/>
    </row>
    <row r="41" spans="1:25" x14ac:dyDescent="0.3">
      <c r="A41" s="276" t="s">
        <v>197</v>
      </c>
      <c r="B41" s="266"/>
      <c r="C41" s="257"/>
      <c r="D41" s="267"/>
    </row>
    <row r="42" spans="1:25" ht="15" thickBot="1" x14ac:dyDescent="0.35">
      <c r="A42" s="257" t="s">
        <v>199</v>
      </c>
      <c r="B42" s="266"/>
      <c r="C42" s="257"/>
      <c r="D42" s="267"/>
      <c r="E42" s="257"/>
    </row>
    <row r="43" spans="1:25" x14ac:dyDescent="0.3">
      <c r="A43" s="273" t="s">
        <v>85</v>
      </c>
      <c r="B43" s="259">
        <v>2.5000000000000001E-3</v>
      </c>
      <c r="C43" s="259">
        <v>5.0000000000000001E-3</v>
      </c>
      <c r="D43" s="259">
        <v>6.0000000000000001E-3</v>
      </c>
      <c r="E43" s="259">
        <v>7.0000000000000001E-3</v>
      </c>
      <c r="F43" s="259">
        <v>7.1000000000000004E-3</v>
      </c>
      <c r="G43" s="259">
        <v>7.1999999999999998E-3</v>
      </c>
      <c r="H43" s="259">
        <v>7.4999999999999997E-3</v>
      </c>
      <c r="I43" s="259">
        <v>8.0000000000000002E-3</v>
      </c>
      <c r="J43" s="269">
        <v>0.01</v>
      </c>
      <c r="K43" s="259">
        <v>1.0999999999999999E-2</v>
      </c>
      <c r="L43" s="259">
        <v>1.2E-2</v>
      </c>
      <c r="M43" s="259">
        <v>1.4E-2</v>
      </c>
      <c r="N43" s="259">
        <v>1.4999999999999999E-2</v>
      </c>
      <c r="O43" s="259">
        <v>1.6E-2</v>
      </c>
      <c r="P43" s="259">
        <v>1.7500000000000002E-2</v>
      </c>
      <c r="Q43" s="260">
        <v>0.02</v>
      </c>
    </row>
    <row r="44" spans="1:25" x14ac:dyDescent="0.3">
      <c r="A44" s="335" t="s">
        <v>198</v>
      </c>
      <c r="B44" s="332">
        <v>3.2</v>
      </c>
      <c r="C44" s="332">
        <v>8.9</v>
      </c>
      <c r="D44" s="332">
        <v>11.4</v>
      </c>
      <c r="E44" s="332">
        <v>13.9</v>
      </c>
      <c r="F44" s="332">
        <v>14.1</v>
      </c>
      <c r="G44" s="332">
        <v>14.3</v>
      </c>
      <c r="H44" s="332">
        <v>15</v>
      </c>
      <c r="I44" s="332">
        <v>16.2</v>
      </c>
      <c r="J44" s="270">
        <v>20.399999999999999</v>
      </c>
      <c r="K44" s="332">
        <v>22.1</v>
      </c>
      <c r="L44" s="332">
        <v>23.5</v>
      </c>
      <c r="M44" s="332">
        <v>25.2</v>
      </c>
      <c r="N44" s="333">
        <v>25.5</v>
      </c>
      <c r="O44" s="332">
        <v>25.3</v>
      </c>
      <c r="P44" s="332">
        <v>24.2</v>
      </c>
      <c r="Q44" s="334">
        <v>19.7</v>
      </c>
    </row>
    <row r="45" spans="1:25" x14ac:dyDescent="0.3">
      <c r="A45" s="336" t="s">
        <v>86</v>
      </c>
      <c r="B45" s="337">
        <v>1434</v>
      </c>
      <c r="C45" s="337">
        <v>1790</v>
      </c>
      <c r="D45" s="337">
        <v>1836</v>
      </c>
      <c r="E45" s="337">
        <v>1849</v>
      </c>
      <c r="F45" s="271">
        <v>1849</v>
      </c>
      <c r="G45" s="337">
        <v>1849</v>
      </c>
      <c r="H45" s="337">
        <v>1846</v>
      </c>
      <c r="I45" s="337">
        <v>1836</v>
      </c>
      <c r="J45" s="271">
        <v>1752</v>
      </c>
      <c r="K45" s="337">
        <v>1687</v>
      </c>
      <c r="L45" s="337">
        <v>1610</v>
      </c>
      <c r="M45" s="337">
        <v>1426</v>
      </c>
      <c r="N45" s="337">
        <v>1323</v>
      </c>
      <c r="O45" s="337">
        <v>1212</v>
      </c>
      <c r="P45" s="337">
        <v>1035</v>
      </c>
      <c r="Q45" s="338">
        <v>715</v>
      </c>
    </row>
    <row r="46" spans="1:25" x14ac:dyDescent="0.3">
      <c r="A46" s="274" t="s">
        <v>88</v>
      </c>
      <c r="B46" s="261">
        <v>5324</v>
      </c>
      <c r="C46" s="261">
        <v>4398</v>
      </c>
      <c r="D46" s="261">
        <v>4222</v>
      </c>
      <c r="E46" s="261">
        <v>4099</v>
      </c>
      <c r="F46" s="261">
        <v>4089</v>
      </c>
      <c r="G46" s="261">
        <v>4079</v>
      </c>
      <c r="H46" s="261">
        <v>4052</v>
      </c>
      <c r="I46" s="261">
        <v>4013</v>
      </c>
      <c r="J46" s="271">
        <v>3924</v>
      </c>
      <c r="K46" s="261">
        <v>3912</v>
      </c>
      <c r="L46" s="261">
        <v>3921</v>
      </c>
      <c r="M46" s="261">
        <v>4001</v>
      </c>
      <c r="N46" s="261">
        <v>4075</v>
      </c>
      <c r="O46" s="261">
        <v>4177</v>
      </c>
      <c r="P46" s="261">
        <v>4396</v>
      </c>
      <c r="Q46" s="262">
        <v>5060</v>
      </c>
    </row>
    <row r="47" spans="1:25" ht="15" thickBot="1" x14ac:dyDescent="0.35">
      <c r="A47" s="275" t="s">
        <v>91</v>
      </c>
      <c r="B47" s="263">
        <v>10462</v>
      </c>
      <c r="C47" s="263">
        <v>11867</v>
      </c>
      <c r="D47" s="263">
        <v>11932</v>
      </c>
      <c r="E47" s="263">
        <v>11840</v>
      </c>
      <c r="F47" s="263">
        <v>11824</v>
      </c>
      <c r="G47" s="263">
        <v>11807</v>
      </c>
      <c r="H47" s="263">
        <v>11749</v>
      </c>
      <c r="I47" s="263">
        <v>11633</v>
      </c>
      <c r="J47" s="272">
        <v>10972</v>
      </c>
      <c r="K47" s="263">
        <v>10549</v>
      </c>
      <c r="L47" s="263">
        <v>10079</v>
      </c>
      <c r="M47" s="263">
        <v>9022</v>
      </c>
      <c r="N47" s="263">
        <v>8444</v>
      </c>
      <c r="O47" s="263">
        <v>7834</v>
      </c>
      <c r="P47" s="263">
        <v>6864</v>
      </c>
      <c r="Q47" s="264">
        <v>5085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F0F23-A82A-40DE-A6DE-0EE1C2730062}">
  <dimension ref="A1:U104"/>
  <sheetViews>
    <sheetView topLeftCell="A89" workbookViewId="0">
      <selection activeCell="I4" sqref="I4"/>
    </sheetView>
    <sheetView workbookViewId="1">
      <selection activeCell="V27" sqref="V27"/>
    </sheetView>
  </sheetViews>
  <sheetFormatPr defaultRowHeight="14.4" x14ac:dyDescent="0.3"/>
  <cols>
    <col min="1" max="1" width="13.21875" customWidth="1"/>
    <col min="2" max="2" width="10" customWidth="1"/>
    <col min="9" max="9" width="9.21875" customWidth="1"/>
    <col min="21" max="21" width="9.77734375" customWidth="1"/>
  </cols>
  <sheetData>
    <row r="1" spans="1:21" ht="18" x14ac:dyDescent="0.35">
      <c r="A1" s="314" t="s">
        <v>182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ht="63" x14ac:dyDescent="0.35">
      <c r="A2" s="2"/>
      <c r="B2" s="3"/>
      <c r="C2" s="3"/>
      <c r="D2" s="3"/>
      <c r="E2" s="302" t="s">
        <v>102</v>
      </c>
      <c r="F2" s="302" t="s">
        <v>50</v>
      </c>
      <c r="G2" s="302" t="s">
        <v>93</v>
      </c>
      <c r="H2" s="302" t="s">
        <v>104</v>
      </c>
      <c r="I2" s="302" t="s">
        <v>173</v>
      </c>
      <c r="J2" s="302" t="s">
        <v>107</v>
      </c>
      <c r="K2" s="302" t="s">
        <v>105</v>
      </c>
      <c r="L2" s="302" t="s">
        <v>106</v>
      </c>
      <c r="M2" s="302" t="s">
        <v>110</v>
      </c>
      <c r="N2" s="302" t="s">
        <v>108</v>
      </c>
      <c r="O2" s="302" t="s">
        <v>109</v>
      </c>
      <c r="P2" s="3"/>
      <c r="Q2" s="3"/>
      <c r="R2" s="3"/>
      <c r="S2" s="3"/>
      <c r="T2" s="3"/>
      <c r="U2" s="3"/>
    </row>
    <row r="3" spans="1:21" ht="16.2" thickBot="1" x14ac:dyDescent="0.35">
      <c r="A3" s="178"/>
      <c r="B3" s="4"/>
      <c r="C3" s="4"/>
      <c r="D3" s="4"/>
      <c r="E3" s="6" t="s">
        <v>176</v>
      </c>
      <c r="F3" s="6" t="s">
        <v>177</v>
      </c>
      <c r="G3" s="7" t="s">
        <v>2</v>
      </c>
      <c r="H3" s="6" t="s">
        <v>3</v>
      </c>
      <c r="I3" s="178" t="s">
        <v>174</v>
      </c>
      <c r="J3" s="3"/>
      <c r="K3" s="3"/>
      <c r="L3" s="3"/>
      <c r="M3" s="3"/>
      <c r="N3" s="3"/>
      <c r="O3" s="3"/>
      <c r="P3" s="137"/>
      <c r="Q3" s="137"/>
      <c r="R3" s="137"/>
      <c r="S3" s="137"/>
      <c r="T3" s="137"/>
      <c r="U3" s="137"/>
    </row>
    <row r="4" spans="1:21" ht="15.6" x14ac:dyDescent="0.3">
      <c r="A4" s="178" t="s">
        <v>172</v>
      </c>
      <c r="B4" s="4"/>
      <c r="C4" s="186"/>
      <c r="D4" s="4"/>
      <c r="E4" s="265">
        <v>0.05</v>
      </c>
      <c r="F4" s="265">
        <v>0.03</v>
      </c>
      <c r="G4" s="265">
        <v>0.15</v>
      </c>
      <c r="H4" s="182">
        <v>1.5877224526913882E-4</v>
      </c>
      <c r="I4" s="182">
        <v>1.43415</v>
      </c>
      <c r="J4" s="4">
        <v>0.15</v>
      </c>
      <c r="K4" s="4">
        <v>2400</v>
      </c>
      <c r="L4" s="4">
        <v>1200</v>
      </c>
      <c r="M4" s="4">
        <v>6.0000000000000001E-3</v>
      </c>
      <c r="N4" s="4">
        <v>600</v>
      </c>
      <c r="O4" s="4">
        <v>6000</v>
      </c>
      <c r="P4" s="137"/>
      <c r="Q4" s="137"/>
      <c r="R4" s="137"/>
      <c r="S4" s="137"/>
      <c r="T4" s="137"/>
      <c r="U4" s="137"/>
    </row>
    <row r="5" spans="1:21" ht="18" x14ac:dyDescent="0.35">
      <c r="A5" s="178" t="s">
        <v>101</v>
      </c>
      <c r="B5" s="3"/>
      <c r="C5" s="186"/>
      <c r="D5" s="188"/>
      <c r="E5" s="189"/>
      <c r="F5" s="3"/>
      <c r="G5" s="3"/>
      <c r="H5" s="193" t="s">
        <v>51</v>
      </c>
      <c r="I5" s="194">
        <v>0.6</v>
      </c>
      <c r="J5" s="190"/>
      <c r="K5" s="3"/>
      <c r="L5" s="190"/>
      <c r="M5" s="186"/>
      <c r="N5" s="191"/>
      <c r="O5" s="191"/>
      <c r="P5" s="3"/>
      <c r="Q5" s="3"/>
      <c r="R5" s="192"/>
      <c r="S5" s="3"/>
      <c r="T5" s="3"/>
      <c r="U5" s="187" t="s">
        <v>175</v>
      </c>
    </row>
    <row r="6" spans="1:21" ht="15.6" x14ac:dyDescent="0.3">
      <c r="A6" s="6" t="s">
        <v>3</v>
      </c>
      <c r="B6" s="137">
        <v>1.5877224526913882E-4</v>
      </c>
      <c r="C6" s="137">
        <v>2.2770321555273546E-4</v>
      </c>
      <c r="D6" s="137">
        <v>3.2656056658495559E-4</v>
      </c>
      <c r="E6" s="137">
        <v>4.6833683656781407E-4</v>
      </c>
      <c r="F6" s="137">
        <v>6.7166527416373056E-4</v>
      </c>
      <c r="G6" s="137">
        <v>9.632687529419142E-4</v>
      </c>
      <c r="H6" s="137">
        <v>1.3814718820316463E-3</v>
      </c>
      <c r="I6" s="137">
        <v>1.9812378996156856E-3</v>
      </c>
      <c r="J6" s="137">
        <v>2.8413923337338356E-3</v>
      </c>
      <c r="K6" s="137">
        <v>4.0749828154243804E-3</v>
      </c>
      <c r="L6" s="137">
        <v>5.8441366047408752E-3</v>
      </c>
      <c r="M6" s="137">
        <v>8.381368511689127E-3</v>
      </c>
      <c r="N6" s="137">
        <v>1.2020139651038961E-2</v>
      </c>
      <c r="O6" s="137">
        <v>1.7238683280537528E-2</v>
      </c>
      <c r="P6" s="137">
        <v>2.4722857626782897E-2</v>
      </c>
      <c r="Q6" s="137">
        <v>3.5456286265450693E-2</v>
      </c>
      <c r="R6" s="137">
        <v>5.0849632947596111E-2</v>
      </c>
      <c r="S6" s="137">
        <v>7.2926001091794965E-2</v>
      </c>
      <c r="T6" s="137">
        <v>0.10458682446579776</v>
      </c>
      <c r="U6" s="316">
        <v>0.14999319430762387</v>
      </c>
    </row>
    <row r="7" spans="1:21" ht="15.6" x14ac:dyDescent="0.3">
      <c r="A7" s="141" t="s">
        <v>178</v>
      </c>
      <c r="B7" s="142">
        <v>99.99971423559515</v>
      </c>
      <c r="C7" s="142">
        <v>118.76944926171264</v>
      </c>
      <c r="D7" s="142">
        <v>140.68714984888626</v>
      </c>
      <c r="E7" s="142">
        <v>166.08830840275766</v>
      </c>
      <c r="F7" s="142">
        <v>195.2566448720298</v>
      </c>
      <c r="G7" s="142">
        <v>228.38853719584438</v>
      </c>
      <c r="H7" s="142">
        <v>265.56261104814081</v>
      </c>
      <c r="I7" s="142">
        <v>306.7288190222398</v>
      </c>
      <c r="J7" s="142">
        <v>351.73417298449277</v>
      </c>
      <c r="K7" s="142">
        <v>400.39931156342351</v>
      </c>
      <c r="L7" s="142">
        <v>452.65089108494078</v>
      </c>
      <c r="M7" s="142">
        <v>508.70517504028476</v>
      </c>
      <c r="N7" s="139">
        <v>569.29993800627744</v>
      </c>
      <c r="O7" s="139">
        <v>635.99893322851017</v>
      </c>
      <c r="P7" s="139">
        <v>711.66381816016201</v>
      </c>
      <c r="Q7" s="139">
        <v>801.35194009593761</v>
      </c>
      <c r="R7" s="139">
        <v>914.34347238729515</v>
      </c>
      <c r="S7" s="139">
        <v>1069.5401663133825</v>
      </c>
      <c r="T7" s="139">
        <v>1313.5877856098577</v>
      </c>
      <c r="U7" s="311">
        <v>1813.9336447726585</v>
      </c>
    </row>
    <row r="8" spans="1:21" ht="15.6" x14ac:dyDescent="0.3">
      <c r="A8" s="141" t="s">
        <v>179</v>
      </c>
      <c r="B8" s="142">
        <v>101.16743063982062</v>
      </c>
      <c r="C8" s="142">
        <v>120.63821524298021</v>
      </c>
      <c r="D8" s="142">
        <v>143.65111824098935</v>
      </c>
      <c r="E8" s="142">
        <v>170.73784963430953</v>
      </c>
      <c r="F8" s="142">
        <v>202.45326462778124</v>
      </c>
      <c r="G8" s="142">
        <v>239.34975648796814</v>
      </c>
      <c r="H8" s="142">
        <v>281.94375913829543</v>
      </c>
      <c r="I8" s="142">
        <v>330.67983121071359</v>
      </c>
      <c r="J8" s="142">
        <v>385.90440449659718</v>
      </c>
      <c r="K8" s="142">
        <v>447.86898782108096</v>
      </c>
      <c r="L8" s="142">
        <v>516.78880810624094</v>
      </c>
      <c r="M8" s="142">
        <v>592.98495989199921</v>
      </c>
      <c r="N8" s="139">
        <v>677.13771119975604</v>
      </c>
      <c r="O8" s="139">
        <v>770.6874034026057</v>
      </c>
      <c r="P8" s="139">
        <v>876.46638103362</v>
      </c>
      <c r="Q8" s="139">
        <v>999.79533988087155</v>
      </c>
      <c r="R8" s="139">
        <v>1150.7144173303484</v>
      </c>
      <c r="S8" s="139">
        <v>1349.4464566835168</v>
      </c>
      <c r="T8" s="139">
        <v>1643.1351841826222</v>
      </c>
      <c r="U8" s="311">
        <v>2178.7797980217856</v>
      </c>
    </row>
    <row r="9" spans="1:21" ht="15.6" x14ac:dyDescent="0.3">
      <c r="A9" s="141" t="s">
        <v>94</v>
      </c>
      <c r="B9" s="312">
        <v>2570.513314087726</v>
      </c>
      <c r="C9" s="312">
        <v>2801.3853264692084</v>
      </c>
      <c r="D9" s="312">
        <v>3048.93168730549</v>
      </c>
      <c r="E9" s="312">
        <v>3312.7602707224246</v>
      </c>
      <c r="F9" s="312">
        <v>3591.8929881884819</v>
      </c>
      <c r="G9" s="312">
        <v>3884.7012885446698</v>
      </c>
      <c r="H9" s="312">
        <v>4188.9381036038458</v>
      </c>
      <c r="I9" s="312">
        <v>4501.9199605495751</v>
      </c>
      <c r="J9" s="312">
        <v>4820.8959756782551</v>
      </c>
      <c r="K9" s="312">
        <v>5143.5994265957415</v>
      </c>
      <c r="L9" s="312">
        <v>5468.9275241672003</v>
      </c>
      <c r="M9" s="312">
        <v>5797.6708558671662</v>
      </c>
      <c r="N9" s="312">
        <v>6133.2553514739329</v>
      </c>
      <c r="O9" s="312">
        <v>6482.5917441206066</v>
      </c>
      <c r="P9" s="312">
        <v>6857.3753405076468</v>
      </c>
      <c r="Q9" s="312">
        <v>7276.660694294078</v>
      </c>
      <c r="R9" s="312">
        <v>7772.7582888253692</v>
      </c>
      <c r="S9" s="312">
        <v>8406.5737568790919</v>
      </c>
      <c r="T9" s="312">
        <v>9316.4408063036408</v>
      </c>
      <c r="U9" s="312">
        <v>10947.908934606487</v>
      </c>
    </row>
    <row r="10" spans="1:21" ht="15.6" x14ac:dyDescent="0.3">
      <c r="A10" s="141" t="s">
        <v>95</v>
      </c>
      <c r="B10" s="312">
        <v>2585.4779503376126</v>
      </c>
      <c r="C10" s="312">
        <v>2823.3383671823267</v>
      </c>
      <c r="D10" s="312">
        <v>3080.8814245301987</v>
      </c>
      <c r="E10" s="312">
        <v>3358.8095696772111</v>
      </c>
      <c r="F10" s="312">
        <v>3657.487666796555</v>
      </c>
      <c r="G10" s="312">
        <v>3976.8295132444728</v>
      </c>
      <c r="H10" s="312">
        <v>4316.2015972540039</v>
      </c>
      <c r="I10" s="312">
        <v>4674.383408806867</v>
      </c>
      <c r="J10" s="312">
        <v>5049.6391683639413</v>
      </c>
      <c r="K10" s="312">
        <v>5439.9633503376244</v>
      </c>
      <c r="L10" s="312">
        <v>5843.5535474877315</v>
      </c>
      <c r="M10" s="312">
        <v>6259.5385345332315</v>
      </c>
      <c r="N10" s="312">
        <v>6688.9658515407646</v>
      </c>
      <c r="O10" s="312">
        <v>7136.0783306552639</v>
      </c>
      <c r="P10" s="312">
        <v>7610.060498819912</v>
      </c>
      <c r="Q10" s="312">
        <v>8127.8565910259513</v>
      </c>
      <c r="R10" s="312">
        <v>8719.7544521555919</v>
      </c>
      <c r="S10" s="312">
        <v>9442.7459796373059</v>
      </c>
      <c r="T10" s="312">
        <v>10419.745841971479</v>
      </c>
      <c r="U10" s="312">
        <v>11998.505310854545</v>
      </c>
    </row>
    <row r="11" spans="1:21" ht="15.6" x14ac:dyDescent="0.3">
      <c r="A11" s="313" t="s">
        <v>98</v>
      </c>
      <c r="B11" s="140">
        <v>2.9979331470258153</v>
      </c>
      <c r="C11" s="140">
        <v>2.5241546530993575</v>
      </c>
      <c r="D11" s="140">
        <v>2.1309157113639063</v>
      </c>
      <c r="E11" s="140">
        <v>1.8050184319597919</v>
      </c>
      <c r="F11" s="140">
        <v>1.5353764692437608</v>
      </c>
      <c r="G11" s="140">
        <v>1.312642314193406</v>
      </c>
      <c r="H11" s="209">
        <v>1.1288955806570753</v>
      </c>
      <c r="I11" s="209">
        <v>0.9773860146420188</v>
      </c>
      <c r="J11" s="209">
        <v>0.85232678831356323</v>
      </c>
      <c r="K11" s="209">
        <v>0.74873369993922345</v>
      </c>
      <c r="L11" s="209">
        <v>0.66230391656015408</v>
      </c>
      <c r="M11" s="209">
        <v>0.58932456894361096</v>
      </c>
      <c r="N11" s="209">
        <v>0.52659843781099158</v>
      </c>
      <c r="O11" s="209">
        <v>0.47137257994784493</v>
      </c>
      <c r="P11" s="209">
        <v>0.42125572545621648</v>
      </c>
      <c r="Q11" s="209">
        <v>0.37410835738927511</v>
      </c>
      <c r="R11" s="209">
        <v>0.32787728797063553</v>
      </c>
      <c r="S11" s="209">
        <v>0.28030032666595406</v>
      </c>
      <c r="T11" s="209">
        <v>0.22822415165866949</v>
      </c>
      <c r="U11" s="209">
        <v>0.16527200918508417</v>
      </c>
    </row>
    <row r="12" spans="1:21" ht="15.6" x14ac:dyDescent="0.3">
      <c r="A12" s="313" t="s">
        <v>97</v>
      </c>
      <c r="B12" s="140">
        <v>2.9633297604179578</v>
      </c>
      <c r="C12" s="140">
        <v>2.4850538230873287</v>
      </c>
      <c r="D12" s="140">
        <v>2.0869483069186257</v>
      </c>
      <c r="E12" s="140">
        <v>1.7558640842795126</v>
      </c>
      <c r="F12" s="140">
        <v>1.4807983390694188</v>
      </c>
      <c r="G12" s="140">
        <v>1.2525287779646028</v>
      </c>
      <c r="H12" s="209">
        <v>1.0633058838268155</v>
      </c>
      <c r="I12" s="209">
        <v>0.90659432388837846</v>
      </c>
      <c r="J12" s="209">
        <v>0.77685679278802711</v>
      </c>
      <c r="K12" s="209">
        <v>0.66937534446962865</v>
      </c>
      <c r="L12" s="209">
        <v>0.58010632834441911</v>
      </c>
      <c r="M12" s="209">
        <v>0.50556502825063465</v>
      </c>
      <c r="N12" s="209">
        <v>0.44273484261986562</v>
      </c>
      <c r="O12" s="209">
        <v>0.38899358764190023</v>
      </c>
      <c r="P12" s="209">
        <v>0.34204672818876825</v>
      </c>
      <c r="Q12" s="209">
        <v>0.29985382611977479</v>
      </c>
      <c r="R12" s="209">
        <v>0.26052724593085136</v>
      </c>
      <c r="S12" s="209">
        <v>0.22215957996346777</v>
      </c>
      <c r="T12" s="209">
        <v>0.18245148718492801</v>
      </c>
      <c r="U12" s="209">
        <v>0.13759649243681962</v>
      </c>
    </row>
    <row r="13" spans="1:21" ht="15.6" x14ac:dyDescent="0.3">
      <c r="A13" s="141" t="s">
        <v>180</v>
      </c>
      <c r="B13" s="140">
        <v>0.27229756013726214</v>
      </c>
      <c r="C13" s="140">
        <v>0.22171037720836856</v>
      </c>
      <c r="D13" s="140">
        <v>0.17916368202480243</v>
      </c>
      <c r="E13" s="140">
        <v>0.14345428910066996</v>
      </c>
      <c r="F13" s="140">
        <v>0.11361967443816844</v>
      </c>
      <c r="G13" s="140">
        <v>8.8889994518238397E-2</v>
      </c>
      <c r="H13" s="140">
        <v>6.8637113086072399E-2</v>
      </c>
      <c r="I13" s="140">
        <v>5.2322411159100156E-2</v>
      </c>
      <c r="J13" s="140">
        <v>3.9449995197951553E-2</v>
      </c>
      <c r="K13" s="140">
        <v>2.9534786538656117E-2</v>
      </c>
      <c r="L13" s="140">
        <v>2.2092692355727667E-2</v>
      </c>
      <c r="M13" s="140">
        <v>1.6652534783162972E-2</v>
      </c>
      <c r="N13" s="209">
        <v>1.278115120954572E-2</v>
      </c>
      <c r="O13" s="209">
        <v>1.010998427229466E-2</v>
      </c>
      <c r="P13" s="209">
        <v>8.355962009443E-3</v>
      </c>
      <c r="Q13" s="209">
        <v>7.3402837358568186E-3</v>
      </c>
      <c r="R13" s="209">
        <v>7.0299921124874609E-3</v>
      </c>
      <c r="S13" s="209">
        <v>7.7081892790212964E-3</v>
      </c>
      <c r="T13" s="209">
        <v>1.1019287842339397E-2</v>
      </c>
      <c r="U13" s="209"/>
    </row>
    <row r="14" spans="1:21" ht="15.6" x14ac:dyDescent="0.3">
      <c r="A14" s="141" t="s">
        <v>181</v>
      </c>
      <c r="B14" s="195">
        <v>0.28246787362853948</v>
      </c>
      <c r="C14" s="140">
        <v>0.2327889909826599</v>
      </c>
      <c r="D14" s="140">
        <v>0.19105264510481981</v>
      </c>
      <c r="E14" s="140">
        <v>0.15598120640901764</v>
      </c>
      <c r="F14" s="140">
        <v>0.12652966972404761</v>
      </c>
      <c r="G14" s="140">
        <v>0.10185003336306478</v>
      </c>
      <c r="H14" s="140">
        <v>8.1258475211275605E-2</v>
      </c>
      <c r="I14" s="140">
        <v>6.4203090858330675E-2</v>
      </c>
      <c r="J14" s="140">
        <v>5.0231080933411457E-2</v>
      </c>
      <c r="K14" s="140">
        <v>3.8956376037713965E-2</v>
      </c>
      <c r="L14" s="140">
        <v>3.0031212983367361E-2</v>
      </c>
      <c r="M14" s="140">
        <v>2.3126695272952233E-2</v>
      </c>
      <c r="N14" s="209">
        <v>1.7926398406261583E-2</v>
      </c>
      <c r="O14" s="209">
        <v>1.413368699569126E-2</v>
      </c>
      <c r="P14" s="209">
        <v>1.1490173643392184E-2</v>
      </c>
      <c r="Q14" s="209">
        <v>9.80417582776371E-3</v>
      </c>
      <c r="R14" s="209">
        <v>9.0020259698101856E-3</v>
      </c>
      <c r="S14" s="209">
        <v>9.2760925396607949E-3</v>
      </c>
      <c r="T14" s="209">
        <v>1.179668437941837E-2</v>
      </c>
      <c r="U14" s="209"/>
    </row>
    <row r="15" spans="1:21" ht="15.6" x14ac:dyDescent="0.3">
      <c r="A15" s="141"/>
      <c r="B15" s="195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209"/>
      <c r="O15" s="209"/>
      <c r="P15" s="209"/>
      <c r="Q15" s="209"/>
      <c r="R15" s="209"/>
      <c r="S15" s="209"/>
      <c r="T15" s="209"/>
      <c r="U15" s="209"/>
    </row>
    <row r="16" spans="1:21" ht="15.6" x14ac:dyDescent="0.3">
      <c r="A16" s="155"/>
      <c r="B16" s="155"/>
      <c r="C16" s="155"/>
      <c r="D16" s="155"/>
      <c r="E16" s="155"/>
      <c r="F16" s="155"/>
      <c r="G16" s="155"/>
      <c r="H16" s="155"/>
      <c r="I16" s="155"/>
      <c r="J16" s="155"/>
      <c r="K16" s="155"/>
      <c r="L16" s="155"/>
      <c r="M16" s="155"/>
      <c r="N16" s="155"/>
      <c r="O16" s="155"/>
      <c r="P16" s="155"/>
      <c r="Q16" s="155"/>
      <c r="R16" s="155"/>
      <c r="S16" s="155"/>
      <c r="T16" s="155"/>
      <c r="U16" s="155"/>
    </row>
    <row r="53" spans="14:14" x14ac:dyDescent="0.3">
      <c r="N53" t="s">
        <v>24</v>
      </c>
    </row>
    <row r="69" spans="1:21" x14ac:dyDescent="0.3">
      <c r="A69" s="257" t="s">
        <v>191</v>
      </c>
    </row>
    <row r="70" spans="1:21" ht="15.6" x14ac:dyDescent="0.3">
      <c r="A70" s="6" t="s">
        <v>183</v>
      </c>
      <c r="B70" s="137">
        <v>0.05</v>
      </c>
      <c r="C70" s="137">
        <v>0.05</v>
      </c>
      <c r="D70" s="137">
        <v>0.05</v>
      </c>
      <c r="E70" s="137">
        <v>0.05</v>
      </c>
      <c r="F70" s="137">
        <v>0.05</v>
      </c>
      <c r="G70" s="137">
        <v>0.05</v>
      </c>
      <c r="H70" s="137">
        <v>0.05</v>
      </c>
      <c r="I70" s="137">
        <v>0.05</v>
      </c>
      <c r="J70" s="137">
        <v>0.05</v>
      </c>
      <c r="K70" s="137">
        <v>0.05</v>
      </c>
      <c r="L70" s="137">
        <v>0.05</v>
      </c>
      <c r="M70" s="137">
        <v>0.05</v>
      </c>
      <c r="N70" s="137">
        <v>0.05</v>
      </c>
      <c r="O70" s="137">
        <v>0.05</v>
      </c>
      <c r="P70" s="137">
        <v>0.05</v>
      </c>
      <c r="Q70" s="137">
        <v>0.05</v>
      </c>
      <c r="R70" s="137">
        <v>0.05</v>
      </c>
      <c r="S70" s="137">
        <v>0.05</v>
      </c>
      <c r="T70" s="137">
        <v>0.05</v>
      </c>
      <c r="U70" s="137">
        <v>0.05</v>
      </c>
    </row>
    <row r="71" spans="1:21" ht="15.6" x14ac:dyDescent="0.3">
      <c r="A71" s="6" t="s">
        <v>177</v>
      </c>
      <c r="B71" s="137">
        <v>0.03</v>
      </c>
      <c r="C71" s="137">
        <v>0.03</v>
      </c>
      <c r="D71" s="137">
        <v>0.03</v>
      </c>
      <c r="E71" s="137">
        <v>0.03</v>
      </c>
      <c r="F71" s="137">
        <v>0.03</v>
      </c>
      <c r="G71" s="137">
        <v>0.03</v>
      </c>
      <c r="H71" s="137">
        <v>0.03</v>
      </c>
      <c r="I71" s="137">
        <v>0.03</v>
      </c>
      <c r="J71" s="137">
        <v>0.03</v>
      </c>
      <c r="K71" s="137">
        <v>0.03</v>
      </c>
      <c r="L71" s="137">
        <v>0.03</v>
      </c>
      <c r="M71" s="137">
        <v>0.03</v>
      </c>
      <c r="N71" s="137">
        <v>0.03</v>
      </c>
      <c r="O71" s="137">
        <v>0.03</v>
      </c>
      <c r="P71" s="137">
        <v>0.03</v>
      </c>
      <c r="Q71" s="137">
        <v>0.03</v>
      </c>
      <c r="R71" s="137">
        <v>0.03</v>
      </c>
      <c r="S71" s="137">
        <v>0.03</v>
      </c>
      <c r="T71" s="137">
        <v>0.03</v>
      </c>
      <c r="U71" s="137">
        <v>0.03</v>
      </c>
    </row>
    <row r="72" spans="1:21" ht="15.6" x14ac:dyDescent="0.3">
      <c r="A72" s="6" t="s">
        <v>31</v>
      </c>
      <c r="B72" s="140">
        <v>0.6</v>
      </c>
      <c r="C72" s="140">
        <v>0.6</v>
      </c>
      <c r="D72" s="140">
        <v>0.6</v>
      </c>
      <c r="E72" s="140">
        <v>0.6</v>
      </c>
      <c r="F72" s="140">
        <v>0.6</v>
      </c>
      <c r="G72" s="140">
        <v>0.6</v>
      </c>
      <c r="H72" s="140">
        <v>0.6</v>
      </c>
      <c r="I72" s="140">
        <v>0.6</v>
      </c>
      <c r="J72" s="140">
        <v>0.6</v>
      </c>
      <c r="K72" s="140">
        <v>0.6</v>
      </c>
      <c r="L72" s="140">
        <v>0.6</v>
      </c>
      <c r="M72" s="140">
        <v>0.6</v>
      </c>
      <c r="N72" s="140">
        <v>0.6</v>
      </c>
      <c r="O72" s="140">
        <v>0.6</v>
      </c>
      <c r="P72" s="140">
        <v>0.6</v>
      </c>
      <c r="Q72" s="140">
        <v>0.6</v>
      </c>
      <c r="R72" s="140">
        <v>0.6</v>
      </c>
      <c r="S72" s="140">
        <v>0.6</v>
      </c>
      <c r="T72" s="140">
        <v>0.6</v>
      </c>
      <c r="U72" s="140">
        <v>0.6</v>
      </c>
    </row>
    <row r="73" spans="1:21" ht="15.6" x14ac:dyDescent="0.3">
      <c r="A73" s="7" t="s">
        <v>2</v>
      </c>
      <c r="B73" s="137">
        <v>0.15</v>
      </c>
      <c r="C73" s="137">
        <v>0.15</v>
      </c>
      <c r="D73" s="137">
        <v>0.15</v>
      </c>
      <c r="E73" s="137">
        <v>0.15</v>
      </c>
      <c r="F73" s="137">
        <v>0.15</v>
      </c>
      <c r="G73" s="137">
        <v>0.15</v>
      </c>
      <c r="H73" s="137">
        <v>0.15</v>
      </c>
      <c r="I73" s="137">
        <v>0.15</v>
      </c>
      <c r="J73" s="137">
        <v>0.15</v>
      </c>
      <c r="K73" s="137">
        <v>0.15</v>
      </c>
      <c r="L73" s="137">
        <v>0.15</v>
      </c>
      <c r="M73" s="137">
        <v>0.15</v>
      </c>
      <c r="N73" s="137">
        <v>0.15</v>
      </c>
      <c r="O73" s="137">
        <v>0.15</v>
      </c>
      <c r="P73" s="137">
        <v>0.15</v>
      </c>
      <c r="Q73" s="137">
        <v>0.15</v>
      </c>
      <c r="R73" s="137">
        <v>0.15</v>
      </c>
      <c r="S73" s="137">
        <v>0.15</v>
      </c>
      <c r="T73" s="137">
        <v>0.15</v>
      </c>
      <c r="U73" s="137">
        <v>0.15</v>
      </c>
    </row>
    <row r="74" spans="1:21" ht="15.6" x14ac:dyDescent="0.3">
      <c r="A74" s="6" t="s">
        <v>3</v>
      </c>
      <c r="B74" s="137">
        <v>1.5877224526913882E-4</v>
      </c>
      <c r="C74" s="137">
        <v>2.2770321555273546E-4</v>
      </c>
      <c r="D74" s="137">
        <v>3.2656056658495559E-4</v>
      </c>
      <c r="E74" s="137">
        <v>4.6833683656781407E-4</v>
      </c>
      <c r="F74" s="137">
        <v>6.7166527416373056E-4</v>
      </c>
      <c r="G74" s="137">
        <v>9.632687529419142E-4</v>
      </c>
      <c r="H74" s="137">
        <v>1.3814718820316463E-3</v>
      </c>
      <c r="I74" s="137">
        <v>1.9812378996156856E-3</v>
      </c>
      <c r="J74" s="137">
        <v>2.8413923337338356E-3</v>
      </c>
      <c r="K74" s="137">
        <v>4.0749828154243804E-3</v>
      </c>
      <c r="L74" s="137">
        <v>5.8441366047408752E-3</v>
      </c>
      <c r="M74" s="137">
        <v>8.381368511689127E-3</v>
      </c>
      <c r="N74" s="137">
        <v>1.2020139651038961E-2</v>
      </c>
      <c r="O74" s="137">
        <v>1.7238683280537528E-2</v>
      </c>
      <c r="P74" s="137">
        <v>2.4722857626782897E-2</v>
      </c>
      <c r="Q74" s="137">
        <v>3.5456286265450693E-2</v>
      </c>
      <c r="R74" s="137">
        <v>5.0849632947596111E-2</v>
      </c>
      <c r="S74" s="137">
        <v>7.2926001091794965E-2</v>
      </c>
      <c r="T74" s="137">
        <v>0.10458682446579776</v>
      </c>
      <c r="U74" s="137">
        <v>0.14999319430762387</v>
      </c>
    </row>
    <row r="75" spans="1:21" ht="15.6" x14ac:dyDescent="0.3">
      <c r="A75" s="8" t="s">
        <v>7</v>
      </c>
      <c r="B75" s="183">
        <v>90</v>
      </c>
      <c r="C75" s="183">
        <v>90</v>
      </c>
      <c r="D75" s="183">
        <v>90</v>
      </c>
      <c r="E75" s="183">
        <v>90</v>
      </c>
      <c r="F75" s="183">
        <v>90</v>
      </c>
      <c r="G75" s="183">
        <v>90</v>
      </c>
      <c r="H75" s="183">
        <v>90</v>
      </c>
      <c r="I75" s="183">
        <v>90</v>
      </c>
      <c r="J75" s="183">
        <v>90</v>
      </c>
      <c r="K75" s="183">
        <v>90</v>
      </c>
      <c r="L75" s="183">
        <v>90</v>
      </c>
      <c r="M75" s="183">
        <v>90</v>
      </c>
      <c r="N75" s="183">
        <v>90</v>
      </c>
      <c r="O75" s="183">
        <v>90</v>
      </c>
      <c r="P75" s="183">
        <v>90</v>
      </c>
      <c r="Q75" s="183">
        <v>90</v>
      </c>
      <c r="R75" s="183">
        <v>90</v>
      </c>
      <c r="S75" s="183">
        <v>90</v>
      </c>
      <c r="T75" s="183">
        <v>90</v>
      </c>
      <c r="U75" s="183">
        <v>90</v>
      </c>
    </row>
    <row r="76" spans="1:21" ht="15.6" x14ac:dyDescent="0.3">
      <c r="A76" s="9" t="s">
        <v>6</v>
      </c>
      <c r="B76" s="140">
        <v>1.5707963267948966</v>
      </c>
      <c r="C76" s="140">
        <v>1.5707963267948966</v>
      </c>
      <c r="D76" s="140">
        <v>1.5707963267948966</v>
      </c>
      <c r="E76" s="140">
        <v>1.5707963267948966</v>
      </c>
      <c r="F76" s="140">
        <v>1.5707963267948966</v>
      </c>
      <c r="G76" s="140">
        <v>1.5707963267948966</v>
      </c>
      <c r="H76" s="140">
        <v>1.5707963267948966</v>
      </c>
      <c r="I76" s="140">
        <v>1.5707963267948966</v>
      </c>
      <c r="J76" s="140">
        <v>1.5707963267948966</v>
      </c>
      <c r="K76" s="140">
        <v>1.5707963267948966</v>
      </c>
      <c r="L76" s="140">
        <v>1.5707963267948966</v>
      </c>
      <c r="M76" s="140">
        <v>1.5707963267948966</v>
      </c>
      <c r="N76" s="140">
        <v>1.5707963267948966</v>
      </c>
      <c r="O76" s="140">
        <v>1.5707963267948966</v>
      </c>
      <c r="P76" s="140">
        <v>1.5707963267948966</v>
      </c>
      <c r="Q76" s="140">
        <v>1.5707963267948966</v>
      </c>
      <c r="R76" s="140">
        <v>1.5707963267948966</v>
      </c>
      <c r="S76" s="140">
        <v>1.5707963267948966</v>
      </c>
      <c r="T76" s="140">
        <v>1.5707963267948966</v>
      </c>
      <c r="U76" s="140">
        <v>1.5707963267948966</v>
      </c>
    </row>
    <row r="77" spans="1:21" ht="15.6" x14ac:dyDescent="0.3">
      <c r="A77" s="10" t="s">
        <v>184</v>
      </c>
      <c r="B77" s="137">
        <v>2.9999999999999988E-2</v>
      </c>
      <c r="C77" s="137">
        <v>2.9999999999999988E-2</v>
      </c>
      <c r="D77" s="137">
        <v>2.9999999999999988E-2</v>
      </c>
      <c r="E77" s="137">
        <v>2.9999999999999988E-2</v>
      </c>
      <c r="F77" s="137">
        <v>2.9999999999999988E-2</v>
      </c>
      <c r="G77" s="137">
        <v>2.9999999999999988E-2</v>
      </c>
      <c r="H77" s="137">
        <v>2.9999999999999988E-2</v>
      </c>
      <c r="I77" s="137">
        <v>2.9999999999999988E-2</v>
      </c>
      <c r="J77" s="137">
        <v>2.9999999999999988E-2</v>
      </c>
      <c r="K77" s="137">
        <v>2.9999999999999988E-2</v>
      </c>
      <c r="L77" s="137">
        <v>2.9999999999999988E-2</v>
      </c>
      <c r="M77" s="137">
        <v>2.9999999999999988E-2</v>
      </c>
      <c r="N77" s="137">
        <v>2.9999999999999992E-2</v>
      </c>
      <c r="O77" s="137">
        <v>2.9999999999999992E-2</v>
      </c>
      <c r="P77" s="137">
        <v>2.9999999999999992E-2</v>
      </c>
      <c r="Q77" s="137">
        <v>2.9999999999999992E-2</v>
      </c>
      <c r="R77" s="137">
        <v>2.9999999999999992E-2</v>
      </c>
      <c r="S77" s="137">
        <v>2.9999999999999995E-2</v>
      </c>
      <c r="T77" s="137">
        <v>2.9999999999999995E-2</v>
      </c>
      <c r="U77" s="137">
        <v>0.03</v>
      </c>
    </row>
    <row r="78" spans="1:21" ht="15.6" x14ac:dyDescent="0.3">
      <c r="A78" s="11" t="s">
        <v>185</v>
      </c>
      <c r="B78" s="137">
        <v>2.9999999999999988E-2</v>
      </c>
      <c r="C78" s="137">
        <v>2.9999999999999988E-2</v>
      </c>
      <c r="D78" s="137">
        <v>2.9999999999999988E-2</v>
      </c>
      <c r="E78" s="137">
        <v>2.9999999999999988E-2</v>
      </c>
      <c r="F78" s="137">
        <v>2.9999999999999988E-2</v>
      </c>
      <c r="G78" s="137">
        <v>2.9999999999999988E-2</v>
      </c>
      <c r="H78" s="137">
        <v>2.9999999999999988E-2</v>
      </c>
      <c r="I78" s="137">
        <v>2.9999999999999988E-2</v>
      </c>
      <c r="J78" s="137">
        <v>2.9999999999999988E-2</v>
      </c>
      <c r="K78" s="137">
        <v>2.9999999999999988E-2</v>
      </c>
      <c r="L78" s="137">
        <v>2.9999999999999988E-2</v>
      </c>
      <c r="M78" s="137">
        <v>2.9999999999999988E-2</v>
      </c>
      <c r="N78" s="137">
        <v>2.9999999999999992E-2</v>
      </c>
      <c r="O78" s="137">
        <v>2.9999999999999992E-2</v>
      </c>
      <c r="P78" s="137">
        <v>2.9999999999999992E-2</v>
      </c>
      <c r="Q78" s="137">
        <v>2.9999999999999988E-2</v>
      </c>
      <c r="R78" s="137">
        <v>2.9999999999999988E-2</v>
      </c>
      <c r="S78" s="137">
        <v>2.9999999999999992E-2</v>
      </c>
      <c r="T78" s="137">
        <v>2.9999999999999988E-2</v>
      </c>
      <c r="U78" s="137">
        <v>2.9999999999999988E-2</v>
      </c>
    </row>
    <row r="79" spans="1:21" ht="15.6" x14ac:dyDescent="0.3">
      <c r="A79" s="12" t="s">
        <v>186</v>
      </c>
      <c r="B79" s="137">
        <v>7.5663729752107778E-2</v>
      </c>
      <c r="C79" s="137">
        <v>7.5663729752107778E-2</v>
      </c>
      <c r="D79" s="137">
        <v>7.5663729752107778E-2</v>
      </c>
      <c r="E79" s="137">
        <v>7.5663729752107778E-2</v>
      </c>
      <c r="F79" s="137">
        <v>7.5663729752107778E-2</v>
      </c>
      <c r="G79" s="137">
        <v>7.5663729752107778E-2</v>
      </c>
      <c r="H79" s="137">
        <v>7.5663729752107778E-2</v>
      </c>
      <c r="I79" s="137">
        <v>7.5663729752107778E-2</v>
      </c>
      <c r="J79" s="137">
        <v>7.5663729752107778E-2</v>
      </c>
      <c r="K79" s="137">
        <v>7.5663729752107778E-2</v>
      </c>
      <c r="L79" s="137">
        <v>7.5663729752107778E-2</v>
      </c>
      <c r="M79" s="137">
        <v>7.5663729752107778E-2</v>
      </c>
      <c r="N79" s="137">
        <v>7.5663729752107792E-2</v>
      </c>
      <c r="O79" s="137">
        <v>7.5663729752107792E-2</v>
      </c>
      <c r="P79" s="137">
        <v>7.5663729752107792E-2</v>
      </c>
      <c r="Q79" s="137">
        <v>7.5663729752107778E-2</v>
      </c>
      <c r="R79" s="137">
        <v>7.5663729752107778E-2</v>
      </c>
      <c r="S79" s="137">
        <v>7.5663729752107792E-2</v>
      </c>
      <c r="T79" s="137">
        <v>7.5663729752107778E-2</v>
      </c>
      <c r="U79" s="137">
        <v>7.5663729752107778E-2</v>
      </c>
    </row>
    <row r="80" spans="1:21" ht="15.6" x14ac:dyDescent="0.3">
      <c r="A80" s="13" t="s">
        <v>187</v>
      </c>
      <c r="B80" s="138">
        <v>7.6145130914807015E-12</v>
      </c>
      <c r="C80" s="138">
        <v>7.2314040659151658E-12</v>
      </c>
      <c r="D80" s="138">
        <v>6.8482950403496285E-12</v>
      </c>
      <c r="E80" s="138">
        <v>6.4651860147840912E-12</v>
      </c>
      <c r="F80" s="138">
        <v>6.0820769892185555E-12</v>
      </c>
      <c r="G80" s="138">
        <v>5.6989679636530182E-12</v>
      </c>
      <c r="H80" s="138">
        <v>5.3158589380874817E-12</v>
      </c>
      <c r="I80" s="138">
        <v>4.932749912521946E-12</v>
      </c>
      <c r="J80" s="138">
        <v>4.5496408869564087E-12</v>
      </c>
      <c r="K80" s="138">
        <v>4.1665318613908714E-12</v>
      </c>
      <c r="L80" s="138">
        <v>3.783422835825335E-12</v>
      </c>
      <c r="M80" s="138">
        <v>3.4003138102597985E-12</v>
      </c>
      <c r="N80" s="138">
        <v>3.0172047846942624E-12</v>
      </c>
      <c r="O80" s="138">
        <v>2.6340957591287251E-12</v>
      </c>
      <c r="P80" s="138">
        <v>2.2509867335631886E-12</v>
      </c>
      <c r="Q80" s="138">
        <v>1.8678777079976513E-12</v>
      </c>
      <c r="R80" s="138">
        <v>1.4847686824321146E-12</v>
      </c>
      <c r="S80" s="138">
        <v>1.1016596568665783E-12</v>
      </c>
      <c r="T80" s="138">
        <v>7.1855063130104131E-13</v>
      </c>
      <c r="U80" s="138">
        <v>3.3544160573550441E-13</v>
      </c>
    </row>
    <row r="81" spans="1:21" ht="15.6" x14ac:dyDescent="0.3">
      <c r="A81" s="13" t="s">
        <v>188</v>
      </c>
      <c r="B81" s="138">
        <v>1.5767633831099045E-10</v>
      </c>
      <c r="C81" s="138">
        <v>1.0994410508732729E-10</v>
      </c>
      <c r="D81" s="138">
        <v>7.6661510363160958E-11</v>
      </c>
      <c r="E81" s="138">
        <v>5.3454318141868673E-11</v>
      </c>
      <c r="F81" s="138">
        <v>3.7272473689550377E-11</v>
      </c>
      <c r="G81" s="138">
        <v>2.5989243586480058E-11</v>
      </c>
      <c r="H81" s="138">
        <v>1.8121705251528819E-11</v>
      </c>
      <c r="I81" s="138">
        <v>1.2635850679168022E-11</v>
      </c>
      <c r="J81" s="138">
        <v>8.8106897320141004E-12</v>
      </c>
      <c r="K81" s="138">
        <v>6.1434924742977373E-12</v>
      </c>
      <c r="L81" s="138">
        <v>4.2837168178347713E-12</v>
      </c>
      <c r="M81" s="138">
        <v>2.9869377804516757E-12</v>
      </c>
      <c r="N81" s="138">
        <v>2.0827234113946773E-12</v>
      </c>
      <c r="O81" s="138">
        <v>1.4522354087052799E-12</v>
      </c>
      <c r="P81" s="138">
        <v>1.0126105419274691E-12</v>
      </c>
      <c r="Q81" s="138">
        <v>7.0607017531462473E-13</v>
      </c>
      <c r="R81" s="138">
        <v>4.9232658739645413E-13</v>
      </c>
      <c r="S81" s="138">
        <v>3.4328807125925056E-13</v>
      </c>
      <c r="T81" s="138">
        <v>2.3936692205086677E-13</v>
      </c>
      <c r="U81" s="138">
        <v>1.6690508109393494E-13</v>
      </c>
    </row>
    <row r="82" spans="1:21" ht="15.6" x14ac:dyDescent="0.3">
      <c r="A82" s="17" t="s">
        <v>14</v>
      </c>
      <c r="B82" s="137">
        <v>1.5324768712979725E-8</v>
      </c>
      <c r="C82" s="137">
        <v>1.5324768712979725E-8</v>
      </c>
      <c r="D82" s="137">
        <v>1.5324768712979725E-8</v>
      </c>
      <c r="E82" s="137">
        <v>1.5324768712979725E-8</v>
      </c>
      <c r="F82" s="137">
        <v>1.5324768712979725E-8</v>
      </c>
      <c r="G82" s="137">
        <v>1.5324768712979725E-8</v>
      </c>
      <c r="H82" s="137">
        <v>1.5324768712979725E-8</v>
      </c>
      <c r="I82" s="137">
        <v>1.5324768712979725E-8</v>
      </c>
      <c r="J82" s="137">
        <v>1.5324768712979725E-8</v>
      </c>
      <c r="K82" s="137">
        <v>1.5324768712979725E-8</v>
      </c>
      <c r="L82" s="137">
        <v>1.5324768712979725E-8</v>
      </c>
      <c r="M82" s="137">
        <v>1.5324768712979725E-8</v>
      </c>
      <c r="N82" s="137">
        <v>1.5324768712979725E-8</v>
      </c>
      <c r="O82" s="137">
        <v>1.5324768712979725E-8</v>
      </c>
      <c r="P82" s="137">
        <v>1.5324768712979725E-8</v>
      </c>
      <c r="Q82" s="137">
        <v>1.5324768712979725E-8</v>
      </c>
      <c r="R82" s="137">
        <v>1.5324768712979725E-8</v>
      </c>
      <c r="S82" s="137">
        <v>1.5324768712979725E-8</v>
      </c>
      <c r="T82" s="137">
        <v>1.5324768712979725E-8</v>
      </c>
      <c r="U82" s="137">
        <v>1.5324768712979725E-8</v>
      </c>
    </row>
    <row r="83" spans="1:21" ht="15.6" x14ac:dyDescent="0.3">
      <c r="A83" s="141" t="s">
        <v>30</v>
      </c>
      <c r="B83" s="137">
        <v>99.99971423559515</v>
      </c>
      <c r="C83" s="142">
        <v>118.76944926171264</v>
      </c>
      <c r="D83" s="142">
        <v>140.68714984888626</v>
      </c>
      <c r="E83" s="142">
        <v>166.08830840275766</v>
      </c>
      <c r="F83" s="142">
        <v>195.2566448720298</v>
      </c>
      <c r="G83" s="142">
        <v>228.38853719584438</v>
      </c>
      <c r="H83" s="142">
        <v>265.56261104814081</v>
      </c>
      <c r="I83" s="142">
        <v>306.7288190222398</v>
      </c>
      <c r="J83" s="142">
        <v>351.73417298449277</v>
      </c>
      <c r="K83" s="142">
        <v>400.39931156342351</v>
      </c>
      <c r="L83" s="142">
        <v>452.65089108494078</v>
      </c>
      <c r="M83" s="142">
        <v>508.70517504028476</v>
      </c>
      <c r="N83" s="142">
        <v>569.29993800627744</v>
      </c>
      <c r="O83" s="142">
        <v>635.99893322851017</v>
      </c>
      <c r="P83" s="142">
        <v>711.66381816016201</v>
      </c>
      <c r="Q83" s="142">
        <v>801.35194009593761</v>
      </c>
      <c r="R83" s="142">
        <v>914.34347238729515</v>
      </c>
      <c r="S83" s="142">
        <v>1069.5401663133825</v>
      </c>
      <c r="T83" s="142">
        <v>1313.5877856098577</v>
      </c>
      <c r="U83" s="137">
        <v>1813.9336447726585</v>
      </c>
    </row>
    <row r="84" spans="1:21" ht="15.6" x14ac:dyDescent="0.3">
      <c r="A84" s="16" t="s">
        <v>17</v>
      </c>
      <c r="B84" s="143">
        <v>2.9979331470258153</v>
      </c>
      <c r="C84" s="143">
        <v>2.5241546530993575</v>
      </c>
      <c r="D84" s="143">
        <v>2.1309157113639063</v>
      </c>
      <c r="E84" s="143">
        <v>1.8050184319597919</v>
      </c>
      <c r="F84" s="143">
        <v>1.5353764692437608</v>
      </c>
      <c r="G84" s="143">
        <v>1.312642314193406</v>
      </c>
      <c r="H84" s="143">
        <v>1.1288955806570753</v>
      </c>
      <c r="I84" s="143">
        <v>0.9773860146420188</v>
      </c>
      <c r="J84" s="143">
        <v>0.85232678831356323</v>
      </c>
      <c r="K84" s="143">
        <v>0.74873369993922345</v>
      </c>
      <c r="L84" s="143">
        <v>0.66230391656015408</v>
      </c>
      <c r="M84" s="143">
        <v>0.58932456894361096</v>
      </c>
      <c r="N84" s="143">
        <v>0.52659843781099158</v>
      </c>
      <c r="O84" s="143">
        <v>0.47137257994784493</v>
      </c>
      <c r="P84" s="143">
        <v>0.42125572545621648</v>
      </c>
      <c r="Q84" s="143">
        <v>0.37410835738927511</v>
      </c>
      <c r="R84" s="143">
        <v>0.32787728797063553</v>
      </c>
      <c r="S84" s="143">
        <v>0.28030032666595406</v>
      </c>
      <c r="T84" s="143">
        <v>0.22822415165866949</v>
      </c>
      <c r="U84" s="143">
        <v>0.16527200918508417</v>
      </c>
    </row>
    <row r="85" spans="1:21" ht="16.2" thickBot="1" x14ac:dyDescent="0.35">
      <c r="A85" s="203" t="s">
        <v>189</v>
      </c>
      <c r="B85" s="299">
        <v>6.6082739192870466E-6</v>
      </c>
      <c r="C85" s="299">
        <v>6.0636628357283349E-6</v>
      </c>
      <c r="D85" s="299">
        <v>5.5713468961576127E-6</v>
      </c>
      <c r="E85" s="299">
        <v>5.1276442315464301E-6</v>
      </c>
      <c r="F85" s="299">
        <v>4.7291654145946591E-6</v>
      </c>
      <c r="G85" s="299">
        <v>4.3727058610032175E-6</v>
      </c>
      <c r="H85" s="299">
        <v>4.0551222463879317E-6</v>
      </c>
      <c r="I85" s="299">
        <v>3.7732025983403692E-6</v>
      </c>
      <c r="J85" s="299">
        <v>3.5235475269254619E-6</v>
      </c>
      <c r="K85" s="299">
        <v>3.3024842496159425E-6</v>
      </c>
      <c r="L85" s="299">
        <v>3.1060305731977558E-6</v>
      </c>
      <c r="M85" s="299">
        <v>2.9299103924597158E-6</v>
      </c>
      <c r="N85" s="299">
        <v>2.7695987072483181E-6</v>
      </c>
      <c r="O85" s="299">
        <v>2.620349508832188E-6</v>
      </c>
      <c r="P85" s="299">
        <v>2.4771366957738266E-6</v>
      </c>
      <c r="Q85" s="299">
        <v>2.334402661647526E-6</v>
      </c>
      <c r="R85" s="299">
        <v>2.1854090223141469E-6</v>
      </c>
      <c r="S85" s="299">
        <v>2.020639630832462E-6</v>
      </c>
      <c r="T85" s="299">
        <v>1.8232988805309221E-6</v>
      </c>
      <c r="U85" s="299">
        <v>1.551589092869688E-6</v>
      </c>
    </row>
    <row r="86" spans="1:21" ht="15.6" x14ac:dyDescent="0.3">
      <c r="A86" s="204" t="s">
        <v>190</v>
      </c>
      <c r="B86" s="207">
        <v>2.6088345191542361E-3</v>
      </c>
      <c r="C86" s="207">
        <v>2.8431483708298796E-3</v>
      </c>
      <c r="D86" s="207">
        <v>3.0943851520989526E-3</v>
      </c>
      <c r="E86" s="207">
        <v>3.3621468912759136E-3</v>
      </c>
      <c r="F86" s="207">
        <v>3.6454409184882249E-3</v>
      </c>
      <c r="G86" s="207">
        <v>3.9426144041409183E-3</v>
      </c>
      <c r="H86" s="207">
        <v>4.2513867807608026E-3</v>
      </c>
      <c r="I86" s="207">
        <v>4.5690345703264419E-3</v>
      </c>
      <c r="J86" s="207">
        <v>4.8927658789679213E-3</v>
      </c>
      <c r="K86" s="207">
        <v>5.2202801920001856E-3</v>
      </c>
      <c r="L86" s="207">
        <v>5.550458279911164E-3</v>
      </c>
      <c r="M86" s="207">
        <v>5.884102516251182E-3</v>
      </c>
      <c r="N86" s="207">
        <v>6.2246899045497704E-3</v>
      </c>
      <c r="O86" s="207">
        <v>6.5792342031296474E-3</v>
      </c>
      <c r="P86" s="207">
        <v>6.9596050722897929E-3</v>
      </c>
      <c r="Q86" s="207">
        <v>7.3851411309201857E-3</v>
      </c>
      <c r="R86" s="207">
        <v>7.888634546958739E-3</v>
      </c>
      <c r="S86" s="207">
        <v>8.5318989341806682E-3</v>
      </c>
      <c r="T86" s="207">
        <v>9.4553302789516652E-3</v>
      </c>
      <c r="U86" s="207">
        <v>1.1111120329401937E-2</v>
      </c>
    </row>
    <row r="87" spans="1:21" ht="15.6" x14ac:dyDescent="0.3">
      <c r="A87" s="204" t="s">
        <v>63</v>
      </c>
      <c r="B87" s="206">
        <v>6.7060438657376151</v>
      </c>
      <c r="C87" s="206">
        <v>7.9647541270176605</v>
      </c>
      <c r="D87" s="206">
        <v>9.4345689429621142</v>
      </c>
      <c r="E87" s="206">
        <v>11.137986645751754</v>
      </c>
      <c r="F87" s="206">
        <v>13.094033673973234</v>
      </c>
      <c r="G87" s="206">
        <v>15.315879256001001</v>
      </c>
      <c r="H87" s="206">
        <v>17.808796079086616</v>
      </c>
      <c r="I87" s="206">
        <v>20.569427932593662</v>
      </c>
      <c r="J87" s="206">
        <v>23.587515335852331</v>
      </c>
      <c r="K87" s="206">
        <v>26.851030202241262</v>
      </c>
      <c r="L87" s="206">
        <v>30.3550540587479</v>
      </c>
      <c r="M87" s="206">
        <v>34.114089671404138</v>
      </c>
      <c r="N87" s="206">
        <v>38.177612668345645</v>
      </c>
      <c r="O87" s="206">
        <v>42.65048932784417</v>
      </c>
      <c r="P87" s="206">
        <v>47.724624202391965</v>
      </c>
      <c r="Q87" s="206">
        <v>53.739166189181432</v>
      </c>
      <c r="R87" s="206">
        <v>61.316449562387696</v>
      </c>
      <c r="S87" s="206">
        <v>71.724037676427898</v>
      </c>
      <c r="T87" s="206">
        <v>88.090024847903678</v>
      </c>
      <c r="U87" s="206">
        <v>121.64353352774724</v>
      </c>
    </row>
    <row r="88" spans="1:21" ht="15.6" x14ac:dyDescent="0.3">
      <c r="A88" s="255" t="s">
        <v>64</v>
      </c>
      <c r="B88" s="256">
        <v>2570.513314087726</v>
      </c>
      <c r="C88" s="256">
        <v>2801.3853264692084</v>
      </c>
      <c r="D88" s="256">
        <v>3048.93168730549</v>
      </c>
      <c r="E88" s="256">
        <v>3312.7602707224246</v>
      </c>
      <c r="F88" s="256">
        <v>3591.8929881884819</v>
      </c>
      <c r="G88" s="256">
        <v>3884.7012885446698</v>
      </c>
      <c r="H88" s="256">
        <v>4188.9381036038458</v>
      </c>
      <c r="I88" s="256">
        <v>4501.9199605495751</v>
      </c>
      <c r="J88" s="256">
        <v>4820.8959756782551</v>
      </c>
      <c r="K88" s="256">
        <v>5143.5994265957415</v>
      </c>
      <c r="L88" s="256">
        <v>5468.9275241672003</v>
      </c>
      <c r="M88" s="256">
        <v>5797.6708558671662</v>
      </c>
      <c r="N88" s="256">
        <v>6133.2553514739329</v>
      </c>
      <c r="O88" s="256">
        <v>6482.5917441206066</v>
      </c>
      <c r="P88" s="256">
        <v>6857.3753405076468</v>
      </c>
      <c r="Q88" s="256">
        <v>7276.660694294078</v>
      </c>
      <c r="R88" s="256">
        <v>7772.7582888253692</v>
      </c>
      <c r="S88" s="256">
        <v>8406.5737568790919</v>
      </c>
      <c r="T88" s="256">
        <v>9316.4408063036408</v>
      </c>
      <c r="U88" s="256">
        <v>10947.908934606487</v>
      </c>
    </row>
    <row r="89" spans="1:21" ht="15.6" x14ac:dyDescent="0.3">
      <c r="A89" s="255"/>
      <c r="B89" s="256"/>
      <c r="C89" s="256"/>
      <c r="D89" s="256"/>
      <c r="E89" s="256"/>
      <c r="F89" s="256"/>
      <c r="G89" s="256"/>
      <c r="H89" s="256"/>
      <c r="I89" s="256"/>
      <c r="J89" s="256"/>
      <c r="K89" s="256"/>
      <c r="L89" s="256"/>
      <c r="M89" s="256"/>
      <c r="N89" s="256"/>
      <c r="O89" s="256"/>
      <c r="P89" s="256"/>
      <c r="Q89" s="256"/>
      <c r="R89" s="256"/>
      <c r="S89" s="256"/>
      <c r="T89" s="256"/>
      <c r="U89" s="256"/>
    </row>
    <row r="90" spans="1:21" ht="15.6" x14ac:dyDescent="0.3">
      <c r="A90" s="318" t="s">
        <v>193</v>
      </c>
    </row>
    <row r="91" spans="1:21" ht="15.6" x14ac:dyDescent="0.3">
      <c r="A91" s="156" t="s">
        <v>177</v>
      </c>
      <c r="B91" s="137">
        <v>0.05</v>
      </c>
      <c r="C91" s="137">
        <v>0.05</v>
      </c>
      <c r="D91" s="137">
        <v>0.05</v>
      </c>
      <c r="E91" s="137">
        <v>0.05</v>
      </c>
      <c r="F91" s="137">
        <v>0.05</v>
      </c>
      <c r="G91" s="137">
        <v>0.05</v>
      </c>
      <c r="H91" s="137">
        <v>0.05</v>
      </c>
      <c r="I91" s="137">
        <v>0.05</v>
      </c>
      <c r="J91" s="137">
        <v>0.05</v>
      </c>
      <c r="K91" s="137">
        <v>0.05</v>
      </c>
      <c r="L91" s="137">
        <v>0.05</v>
      </c>
      <c r="M91" s="137">
        <v>0.05</v>
      </c>
      <c r="N91" s="137">
        <v>0.05</v>
      </c>
      <c r="O91" s="137">
        <v>0.05</v>
      </c>
      <c r="P91" s="137">
        <v>0.05</v>
      </c>
      <c r="Q91" s="137">
        <v>0.05</v>
      </c>
      <c r="R91" s="137">
        <v>0.05</v>
      </c>
      <c r="S91" s="137">
        <v>0.05</v>
      </c>
      <c r="T91" s="137">
        <v>0.05</v>
      </c>
      <c r="U91" s="137">
        <v>0.05</v>
      </c>
    </row>
    <row r="92" spans="1:21" ht="15.6" x14ac:dyDescent="0.3">
      <c r="A92" s="156" t="s">
        <v>192</v>
      </c>
      <c r="B92" s="140">
        <v>0.6</v>
      </c>
      <c r="C92" s="140">
        <v>0.6</v>
      </c>
      <c r="D92" s="140">
        <v>0.6</v>
      </c>
      <c r="E92" s="140">
        <v>0.6</v>
      </c>
      <c r="F92" s="140">
        <v>0.6</v>
      </c>
      <c r="G92" s="140">
        <v>0.6</v>
      </c>
      <c r="H92" s="140">
        <v>0.6</v>
      </c>
      <c r="I92" s="140">
        <v>0.6</v>
      </c>
      <c r="J92" s="140">
        <v>0.6</v>
      </c>
      <c r="K92" s="140">
        <v>0.6</v>
      </c>
      <c r="L92" s="140">
        <v>0.6</v>
      </c>
      <c r="M92" s="140">
        <v>0.6</v>
      </c>
      <c r="N92" s="140">
        <v>0.6</v>
      </c>
      <c r="O92" s="140">
        <v>0.6</v>
      </c>
      <c r="P92" s="140">
        <v>0.6</v>
      </c>
      <c r="Q92" s="140">
        <v>0.6</v>
      </c>
      <c r="R92" s="140">
        <v>0.6</v>
      </c>
      <c r="S92" s="140">
        <v>0.6</v>
      </c>
      <c r="T92" s="140">
        <v>0.6</v>
      </c>
      <c r="U92" s="140">
        <v>0.6</v>
      </c>
    </row>
    <row r="93" spans="1:21" ht="15.6" x14ac:dyDescent="0.3">
      <c r="A93" s="156" t="s">
        <v>185</v>
      </c>
      <c r="B93" s="137">
        <v>0.03</v>
      </c>
      <c r="C93" s="137">
        <v>0.03</v>
      </c>
      <c r="D93" s="137">
        <v>0.03</v>
      </c>
      <c r="E93" s="137">
        <v>0.03</v>
      </c>
      <c r="F93" s="137">
        <v>0.03</v>
      </c>
      <c r="G93" s="137">
        <v>0.03</v>
      </c>
      <c r="H93" s="137">
        <v>0.03</v>
      </c>
      <c r="I93" s="137">
        <v>0.03</v>
      </c>
      <c r="J93" s="137">
        <v>0.03</v>
      </c>
      <c r="K93" s="137">
        <v>0.03</v>
      </c>
      <c r="L93" s="137">
        <v>0.03</v>
      </c>
      <c r="M93" s="137">
        <v>0.03</v>
      </c>
      <c r="N93" s="137">
        <v>0.03</v>
      </c>
      <c r="O93" s="137">
        <v>0.03</v>
      </c>
      <c r="P93" s="137">
        <v>0.03</v>
      </c>
      <c r="Q93" s="137">
        <v>0.03</v>
      </c>
      <c r="R93" s="137">
        <v>0.03</v>
      </c>
      <c r="S93" s="137">
        <v>0.03</v>
      </c>
      <c r="T93" s="137">
        <v>0.03</v>
      </c>
      <c r="U93" s="137">
        <v>0.03</v>
      </c>
    </row>
    <row r="94" spans="1:21" ht="15.6" x14ac:dyDescent="0.3">
      <c r="A94" s="156" t="s">
        <v>36</v>
      </c>
      <c r="B94" s="137">
        <v>0.15</v>
      </c>
      <c r="C94" s="137">
        <v>0.15</v>
      </c>
      <c r="D94" s="137">
        <v>0.15</v>
      </c>
      <c r="E94" s="137">
        <v>0.15</v>
      </c>
      <c r="F94" s="137">
        <v>0.15</v>
      </c>
      <c r="G94" s="137">
        <v>0.15</v>
      </c>
      <c r="H94" s="137">
        <v>0.15</v>
      </c>
      <c r="I94" s="137">
        <v>0.15</v>
      </c>
      <c r="J94" s="137">
        <v>0.15</v>
      </c>
      <c r="K94" s="137">
        <v>0.15</v>
      </c>
      <c r="L94" s="137">
        <v>0.15</v>
      </c>
      <c r="M94" s="137">
        <v>0.15</v>
      </c>
      <c r="N94" s="137">
        <v>0.15</v>
      </c>
      <c r="O94" s="137">
        <v>0.15</v>
      </c>
      <c r="P94" s="137">
        <v>0.15</v>
      </c>
      <c r="Q94" s="137">
        <v>0.15</v>
      </c>
      <c r="R94" s="137">
        <v>0.15</v>
      </c>
      <c r="S94" s="137">
        <v>0.15</v>
      </c>
      <c r="T94" s="137">
        <v>0.15</v>
      </c>
      <c r="U94" s="137">
        <v>0.15</v>
      </c>
    </row>
    <row r="95" spans="1:21" ht="15.6" x14ac:dyDescent="0.3">
      <c r="A95" s="156" t="s">
        <v>3</v>
      </c>
      <c r="B95" s="137">
        <v>1.5877224526913882E-4</v>
      </c>
      <c r="C95" s="137">
        <v>2.2770321555273546E-4</v>
      </c>
      <c r="D95" s="137">
        <v>3.2656056658495559E-4</v>
      </c>
      <c r="E95" s="137">
        <v>4.6833683656781407E-4</v>
      </c>
      <c r="F95" s="137">
        <v>6.7166527416373056E-4</v>
      </c>
      <c r="G95" s="137">
        <v>9.632687529419142E-4</v>
      </c>
      <c r="H95" s="137">
        <v>1.3814718820316463E-3</v>
      </c>
      <c r="I95" s="137">
        <v>1.9812378996156856E-3</v>
      </c>
      <c r="J95" s="137">
        <v>2.8413923337338356E-3</v>
      </c>
      <c r="K95" s="137">
        <v>4.0749828154243804E-3</v>
      </c>
      <c r="L95" s="137">
        <v>5.8441366047408752E-3</v>
      </c>
      <c r="M95" s="137">
        <v>8.381368511689127E-3</v>
      </c>
      <c r="N95" s="137">
        <v>1.2020139651038961E-2</v>
      </c>
      <c r="O95" s="137">
        <v>1.7238683280537528E-2</v>
      </c>
      <c r="P95" s="137">
        <v>2.4722857626782897E-2</v>
      </c>
      <c r="Q95" s="137">
        <v>3.5456286265450693E-2</v>
      </c>
      <c r="R95" s="137">
        <v>5.0849632947596111E-2</v>
      </c>
      <c r="S95" s="137">
        <v>7.2926001091794965E-2</v>
      </c>
      <c r="T95" s="137">
        <v>0.10458682446579776</v>
      </c>
      <c r="U95" s="137">
        <v>0.14999319430762387</v>
      </c>
    </row>
    <row r="96" spans="1:21" ht="15.6" x14ac:dyDescent="0.3">
      <c r="A96" s="158" t="s">
        <v>38</v>
      </c>
      <c r="B96" s="157">
        <v>3.8208233564122659E-12</v>
      </c>
      <c r="C96" s="157">
        <v>3.6292688436294977E-12</v>
      </c>
      <c r="D96" s="157">
        <v>3.4377143308467294E-12</v>
      </c>
      <c r="E96" s="157">
        <v>3.2461598180639608E-12</v>
      </c>
      <c r="F96" s="157">
        <v>3.0546053052811925E-12</v>
      </c>
      <c r="G96" s="157">
        <v>2.8630507924984239E-12</v>
      </c>
      <c r="H96" s="157">
        <v>2.6714962797156556E-12</v>
      </c>
      <c r="I96" s="157">
        <v>2.479941766932887E-12</v>
      </c>
      <c r="J96" s="157">
        <v>2.2883872541501187E-12</v>
      </c>
      <c r="K96" s="157">
        <v>2.0968327413673505E-12</v>
      </c>
      <c r="L96" s="157">
        <v>1.9052782285845823E-12</v>
      </c>
      <c r="M96" s="157">
        <v>1.7137237158018136E-12</v>
      </c>
      <c r="N96" s="157">
        <v>1.5221692030190454E-12</v>
      </c>
      <c r="O96" s="157">
        <v>1.3306146902362769E-12</v>
      </c>
      <c r="P96" s="157">
        <v>1.1390601774535085E-12</v>
      </c>
      <c r="Q96" s="157">
        <v>9.4750566467074002E-13</v>
      </c>
      <c r="R96" s="157">
        <v>7.5595115188797157E-13</v>
      </c>
      <c r="S96" s="157">
        <v>5.6439663910520323E-13</v>
      </c>
      <c r="T96" s="157">
        <v>3.7284212632243488E-13</v>
      </c>
      <c r="U96" s="157">
        <v>1.8128761353966633E-13</v>
      </c>
    </row>
    <row r="97" spans="1:21" ht="15.6" x14ac:dyDescent="0.3">
      <c r="A97" s="158" t="s">
        <v>37</v>
      </c>
      <c r="B97" s="157">
        <v>1.5767633831099056E-10</v>
      </c>
      <c r="C97" s="157">
        <v>1.0994410508732737E-10</v>
      </c>
      <c r="D97" s="157">
        <v>7.6661510363160997E-11</v>
      </c>
      <c r="E97" s="157">
        <v>5.3454318141868705E-11</v>
      </c>
      <c r="F97" s="157">
        <v>3.7272473689550396E-11</v>
      </c>
      <c r="G97" s="157">
        <v>2.5989243586480074E-11</v>
      </c>
      <c r="H97" s="157">
        <v>1.8121705251528832E-11</v>
      </c>
      <c r="I97" s="157">
        <v>1.263585067916803E-11</v>
      </c>
      <c r="J97" s="157">
        <v>8.8106897320141052E-12</v>
      </c>
      <c r="K97" s="157">
        <v>6.1434924742977414E-12</v>
      </c>
      <c r="L97" s="157">
        <v>4.2837168178347738E-12</v>
      </c>
      <c r="M97" s="157">
        <v>2.9869377804516777E-12</v>
      </c>
      <c r="N97" s="157">
        <v>2.0827234113946781E-12</v>
      </c>
      <c r="O97" s="157">
        <v>1.4522354087052805E-12</v>
      </c>
      <c r="P97" s="157">
        <v>1.0126105419274695E-12</v>
      </c>
      <c r="Q97" s="157">
        <v>7.0607017531462503E-13</v>
      </c>
      <c r="R97" s="157">
        <v>4.9232658739645433E-13</v>
      </c>
      <c r="S97" s="157">
        <v>3.4328807125925066E-13</v>
      </c>
      <c r="T97" s="157">
        <v>2.3936692205086682E-13</v>
      </c>
      <c r="U97" s="157">
        <v>1.6690508109393494E-13</v>
      </c>
    </row>
    <row r="98" spans="1:21" ht="15.6" x14ac:dyDescent="0.3">
      <c r="A98" s="158" t="s">
        <v>14</v>
      </c>
      <c r="B98" s="157">
        <v>1.5324768712979725E-8</v>
      </c>
      <c r="C98" s="157">
        <v>1.5324768712979725E-8</v>
      </c>
      <c r="D98" s="157">
        <v>1.5324768712979725E-8</v>
      </c>
      <c r="E98" s="157">
        <v>1.5324768712979725E-8</v>
      </c>
      <c r="F98" s="157">
        <v>1.5324768712979725E-8</v>
      </c>
      <c r="G98" s="157">
        <v>1.5324768712979725E-8</v>
      </c>
      <c r="H98" s="157">
        <v>1.5324768712979725E-8</v>
      </c>
      <c r="I98" s="157">
        <v>1.5324768712979725E-8</v>
      </c>
      <c r="J98" s="157">
        <v>1.5324768712979725E-8</v>
      </c>
      <c r="K98" s="157">
        <v>1.5324768712979725E-8</v>
      </c>
      <c r="L98" s="157">
        <v>1.5324768712979725E-8</v>
      </c>
      <c r="M98" s="157">
        <v>1.5324768712979725E-8</v>
      </c>
      <c r="N98" s="157">
        <v>1.5324768712979725E-8</v>
      </c>
      <c r="O98" s="157">
        <v>1.5324768712979725E-8</v>
      </c>
      <c r="P98" s="157">
        <v>1.5324768712979725E-8</v>
      </c>
      <c r="Q98" s="157">
        <v>1.5324768712979725E-8</v>
      </c>
      <c r="R98" s="157">
        <v>1.5324768712979725E-8</v>
      </c>
      <c r="S98" s="157">
        <v>1.5324768712979725E-8</v>
      </c>
      <c r="T98" s="157">
        <v>1.5324768712979725E-8</v>
      </c>
      <c r="U98" s="157">
        <v>1.5324768712979725E-8</v>
      </c>
    </row>
    <row r="99" spans="1:21" ht="16.2" thickBot="1" x14ac:dyDescent="0.35">
      <c r="A99" s="156" t="s">
        <v>30</v>
      </c>
      <c r="B99" s="146">
        <v>101.16743063982062</v>
      </c>
      <c r="C99" s="146">
        <v>120.63821524298021</v>
      </c>
      <c r="D99" s="146">
        <v>143.65111824098935</v>
      </c>
      <c r="E99" s="146">
        <v>170.73784963430953</v>
      </c>
      <c r="F99" s="146">
        <v>202.45326462778124</v>
      </c>
      <c r="G99" s="146">
        <v>239.34975648796814</v>
      </c>
      <c r="H99" s="146">
        <v>281.94375913829543</v>
      </c>
      <c r="I99" s="146">
        <v>330.67983121071359</v>
      </c>
      <c r="J99" s="146">
        <v>385.90440449659718</v>
      </c>
      <c r="K99" s="146">
        <v>447.86898782108096</v>
      </c>
      <c r="L99" s="146">
        <v>516.78880810624094</v>
      </c>
      <c r="M99" s="146">
        <v>592.98495989199921</v>
      </c>
      <c r="N99" s="146">
        <v>677.13771119975604</v>
      </c>
      <c r="O99" s="146">
        <v>770.6874034026057</v>
      </c>
      <c r="P99" s="146">
        <v>876.46638103362</v>
      </c>
      <c r="Q99" s="146">
        <v>999.79533988087155</v>
      </c>
      <c r="R99" s="146">
        <v>1150.7144173303484</v>
      </c>
      <c r="S99" s="146">
        <v>1349.4464566835168</v>
      </c>
      <c r="T99" s="146">
        <v>1643.1351841826222</v>
      </c>
      <c r="U99" s="147">
        <v>2178.7797980217856</v>
      </c>
    </row>
    <row r="100" spans="1:21" ht="15.6" x14ac:dyDescent="0.3">
      <c r="A100" s="16" t="s">
        <v>17</v>
      </c>
      <c r="B100" s="143">
        <v>2.9633297604179578</v>
      </c>
      <c r="C100" s="143">
        <v>2.4850538230873287</v>
      </c>
      <c r="D100" s="143">
        <v>2.0869483069186257</v>
      </c>
      <c r="E100" s="143">
        <v>1.7558640842795126</v>
      </c>
      <c r="F100" s="143">
        <v>1.4807983390694188</v>
      </c>
      <c r="G100" s="143">
        <v>1.2525287779646028</v>
      </c>
      <c r="H100" s="143">
        <v>1.0633058838268155</v>
      </c>
      <c r="I100" s="143">
        <v>0.90659432388837846</v>
      </c>
      <c r="J100" s="143">
        <v>0.77685679278802711</v>
      </c>
      <c r="K100" s="143">
        <v>0.66937534446962865</v>
      </c>
      <c r="L100" s="143">
        <v>0.58010632834441911</v>
      </c>
      <c r="M100" s="143">
        <v>0.50556502825063465</v>
      </c>
      <c r="N100" s="143">
        <v>0.44273484261986562</v>
      </c>
      <c r="O100" s="143">
        <v>0.38899358764190023</v>
      </c>
      <c r="P100" s="143">
        <v>0.34204672818876825</v>
      </c>
      <c r="Q100" s="143">
        <v>0.29985382611977479</v>
      </c>
      <c r="R100" s="143">
        <v>0.26052724593085136</v>
      </c>
      <c r="S100" s="143">
        <v>0.22215957996346777</v>
      </c>
      <c r="T100" s="143">
        <v>0.18245148718492801</v>
      </c>
      <c r="U100" s="143">
        <v>0.13759649243681962</v>
      </c>
    </row>
    <row r="101" spans="1:21" ht="16.2" thickBot="1" x14ac:dyDescent="0.35">
      <c r="A101" s="203" t="s">
        <v>189</v>
      </c>
      <c r="B101" s="299">
        <v>6.5700255113171263E-6</v>
      </c>
      <c r="C101" s="299">
        <v>6.0165144532848196E-6</v>
      </c>
      <c r="D101" s="299">
        <v>5.5135702261752293E-6</v>
      </c>
      <c r="E101" s="299">
        <v>5.0573441989741873E-6</v>
      </c>
      <c r="F101" s="299">
        <v>4.6443508878716073E-6</v>
      </c>
      <c r="G101" s="299">
        <v>4.2714066660623752E-6</v>
      </c>
      <c r="H101" s="299">
        <v>3.9355566949127346E-6</v>
      </c>
      <c r="I101" s="299">
        <v>3.6339886156240364E-6</v>
      </c>
      <c r="J101" s="299">
        <v>3.3639346349908856E-6</v>
      </c>
      <c r="K101" s="299">
        <v>3.122568112818587E-6</v>
      </c>
      <c r="L101" s="299">
        <v>2.9069051827152257E-6</v>
      </c>
      <c r="M101" s="299">
        <v>2.7137233837530349E-6</v>
      </c>
      <c r="N101" s="299">
        <v>2.5395040832437876E-6</v>
      </c>
      <c r="O101" s="299">
        <v>2.3803909241991529E-6</v>
      </c>
      <c r="P101" s="299">
        <v>2.2321315441973348E-6</v>
      </c>
      <c r="Q101" s="299">
        <v>2.0899305865486324E-6</v>
      </c>
      <c r="R101" s="299">
        <v>1.9480658756929551E-6</v>
      </c>
      <c r="S101" s="299">
        <v>1.7989106271943241E-6</v>
      </c>
      <c r="T101" s="299">
        <v>1.6302370854615828E-6</v>
      </c>
      <c r="U101" s="299">
        <v>1.4157310142038206E-6</v>
      </c>
    </row>
    <row r="102" spans="1:21" ht="15.6" x14ac:dyDescent="0.3">
      <c r="A102" s="204" t="s">
        <v>190</v>
      </c>
      <c r="B102" s="207">
        <v>2.6240222481581405E-3</v>
      </c>
      <c r="C102" s="207">
        <v>2.8654286874105796E-3</v>
      </c>
      <c r="D102" s="207">
        <v>3.1268111959139831E-3</v>
      </c>
      <c r="E102" s="207">
        <v>3.4088826930465947E-3</v>
      </c>
      <c r="F102" s="207">
        <v>3.7120134823756443E-3</v>
      </c>
      <c r="G102" s="207">
        <v>4.0361160761486128E-3</v>
      </c>
      <c r="H102" s="207">
        <v>4.3805475182069438E-3</v>
      </c>
      <c r="I102" s="207">
        <v>4.7440691031725287E-3</v>
      </c>
      <c r="J102" s="207">
        <v>5.1249191745098852E-3</v>
      </c>
      <c r="K102" s="207">
        <v>5.5210623082617427E-3</v>
      </c>
      <c r="L102" s="207">
        <v>5.9306692269059822E-3</v>
      </c>
      <c r="M102" s="207">
        <v>6.3528557169375945E-3</v>
      </c>
      <c r="N102" s="207">
        <v>6.7886849351475147E-3</v>
      </c>
      <c r="O102" s="207">
        <v>7.2424629658100412E-3</v>
      </c>
      <c r="P102" s="207">
        <v>7.723511258769516E-3</v>
      </c>
      <c r="Q102" s="207">
        <v>8.2490266536235177E-3</v>
      </c>
      <c r="R102" s="207">
        <v>8.8497485263583416E-3</v>
      </c>
      <c r="S102" s="207">
        <v>9.5835184094448019E-3</v>
      </c>
      <c r="T102" s="207">
        <v>1.0575083382906495E-2</v>
      </c>
      <c r="U102" s="207">
        <v>1.2177378993394503E-2</v>
      </c>
    </row>
    <row r="103" spans="1:21" ht="15.6" x14ac:dyDescent="0.3">
      <c r="A103" s="204" t="s">
        <v>63</v>
      </c>
      <c r="B103" s="206">
        <v>6.7843516638082031</v>
      </c>
      <c r="C103" s="206">
        <v>8.0900747515911835</v>
      </c>
      <c r="D103" s="206">
        <v>9.6333345315044472</v>
      </c>
      <c r="E103" s="206">
        <v>11.449787811311925</v>
      </c>
      <c r="F103" s="206">
        <v>13.576643530771451</v>
      </c>
      <c r="G103" s="206">
        <v>16.05094553050828</v>
      </c>
      <c r="H103" s="206">
        <v>18.907326194931873</v>
      </c>
      <c r="I103" s="206">
        <v>22.17559790610294</v>
      </c>
      <c r="J103" s="206">
        <v>25.878992598304514</v>
      </c>
      <c r="K103" s="206">
        <v>30.034376611874329</v>
      </c>
      <c r="L103" s="206">
        <v>34.656183199862774</v>
      </c>
      <c r="M103" s="206">
        <v>39.765945164500614</v>
      </c>
      <c r="N103" s="206">
        <v>45.409281708070957</v>
      </c>
      <c r="O103" s="206">
        <v>51.682783030890292</v>
      </c>
      <c r="P103" s="206">
        <v>58.776387942552752</v>
      </c>
      <c r="Q103" s="206">
        <v>67.046905656202654</v>
      </c>
      <c r="R103" s="206">
        <v>77.167634113170536</v>
      </c>
      <c r="S103" s="206">
        <v>90.494729931565004</v>
      </c>
      <c r="T103" s="206">
        <v>110.18968110754163</v>
      </c>
      <c r="U103" s="206">
        <v>146.11034652453253</v>
      </c>
    </row>
    <row r="104" spans="1:21" ht="15.6" x14ac:dyDescent="0.3">
      <c r="A104" s="255" t="s">
        <v>64</v>
      </c>
      <c r="B104" s="256">
        <v>2585.4779503376126</v>
      </c>
      <c r="C104" s="256">
        <v>2823.3383671823267</v>
      </c>
      <c r="D104" s="256">
        <v>3080.8814245301987</v>
      </c>
      <c r="E104" s="256">
        <v>3358.8095696772111</v>
      </c>
      <c r="F104" s="256">
        <v>3657.487666796555</v>
      </c>
      <c r="G104" s="256">
        <v>3976.8295132444728</v>
      </c>
      <c r="H104" s="256">
        <v>4316.2015972540039</v>
      </c>
      <c r="I104" s="256">
        <v>4674.383408806867</v>
      </c>
      <c r="J104" s="256">
        <v>5049.6391683639413</v>
      </c>
      <c r="K104" s="256">
        <v>5439.9633503376244</v>
      </c>
      <c r="L104" s="256">
        <v>5843.5535474877315</v>
      </c>
      <c r="M104" s="256">
        <v>6259.5385345332315</v>
      </c>
      <c r="N104" s="256">
        <v>6688.9658515407646</v>
      </c>
      <c r="O104" s="256">
        <v>7136.0783306552639</v>
      </c>
      <c r="P104" s="256">
        <v>7610.060498819912</v>
      </c>
      <c r="Q104" s="256">
        <v>8127.8565910259513</v>
      </c>
      <c r="R104" s="256">
        <v>8719.7544521555919</v>
      </c>
      <c r="S104" s="256">
        <v>9442.7459796373059</v>
      </c>
      <c r="T104" s="256">
        <v>10419.745841971479</v>
      </c>
      <c r="U104" s="256">
        <v>11998.505310854545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8499D-176C-4D92-B8EB-30A368AF0937}">
  <dimension ref="A1"/>
  <sheetViews>
    <sheetView workbookViewId="0">
      <selection activeCell="A10" sqref="A10"/>
    </sheetView>
    <sheetView workbookViewId="1"/>
  </sheetViews>
  <sheetFormatPr defaultRowHeight="14.4" x14ac:dyDescent="0.3"/>
  <cols>
    <col min="1" max="1" width="26.6640625" customWidth="1"/>
    <col min="2" max="25" width="7.109375" customWidth="1"/>
    <col min="26" max="29" width="6.44140625" customWidth="1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C956F-F8F1-4155-BAA7-31BD245FB1B2}">
  <dimension ref="A1:E17"/>
  <sheetViews>
    <sheetView workbookViewId="0">
      <selection activeCell="G22" sqref="G22"/>
    </sheetView>
    <sheetView workbookViewId="1"/>
  </sheetViews>
  <sheetFormatPr defaultRowHeight="14.4" x14ac:dyDescent="0.3"/>
  <sheetData>
    <row r="1" spans="1:5" ht="15.6" x14ac:dyDescent="0.3">
      <c r="A1" s="309" t="s">
        <v>170</v>
      </c>
    </row>
    <row r="2" spans="1:5" ht="15.6" x14ac:dyDescent="0.3">
      <c r="A2" s="310" t="s">
        <v>171</v>
      </c>
    </row>
    <row r="3" spans="1:5" ht="15" thickBot="1" x14ac:dyDescent="0.35"/>
    <row r="4" spans="1:5" ht="26.4" x14ac:dyDescent="0.3">
      <c r="A4" s="303" t="s">
        <v>24</v>
      </c>
      <c r="B4" s="303" t="s">
        <v>112</v>
      </c>
      <c r="C4" s="345" t="s">
        <v>115</v>
      </c>
      <c r="D4" s="346"/>
      <c r="E4" s="347"/>
    </row>
    <row r="5" spans="1:5" ht="15" thickBot="1" x14ac:dyDescent="0.35">
      <c r="A5" s="304" t="s">
        <v>111</v>
      </c>
      <c r="B5" s="304" t="s">
        <v>113</v>
      </c>
      <c r="C5" s="348" t="s">
        <v>114</v>
      </c>
      <c r="D5" s="349"/>
      <c r="E5" s="350"/>
    </row>
    <row r="6" spans="1:5" ht="15" thickBot="1" x14ac:dyDescent="0.35">
      <c r="A6" s="305"/>
      <c r="B6" s="306" t="s">
        <v>114</v>
      </c>
      <c r="C6" s="307" t="s">
        <v>116</v>
      </c>
      <c r="D6" s="307" t="s">
        <v>117</v>
      </c>
      <c r="E6" s="307" t="s">
        <v>118</v>
      </c>
    </row>
    <row r="7" spans="1:5" ht="27" thickBot="1" x14ac:dyDescent="0.35">
      <c r="A7" s="308" t="s">
        <v>119</v>
      </c>
      <c r="B7" s="308" t="s">
        <v>120</v>
      </c>
      <c r="C7" s="307" t="s">
        <v>121</v>
      </c>
      <c r="D7" s="307" t="s">
        <v>122</v>
      </c>
      <c r="E7" s="307"/>
    </row>
    <row r="8" spans="1:5" ht="27" thickBot="1" x14ac:dyDescent="0.35">
      <c r="A8" s="308" t="s">
        <v>123</v>
      </c>
      <c r="B8" s="308" t="s">
        <v>124</v>
      </c>
      <c r="C8" s="307" t="s">
        <v>125</v>
      </c>
      <c r="D8" s="307" t="s">
        <v>126</v>
      </c>
      <c r="E8" s="307" t="s">
        <v>127</v>
      </c>
    </row>
    <row r="9" spans="1:5" ht="27.6" thickBot="1" x14ac:dyDescent="0.35">
      <c r="A9" s="308" t="s">
        <v>128</v>
      </c>
      <c r="B9" s="308" t="s">
        <v>129</v>
      </c>
      <c r="C9" s="307" t="s">
        <v>130</v>
      </c>
      <c r="D9" s="307" t="s">
        <v>131</v>
      </c>
      <c r="E9" s="307" t="s">
        <v>132</v>
      </c>
    </row>
    <row r="10" spans="1:5" ht="27" thickBot="1" x14ac:dyDescent="0.35">
      <c r="A10" s="308" t="s">
        <v>133</v>
      </c>
      <c r="B10" s="308" t="s">
        <v>134</v>
      </c>
      <c r="C10" s="307" t="s">
        <v>135</v>
      </c>
      <c r="D10" s="307" t="s">
        <v>136</v>
      </c>
      <c r="E10" s="307" t="s">
        <v>137</v>
      </c>
    </row>
    <row r="11" spans="1:5" ht="27.6" thickBot="1" x14ac:dyDescent="0.35">
      <c r="A11" s="308" t="s">
        <v>138</v>
      </c>
      <c r="B11" s="308" t="s">
        <v>139</v>
      </c>
      <c r="C11" s="307" t="s">
        <v>140</v>
      </c>
      <c r="D11" s="307" t="s">
        <v>141</v>
      </c>
      <c r="E11" s="307" t="s">
        <v>142</v>
      </c>
    </row>
    <row r="12" spans="1:5" ht="27.6" thickBot="1" x14ac:dyDescent="0.35">
      <c r="A12" s="307">
        <v>1</v>
      </c>
      <c r="B12" s="307" t="s">
        <v>143</v>
      </c>
      <c r="C12" s="307" t="s">
        <v>144</v>
      </c>
      <c r="D12" s="307" t="s">
        <v>145</v>
      </c>
      <c r="E12" s="307" t="s">
        <v>146</v>
      </c>
    </row>
    <row r="13" spans="1:5" ht="27.6" thickBot="1" x14ac:dyDescent="0.35">
      <c r="A13" s="307" t="s">
        <v>147</v>
      </c>
      <c r="B13" s="307" t="s">
        <v>148</v>
      </c>
      <c r="C13" s="307" t="s">
        <v>149</v>
      </c>
      <c r="D13" s="307" t="s">
        <v>150</v>
      </c>
      <c r="E13" s="307" t="s">
        <v>151</v>
      </c>
    </row>
    <row r="14" spans="1:5" ht="27.6" thickBot="1" x14ac:dyDescent="0.35">
      <c r="A14" s="307" t="s">
        <v>152</v>
      </c>
      <c r="B14" s="307" t="s">
        <v>153</v>
      </c>
      <c r="C14" s="307" t="s">
        <v>154</v>
      </c>
      <c r="D14" s="307" t="s">
        <v>155</v>
      </c>
      <c r="E14" s="307" t="s">
        <v>156</v>
      </c>
    </row>
    <row r="15" spans="1:5" ht="27.6" thickBot="1" x14ac:dyDescent="0.35">
      <c r="A15" s="307">
        <v>2</v>
      </c>
      <c r="B15" s="307" t="s">
        <v>157</v>
      </c>
      <c r="C15" s="307" t="s">
        <v>158</v>
      </c>
      <c r="D15" s="307" t="s">
        <v>159</v>
      </c>
      <c r="E15" s="307" t="s">
        <v>160</v>
      </c>
    </row>
    <row r="16" spans="1:5" ht="27.6" thickBot="1" x14ac:dyDescent="0.35">
      <c r="A16" s="307" t="s">
        <v>161</v>
      </c>
      <c r="B16" s="307" t="s">
        <v>162</v>
      </c>
      <c r="C16" s="307" t="s">
        <v>163</v>
      </c>
      <c r="D16" s="307" t="s">
        <v>164</v>
      </c>
      <c r="E16" s="307" t="s">
        <v>165</v>
      </c>
    </row>
    <row r="17" spans="1:5" ht="27.6" thickBot="1" x14ac:dyDescent="0.35">
      <c r="A17" s="307">
        <v>3</v>
      </c>
      <c r="B17" s="307" t="s">
        <v>166</v>
      </c>
      <c r="C17" s="307" t="s">
        <v>167</v>
      </c>
      <c r="D17" s="307" t="s">
        <v>168</v>
      </c>
      <c r="E17" s="307" t="s">
        <v>169</v>
      </c>
    </row>
  </sheetData>
  <mergeCells count="2">
    <mergeCell ref="C4:E4"/>
    <mergeCell ref="C5:E5"/>
  </mergeCells>
  <hyperlinks>
    <hyperlink ref="A2" r:id="rId1" location="United_States,_Canada,_and_Brazil" xr:uid="{4EC62507-288A-41C0-9957-E2040E66FBE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27</vt:i4>
      </vt:variant>
    </vt:vector>
  </HeadingPairs>
  <TitlesOfParts>
    <vt:vector size="33" baseType="lpstr">
      <vt:lpstr>Calculations</vt:lpstr>
      <vt:lpstr>rCav .025</vt:lpstr>
      <vt:lpstr>Optimize Rcav = .025</vt:lpstr>
      <vt:lpstr>rCav .05</vt:lpstr>
      <vt:lpstr>Optimize Rcav=.05</vt:lpstr>
      <vt:lpstr>Copper tubing sizes</vt:lpstr>
      <vt:lpstr>\L</vt:lpstr>
      <vt:lpstr>\LM</vt:lpstr>
      <vt:lpstr>\r1</vt:lpstr>
      <vt:lpstr>\r2</vt:lpstr>
      <vt:lpstr>_c</vt:lpstr>
      <vt:lpstr>_C0</vt:lpstr>
      <vt:lpstr>_C1</vt:lpstr>
      <vt:lpstr>_d</vt:lpstr>
      <vt:lpstr>_deg</vt:lpstr>
      <vt:lpstr>_f0</vt:lpstr>
      <vt:lpstr>_l</vt:lpstr>
      <vt:lpstr>_r0</vt:lpstr>
      <vt:lpstr>_r1</vt:lpstr>
      <vt:lpstr>_r2</vt:lpstr>
      <vt:lpstr>_rb0</vt:lpstr>
      <vt:lpstr>alpha</vt:lpstr>
      <vt:lpstr>deg</vt:lpstr>
      <vt:lpstr>Dline</vt:lpstr>
      <vt:lpstr>dmult</vt:lpstr>
      <vt:lpstr>epsilon0</vt:lpstr>
      <vt:lpstr>lambda</vt:lpstr>
      <vt:lpstr>Mu0</vt:lpstr>
      <vt:lpstr>S_Ag</vt:lpstr>
      <vt:lpstr>S_Al</vt:lpstr>
      <vt:lpstr>S_Au</vt:lpstr>
      <vt:lpstr>S_brass</vt:lpstr>
      <vt:lpstr>S_Cu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Tracy</dc:creator>
  <cp:lastModifiedBy>Tracy Hall Jr</cp:lastModifiedBy>
  <dcterms:created xsi:type="dcterms:W3CDTF">2015-06-05T18:17:20Z</dcterms:created>
  <dcterms:modified xsi:type="dcterms:W3CDTF">2022-10-21T16:29:36Z</dcterms:modified>
</cp:coreProperties>
</file>