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32"/>
  </bookViews>
  <sheets>
    <sheet name="iso5167-4" sheetId="1" r:id="rId1"/>
    <sheet name="simplified method" sheetId="2" r:id="rId2"/>
  </sheets>
  <calcPr calcId="162913"/>
</workbook>
</file>

<file path=xl/calcChain.xml><?xml version="1.0" encoding="utf-8"?>
<calcChain xmlns="http://schemas.openxmlformats.org/spreadsheetml/2006/main">
  <c r="N1" i="1" l="1"/>
  <c r="K15" i="2" l="1"/>
  <c r="H11" i="2"/>
  <c r="H10" i="2"/>
  <c r="H9" i="2"/>
  <c r="H8" i="2"/>
  <c r="H7" i="2"/>
  <c r="I6" i="2"/>
  <c r="I5" i="2"/>
  <c r="I4" i="2"/>
  <c r="I3" i="2"/>
  <c r="I2" i="2"/>
  <c r="H8" i="1"/>
  <c r="H9" i="1"/>
  <c r="H10" i="1"/>
  <c r="H11" i="1"/>
  <c r="H7" i="1"/>
  <c r="I3" i="1"/>
  <c r="D3" i="1" s="1"/>
  <c r="I4" i="1"/>
  <c r="D4" i="1" s="1"/>
  <c r="I5" i="1"/>
  <c r="D5" i="1" s="1"/>
  <c r="I6" i="1"/>
  <c r="D6" i="1" s="1"/>
  <c r="I2" i="1"/>
  <c r="D2" i="1" s="1"/>
  <c r="D7" i="1"/>
  <c r="D8" i="1"/>
  <c r="D9" i="1"/>
  <c r="D10" i="1"/>
  <c r="D11" i="1"/>
  <c r="C2" i="1"/>
  <c r="C3" i="1"/>
  <c r="C4" i="1"/>
  <c r="C5" i="1"/>
  <c r="C6" i="1"/>
  <c r="K14" i="1"/>
  <c r="E17" i="1" l="1"/>
  <c r="B69" i="1" l="1"/>
  <c r="K20" i="2" l="1"/>
  <c r="K18" i="2"/>
  <c r="K12" i="2"/>
  <c r="K8" i="2"/>
  <c r="K2" i="2"/>
  <c r="K15" i="1"/>
  <c r="C6" i="2" l="1"/>
  <c r="E6" i="2" s="1"/>
  <c r="C4" i="2"/>
  <c r="E4" i="2" s="1"/>
  <c r="C2" i="2"/>
  <c r="E2" i="2" s="1"/>
  <c r="B17" i="2" s="1"/>
  <c r="D10" i="2"/>
  <c r="F10" i="2" s="1"/>
  <c r="D8" i="2"/>
  <c r="F8" i="2" s="1"/>
  <c r="D6" i="2"/>
  <c r="D4" i="2"/>
  <c r="F4" i="2" s="1"/>
  <c r="D2" i="2"/>
  <c r="D11" i="2"/>
  <c r="F11" i="2" s="1"/>
  <c r="D9" i="2"/>
  <c r="F9" i="2" s="1"/>
  <c r="D7" i="2"/>
  <c r="F7" i="2" s="1"/>
  <c r="C11" i="2"/>
  <c r="E11" i="2" s="1"/>
  <c r="B26" i="2" s="1"/>
  <c r="C7" i="2"/>
  <c r="E7" i="2" s="1"/>
  <c r="C5" i="2"/>
  <c r="E5" i="2" s="1"/>
  <c r="C3" i="2"/>
  <c r="E3" i="2" s="1"/>
  <c r="B18" i="2" s="1"/>
  <c r="D5" i="2"/>
  <c r="F5" i="2" s="1"/>
  <c r="C20" i="2" s="1"/>
  <c r="G36" i="2" s="1"/>
  <c r="K36" i="2" s="1"/>
  <c r="B52" i="2" s="1"/>
  <c r="D3" i="2"/>
  <c r="C9" i="2"/>
  <c r="E9" i="2" s="1"/>
  <c r="C10" i="2"/>
  <c r="E10" i="2" s="1"/>
  <c r="C8" i="2"/>
  <c r="E8" i="2" s="1"/>
  <c r="B23" i="2" s="1"/>
  <c r="K19" i="2"/>
  <c r="B21" i="2"/>
  <c r="B19" i="2"/>
  <c r="B22" i="2"/>
  <c r="D50" i="2"/>
  <c r="B33" i="2"/>
  <c r="B39" i="2"/>
  <c r="B35" i="2"/>
  <c r="D57" i="2"/>
  <c r="D53" i="2"/>
  <c r="B42" i="2"/>
  <c r="B38" i="2"/>
  <c r="B34" i="2"/>
  <c r="D56" i="2"/>
  <c r="D52" i="2"/>
  <c r="B41" i="2"/>
  <c r="B37" i="2"/>
  <c r="D49" i="2"/>
  <c r="D55" i="2"/>
  <c r="D51" i="2"/>
  <c r="B40" i="2"/>
  <c r="B36" i="2"/>
  <c r="D58" i="2"/>
  <c r="D54" i="2"/>
  <c r="B20" i="2"/>
  <c r="B24" i="2"/>
  <c r="B25" i="2"/>
  <c r="F2" i="2" l="1"/>
  <c r="C17" i="2" s="1"/>
  <c r="N4" i="2"/>
  <c r="E17" i="2"/>
  <c r="G17" i="2" s="1"/>
  <c r="C52" i="2"/>
  <c r="F6" i="2"/>
  <c r="C21" i="2" s="1"/>
  <c r="E21" i="2"/>
  <c r="G21" i="2" s="1"/>
  <c r="E20" i="2"/>
  <c r="G20" i="2" s="1"/>
  <c r="L36" i="2"/>
  <c r="F3" i="2"/>
  <c r="C18" i="2" s="1"/>
  <c r="E18" i="2"/>
  <c r="G18" i="2" s="1"/>
  <c r="G34" i="2"/>
  <c r="K34" i="2" s="1"/>
  <c r="B50" i="2" s="1"/>
  <c r="C50" i="2"/>
  <c r="L34" i="2"/>
  <c r="G37" i="2"/>
  <c r="K37" i="2" s="1"/>
  <c r="B53" i="2" s="1"/>
  <c r="C53" i="2"/>
  <c r="L37" i="2"/>
  <c r="E25" i="2"/>
  <c r="G25" i="2" s="1"/>
  <c r="C25" i="2"/>
  <c r="E22" i="2"/>
  <c r="G22" i="2" s="1"/>
  <c r="C22" i="2"/>
  <c r="E24" i="2"/>
  <c r="G24" i="2" s="1"/>
  <c r="C24" i="2"/>
  <c r="E23" i="2"/>
  <c r="G23" i="2" s="1"/>
  <c r="C23" i="2"/>
  <c r="E19" i="2"/>
  <c r="G19" i="2" s="1"/>
  <c r="C19" i="2"/>
  <c r="E26" i="2"/>
  <c r="G26" i="2" s="1"/>
  <c r="C26" i="2"/>
  <c r="C49" i="2" l="1"/>
  <c r="G33" i="2"/>
  <c r="K33" i="2" s="1"/>
  <c r="B49" i="2" s="1"/>
  <c r="L33" i="2"/>
  <c r="G40" i="2"/>
  <c r="K40" i="2" s="1"/>
  <c r="B56" i="2" s="1"/>
  <c r="C56" i="2"/>
  <c r="L40" i="2"/>
  <c r="G42" i="2"/>
  <c r="K42" i="2" s="1"/>
  <c r="B58" i="2" s="1"/>
  <c r="C58" i="2"/>
  <c r="L42" i="2"/>
  <c r="C55" i="2"/>
  <c r="L39" i="2"/>
  <c r="G39" i="2"/>
  <c r="K39" i="2" s="1"/>
  <c r="B55" i="2" s="1"/>
  <c r="C54" i="2"/>
  <c r="L38" i="2"/>
  <c r="G38" i="2"/>
  <c r="K38" i="2" s="1"/>
  <c r="B54" i="2" s="1"/>
  <c r="C51" i="2"/>
  <c r="L35" i="2"/>
  <c r="G35" i="2"/>
  <c r="K35" i="2" s="1"/>
  <c r="B51" i="2" s="1"/>
  <c r="C57" i="2"/>
  <c r="G41" i="2"/>
  <c r="K41" i="2" s="1"/>
  <c r="B57" i="2" s="1"/>
  <c r="L41" i="2"/>
  <c r="K13" i="1" l="1"/>
  <c r="K16" i="1" s="1"/>
  <c r="K12" i="1" l="1"/>
  <c r="G17" i="1" l="1"/>
  <c r="F11" i="1"/>
  <c r="F3" i="1"/>
  <c r="F7" i="1"/>
  <c r="E4" i="1"/>
  <c r="B19" i="1" s="1"/>
  <c r="F9" i="1"/>
  <c r="C8" i="1"/>
  <c r="E8" i="1" s="1"/>
  <c r="B23" i="1" s="1"/>
  <c r="E3" i="1"/>
  <c r="B18" i="1" s="1"/>
  <c r="C7" i="1"/>
  <c r="E7" i="1" s="1"/>
  <c r="B22" i="1" s="1"/>
  <c r="C11" i="1"/>
  <c r="E11" i="1" s="1"/>
  <c r="B26" i="1" s="1"/>
  <c r="E2" i="1"/>
  <c r="B17" i="1" s="1"/>
  <c r="E5" i="1"/>
  <c r="B20" i="1" s="1"/>
  <c r="C9" i="1"/>
  <c r="E9" i="1" s="1"/>
  <c r="B24" i="1" s="1"/>
  <c r="E6" i="1"/>
  <c r="B21" i="1" s="1"/>
  <c r="C10" i="1"/>
  <c r="E10" i="1" s="1"/>
  <c r="B25" i="1" s="1"/>
  <c r="C26" i="1" l="1"/>
  <c r="B41" i="1" s="1"/>
  <c r="G41" i="1" s="1"/>
  <c r="C24" i="1"/>
  <c r="B39" i="1" s="1"/>
  <c r="G39" i="1" s="1"/>
  <c r="C22" i="1"/>
  <c r="B37" i="1" s="1"/>
  <c r="G37" i="1" s="1"/>
  <c r="C18" i="1"/>
  <c r="B33" i="1" s="1"/>
  <c r="G33" i="1" s="1"/>
  <c r="E22" i="1"/>
  <c r="G22" i="1" s="1"/>
  <c r="E26" i="1"/>
  <c r="G26" i="1" s="1"/>
  <c r="K17" i="1"/>
  <c r="E20" i="1"/>
  <c r="G20" i="1" s="1"/>
  <c r="F5" i="1"/>
  <c r="C20" i="1" s="1"/>
  <c r="E25" i="1"/>
  <c r="G25" i="1" s="1"/>
  <c r="F10" i="1"/>
  <c r="E23" i="1"/>
  <c r="G23" i="1" s="1"/>
  <c r="F8" i="1"/>
  <c r="E21" i="1"/>
  <c r="G21" i="1" s="1"/>
  <c r="F6" i="1"/>
  <c r="F2" i="1"/>
  <c r="E19" i="1"/>
  <c r="G19" i="1" s="1"/>
  <c r="F4" i="1"/>
  <c r="E18" i="1"/>
  <c r="G18" i="1" s="1"/>
  <c r="E24" i="1"/>
  <c r="G24" i="1" s="1"/>
  <c r="C21" i="1" l="1"/>
  <c r="B36" i="1" s="1"/>
  <c r="G36" i="1" s="1"/>
  <c r="B35" i="1"/>
  <c r="G35" i="1" s="1"/>
  <c r="C19" i="1"/>
  <c r="B34" i="1" s="1"/>
  <c r="G34" i="1" s="1"/>
  <c r="C17" i="1"/>
  <c r="B32" i="1" s="1"/>
  <c r="G32" i="1" s="1"/>
  <c r="C25" i="1"/>
  <c r="B40" i="1" s="1"/>
  <c r="G40" i="1" s="1"/>
  <c r="C23" i="1"/>
  <c r="B38" i="1" s="1"/>
  <c r="G38" i="1" s="1"/>
  <c r="C60" i="1" l="1"/>
  <c r="B60" i="1"/>
  <c r="G60" i="1" s="1"/>
  <c r="D60" i="1"/>
  <c r="E60" i="1"/>
  <c r="F60" i="1"/>
  <c r="F58" i="1"/>
  <c r="D58" i="1"/>
  <c r="C58" i="1"/>
  <c r="E58" i="1"/>
  <c r="B58" i="1"/>
  <c r="G58" i="1" s="1"/>
  <c r="E56" i="1"/>
  <c r="C56" i="1"/>
  <c r="F56" i="1"/>
  <c r="D56" i="1"/>
  <c r="B56" i="1"/>
  <c r="G56" i="1" s="1"/>
  <c r="E52" i="1"/>
  <c r="B52" i="1"/>
  <c r="F52" i="1"/>
  <c r="C52" i="1"/>
  <c r="D52" i="1"/>
  <c r="G52" i="1" l="1"/>
  <c r="B72" i="1" s="1"/>
  <c r="B80" i="1"/>
  <c r="L60" i="1" s="1"/>
  <c r="N60" i="1" s="1"/>
  <c r="F55" i="1"/>
  <c r="C55" i="1"/>
  <c r="E55" i="1"/>
  <c r="B55" i="1"/>
  <c r="G55" i="1" s="1"/>
  <c r="D55" i="1"/>
  <c r="B54" i="1"/>
  <c r="G54" i="1" s="1"/>
  <c r="F54" i="1"/>
  <c r="D54" i="1"/>
  <c r="C54" i="1"/>
  <c r="E54" i="1"/>
  <c r="C53" i="1"/>
  <c r="F53" i="1"/>
  <c r="E53" i="1"/>
  <c r="D53" i="1"/>
  <c r="B53" i="1"/>
  <c r="G53" i="1" s="1"/>
  <c r="B51" i="1"/>
  <c r="G51" i="1" s="1"/>
  <c r="E51" i="1"/>
  <c r="F51" i="1"/>
  <c r="C51" i="1"/>
  <c r="D51" i="1"/>
  <c r="M60" i="1"/>
  <c r="O60" i="1" s="1"/>
  <c r="F59" i="1"/>
  <c r="C59" i="1"/>
  <c r="E59" i="1"/>
  <c r="B59" i="1"/>
  <c r="G59" i="1" s="1"/>
  <c r="D59" i="1"/>
  <c r="E57" i="1"/>
  <c r="B57" i="1"/>
  <c r="G57" i="1" s="1"/>
  <c r="F57" i="1"/>
  <c r="D57" i="1"/>
  <c r="C57" i="1"/>
  <c r="B75" i="1" l="1"/>
  <c r="L55" i="1" s="1"/>
  <c r="N55" i="1" s="1"/>
  <c r="B76" i="1"/>
  <c r="L56" i="1" s="1"/>
  <c r="N56" i="1" s="1"/>
  <c r="B78" i="1"/>
  <c r="M58" i="1" s="1"/>
  <c r="O58" i="1" s="1"/>
  <c r="P58" i="1" s="1"/>
  <c r="N74" i="1" s="1"/>
  <c r="M74" i="1" s="1"/>
  <c r="B74" i="1"/>
  <c r="M54" i="1" s="1"/>
  <c r="O54" i="1" s="1"/>
  <c r="B79" i="1"/>
  <c r="B71" i="1"/>
  <c r="L51" i="1" s="1"/>
  <c r="P60" i="1"/>
  <c r="N76" i="1" s="1"/>
  <c r="M76" i="1" s="1"/>
  <c r="M52" i="1"/>
  <c r="O52" i="1" s="1"/>
  <c r="L52" i="1"/>
  <c r="N52" i="1" s="1"/>
  <c r="M56" i="1" l="1"/>
  <c r="O56" i="1" s="1"/>
  <c r="P56" i="1" s="1"/>
  <c r="N72" i="1" s="1"/>
  <c r="M72" i="1" s="1"/>
  <c r="L84" i="1" s="1"/>
  <c r="L58" i="1"/>
  <c r="N58" i="1" s="1"/>
  <c r="B77" i="1"/>
  <c r="L57" i="1" s="1"/>
  <c r="N57" i="1" s="1"/>
  <c r="M55" i="1"/>
  <c r="O55" i="1" s="1"/>
  <c r="P55" i="1" s="1"/>
  <c r="N71" i="1" s="1"/>
  <c r="M71" i="1" s="1"/>
  <c r="L83" i="1" s="1"/>
  <c r="B73" i="1"/>
  <c r="M53" i="1" s="1"/>
  <c r="P54" i="1"/>
  <c r="N70" i="1" s="1"/>
  <c r="M70" i="1" s="1"/>
  <c r="L82" i="1" s="1"/>
  <c r="M59" i="1"/>
  <c r="L59" i="1"/>
  <c r="N59" i="1" s="1"/>
  <c r="L54" i="1"/>
  <c r="N54" i="1" s="1"/>
  <c r="N51" i="1"/>
  <c r="M51" i="1"/>
  <c r="P52" i="1"/>
  <c r="N68" i="1" s="1"/>
  <c r="L86" i="1"/>
  <c r="O53" i="1" l="1"/>
  <c r="P53" i="1" s="1"/>
  <c r="N69" i="1" s="1"/>
  <c r="M69" i="1" s="1"/>
  <c r="L81" i="1" s="1"/>
  <c r="M57" i="1"/>
  <c r="L53" i="1"/>
  <c r="N53" i="1" s="1"/>
  <c r="O59" i="1"/>
  <c r="P59" i="1" s="1"/>
  <c r="N75" i="1" s="1"/>
  <c r="M75" i="1" s="1"/>
  <c r="L87" i="1" s="1"/>
  <c r="O51" i="1"/>
  <c r="P51" i="1" s="1"/>
  <c r="M68" i="1"/>
  <c r="L80" i="1" s="1"/>
  <c r="N103" i="1"/>
  <c r="P103" i="1"/>
  <c r="O103" i="1"/>
  <c r="M103" i="1"/>
  <c r="L103" i="1"/>
  <c r="Q103" i="1" s="1"/>
  <c r="P101" i="1"/>
  <c r="L101" i="1"/>
  <c r="Q101" i="1" s="1"/>
  <c r="O101" i="1"/>
  <c r="N101" i="1"/>
  <c r="M101" i="1"/>
  <c r="L100" i="1"/>
  <c r="Q100" i="1" s="1"/>
  <c r="O100" i="1"/>
  <c r="P100" i="1"/>
  <c r="N100" i="1"/>
  <c r="M100" i="1"/>
  <c r="N99" i="1"/>
  <c r="P99" i="1"/>
  <c r="O99" i="1"/>
  <c r="M99" i="1"/>
  <c r="L99" i="1"/>
  <c r="Q99" i="1" s="1"/>
  <c r="L88" i="1"/>
  <c r="M64" i="1" l="1"/>
  <c r="N67" i="1"/>
  <c r="M67" i="1" s="1"/>
  <c r="L79" i="1" s="1"/>
  <c r="N96" i="1" s="1"/>
  <c r="M104" i="1"/>
  <c r="O104" i="1"/>
  <c r="N104" i="1"/>
  <c r="L104" i="1"/>
  <c r="P104" i="1"/>
  <c r="O57" i="1"/>
  <c r="P57" i="1" s="1"/>
  <c r="N73" i="1" s="1"/>
  <c r="M73" i="1" s="1"/>
  <c r="L85" i="1" s="1"/>
  <c r="M98" i="1"/>
  <c r="O98" i="1"/>
  <c r="L98" i="1"/>
  <c r="P98" i="1"/>
  <c r="N98" i="1"/>
  <c r="O97" i="1"/>
  <c r="L97" i="1"/>
  <c r="Q97" i="1" s="1"/>
  <c r="M97" i="1"/>
  <c r="N97" i="1"/>
  <c r="P97" i="1"/>
  <c r="P105" i="1"/>
  <c r="L105" i="1"/>
  <c r="O105" i="1"/>
  <c r="N105" i="1"/>
  <c r="M105" i="1"/>
  <c r="Q105" i="1" l="1"/>
  <c r="M88" i="1" s="1"/>
  <c r="Q98" i="1"/>
  <c r="M81" i="1" s="1"/>
  <c r="Q104" i="1"/>
  <c r="M87" i="1" s="1"/>
  <c r="M96" i="1"/>
  <c r="O96" i="1"/>
  <c r="P96" i="1"/>
  <c r="L96" i="1"/>
  <c r="L102" i="1"/>
  <c r="Q102" i="1" s="1"/>
  <c r="M102" i="1"/>
  <c r="O102" i="1"/>
  <c r="N102" i="1"/>
  <c r="P102" i="1"/>
  <c r="M80" i="1"/>
  <c r="N80" i="1" s="1"/>
  <c r="P80" i="1" s="1"/>
  <c r="Q96" i="1" l="1"/>
  <c r="M79" i="1" s="1"/>
  <c r="O80" i="1"/>
  <c r="Q80" i="1" s="1"/>
  <c r="O81" i="1"/>
  <c r="N81" i="1"/>
  <c r="P81" i="1" s="1"/>
  <c r="O79" i="1" l="1"/>
  <c r="Q79" i="1" s="1"/>
  <c r="R79" i="1" s="1"/>
  <c r="P67" i="1" s="1"/>
  <c r="O67" i="1" s="1"/>
  <c r="U79" i="1" s="1"/>
  <c r="N79" i="1"/>
  <c r="P79" i="1" s="1"/>
  <c r="M82" i="1"/>
  <c r="R80" i="1"/>
  <c r="P68" i="1" s="1"/>
  <c r="O68" i="1" s="1"/>
  <c r="U80" i="1" s="1"/>
  <c r="Q81" i="1"/>
  <c r="O82" i="1" l="1"/>
  <c r="Q82" i="1" s="1"/>
  <c r="N82" i="1"/>
  <c r="P82" i="1" s="1"/>
  <c r="M83" i="1"/>
  <c r="V96" i="1"/>
  <c r="X96" i="1"/>
  <c r="W96" i="1"/>
  <c r="U96" i="1"/>
  <c r="Y96" i="1"/>
  <c r="X97" i="1"/>
  <c r="W97" i="1"/>
  <c r="V97" i="1"/>
  <c r="Y97" i="1"/>
  <c r="U97" i="1"/>
  <c r="R81" i="1"/>
  <c r="P69" i="1" s="1"/>
  <c r="O69" i="1" s="1"/>
  <c r="U81" i="1" s="1"/>
  <c r="Z96" i="1" l="1"/>
  <c r="V79" i="1" s="1"/>
  <c r="W79" i="1" s="1"/>
  <c r="Y79" i="1" s="1"/>
  <c r="Z97" i="1"/>
  <c r="V80" i="1" s="1"/>
  <c r="O83" i="1"/>
  <c r="N83" i="1"/>
  <c r="P83" i="1" s="1"/>
  <c r="M84" i="1"/>
  <c r="R82" i="1"/>
  <c r="P70" i="1" s="1"/>
  <c r="O70" i="1" s="1"/>
  <c r="U82" i="1" s="1"/>
  <c r="Q83" i="1"/>
  <c r="W98" i="1"/>
  <c r="Y98" i="1"/>
  <c r="V98" i="1"/>
  <c r="X98" i="1"/>
  <c r="U98" i="1"/>
  <c r="Z98" i="1" l="1"/>
  <c r="V81" i="1" s="1"/>
  <c r="X81" i="1" s="1"/>
  <c r="Z81" i="1" s="1"/>
  <c r="AA81" i="1" s="1"/>
  <c r="R69" i="1" s="1"/>
  <c r="Q69" i="1" s="1"/>
  <c r="AD81" i="1" s="1"/>
  <c r="U99" i="1"/>
  <c r="X99" i="1"/>
  <c r="Y99" i="1"/>
  <c r="V99" i="1"/>
  <c r="W99" i="1"/>
  <c r="N84" i="1"/>
  <c r="P84" i="1" s="1"/>
  <c r="O84" i="1"/>
  <c r="Q84" i="1" s="1"/>
  <c r="M85" i="1"/>
  <c r="N85" i="1" s="1"/>
  <c r="P85" i="1" s="1"/>
  <c r="X80" i="1"/>
  <c r="Z80" i="1" s="1"/>
  <c r="AA80" i="1" s="1"/>
  <c r="R68" i="1" s="1"/>
  <c r="Q68" i="1" s="1"/>
  <c r="AD80" i="1" s="1"/>
  <c r="AG97" i="1" s="1"/>
  <c r="W80" i="1"/>
  <c r="Y80" i="1" s="1"/>
  <c r="X79" i="1"/>
  <c r="Z79" i="1" s="1"/>
  <c r="AA79" i="1" s="1"/>
  <c r="R67" i="1" s="1"/>
  <c r="Q67" i="1" s="1"/>
  <c r="AD79" i="1" s="1"/>
  <c r="AD96" i="1" s="1"/>
  <c r="AI96" i="1" s="1"/>
  <c r="R83" i="1"/>
  <c r="P71" i="1" s="1"/>
  <c r="O71" i="1" s="1"/>
  <c r="U83" i="1" s="1"/>
  <c r="O85" i="1" l="1"/>
  <c r="Z99" i="1"/>
  <c r="V82" i="1" s="1"/>
  <c r="M86" i="1"/>
  <c r="R84" i="1"/>
  <c r="P72" i="1" s="1"/>
  <c r="O72" i="1" s="1"/>
  <c r="U84" i="1" s="1"/>
  <c r="W81" i="1"/>
  <c r="Y81" i="1" s="1"/>
  <c r="AH97" i="1"/>
  <c r="AD97" i="1"/>
  <c r="AF97" i="1"/>
  <c r="AE97" i="1"/>
  <c r="AF96" i="1"/>
  <c r="AE96" i="1"/>
  <c r="AG96" i="1"/>
  <c r="AH96" i="1"/>
  <c r="Q85" i="1"/>
  <c r="U100" i="1"/>
  <c r="Y100" i="1"/>
  <c r="W100" i="1"/>
  <c r="X100" i="1"/>
  <c r="V100" i="1"/>
  <c r="AD98" i="1"/>
  <c r="AI98" i="1" s="1"/>
  <c r="AH98" i="1"/>
  <c r="AG98" i="1"/>
  <c r="AF98" i="1"/>
  <c r="AE98" i="1"/>
  <c r="O88" i="1"/>
  <c r="Q88" i="1" s="1"/>
  <c r="R88" i="1" s="1"/>
  <c r="N88" i="1"/>
  <c r="P88" i="1" s="1"/>
  <c r="AI97" i="1" l="1"/>
  <c r="AE80" i="1" s="1"/>
  <c r="Z100" i="1"/>
  <c r="W82" i="1"/>
  <c r="Y82" i="1" s="1"/>
  <c r="X82" i="1"/>
  <c r="Z82" i="1" s="1"/>
  <c r="AA82" i="1" s="1"/>
  <c r="R70" i="1" s="1"/>
  <c r="Q70" i="1" s="1"/>
  <c r="AD82" i="1" s="1"/>
  <c r="AE99" i="1" s="1"/>
  <c r="U101" i="1"/>
  <c r="W101" i="1"/>
  <c r="V101" i="1"/>
  <c r="Y101" i="1"/>
  <c r="X101" i="1"/>
  <c r="N86" i="1"/>
  <c r="P86" i="1" s="1"/>
  <c r="O86" i="1"/>
  <c r="Q86" i="1" s="1"/>
  <c r="R86" i="1" s="1"/>
  <c r="P74" i="1" s="1"/>
  <c r="O74" i="1" s="1"/>
  <c r="U86" i="1" s="1"/>
  <c r="W103" i="1" s="1"/>
  <c r="AE79" i="1"/>
  <c r="AF79" i="1" s="1"/>
  <c r="AH79" i="1" s="1"/>
  <c r="AE81" i="1"/>
  <c r="AG81" i="1" s="1"/>
  <c r="AI81" i="1" s="1"/>
  <c r="AJ81" i="1" s="1"/>
  <c r="T69" i="1" s="1"/>
  <c r="S69" i="1" s="1"/>
  <c r="R85" i="1"/>
  <c r="P73" i="1" s="1"/>
  <c r="O73" i="1" s="1"/>
  <c r="U85" i="1" s="1"/>
  <c r="P76" i="1"/>
  <c r="O87" i="1"/>
  <c r="Q87" i="1" s="1"/>
  <c r="R87" i="1" s="1"/>
  <c r="N87" i="1"/>
  <c r="P87" i="1" s="1"/>
  <c r="AF99" i="1" l="1"/>
  <c r="AD99" i="1"/>
  <c r="AI99" i="1" s="1"/>
  <c r="AE82" i="1" s="1"/>
  <c r="AG99" i="1"/>
  <c r="AH99" i="1"/>
  <c r="AF80" i="1"/>
  <c r="AH80" i="1" s="1"/>
  <c r="AG80" i="1"/>
  <c r="AI80" i="1" s="1"/>
  <c r="AJ80" i="1" s="1"/>
  <c r="T68" i="1" s="1"/>
  <c r="S68" i="1" s="1"/>
  <c r="AF81" i="1"/>
  <c r="AH81" i="1" s="1"/>
  <c r="Z101" i="1"/>
  <c r="V84" i="1" s="1"/>
  <c r="U103" i="1"/>
  <c r="Z103" i="1" s="1"/>
  <c r="V86" i="1" s="1"/>
  <c r="W86" i="1" s="1"/>
  <c r="Y86" i="1" s="1"/>
  <c r="X103" i="1"/>
  <c r="Y103" i="1"/>
  <c r="V103" i="1"/>
  <c r="AG79" i="1"/>
  <c r="AI79" i="1" s="1"/>
  <c r="AJ79" i="1" s="1"/>
  <c r="T67" i="1" s="1"/>
  <c r="S67" i="1" s="1"/>
  <c r="V83" i="1"/>
  <c r="X83" i="1" s="1"/>
  <c r="Z83" i="1" s="1"/>
  <c r="AA83" i="1" s="1"/>
  <c r="R71" i="1" s="1"/>
  <c r="Q71" i="1" s="1"/>
  <c r="AD83" i="1" s="1"/>
  <c r="O76" i="1"/>
  <c r="U88" i="1" s="1"/>
  <c r="W102" i="1"/>
  <c r="X102" i="1"/>
  <c r="V102" i="1"/>
  <c r="U102" i="1"/>
  <c r="Z102" i="1" s="1"/>
  <c r="Y102" i="1"/>
  <c r="P75" i="1"/>
  <c r="AF82" i="1" l="1"/>
  <c r="AH82" i="1" s="1"/>
  <c r="AG82" i="1"/>
  <c r="AI82" i="1" s="1"/>
  <c r="AJ82" i="1" s="1"/>
  <c r="T70" i="1" s="1"/>
  <c r="S70" i="1" s="1"/>
  <c r="X84" i="1"/>
  <c r="Z84" i="1" s="1"/>
  <c r="AA84" i="1" s="1"/>
  <c r="R72" i="1" s="1"/>
  <c r="Q72" i="1" s="1"/>
  <c r="AD84" i="1" s="1"/>
  <c r="W84" i="1"/>
  <c r="Y84" i="1" s="1"/>
  <c r="X86" i="1"/>
  <c r="Z86" i="1" s="1"/>
  <c r="AA86" i="1" s="1"/>
  <c r="R74" i="1" s="1"/>
  <c r="Q74" i="1" s="1"/>
  <c r="AD86" i="1" s="1"/>
  <c r="W83" i="1"/>
  <c r="Y83" i="1" s="1"/>
  <c r="V85" i="1"/>
  <c r="W85" i="1" s="1"/>
  <c r="Y85" i="1" s="1"/>
  <c r="X105" i="1"/>
  <c r="W105" i="1"/>
  <c r="U105" i="1"/>
  <c r="Z105" i="1" s="1"/>
  <c r="Y105" i="1"/>
  <c r="V105" i="1"/>
  <c r="O75" i="1"/>
  <c r="U87" i="1" s="1"/>
  <c r="AE100" i="1"/>
  <c r="AH100" i="1"/>
  <c r="AF100" i="1"/>
  <c r="AD100" i="1"/>
  <c r="AG100" i="1"/>
  <c r="AI100" i="1" l="1"/>
  <c r="AE83" i="1" s="1"/>
  <c r="AF101" i="1"/>
  <c r="AH101" i="1"/>
  <c r="AE101" i="1"/>
  <c r="AG101" i="1"/>
  <c r="AD101" i="1"/>
  <c r="X85" i="1"/>
  <c r="Z85" i="1" s="1"/>
  <c r="AA85" i="1" s="1"/>
  <c r="R73" i="1" s="1"/>
  <c r="V88" i="1"/>
  <c r="X88" i="1" s="1"/>
  <c r="Z88" i="1" s="1"/>
  <c r="AA88" i="1" s="1"/>
  <c r="R76" i="1" s="1"/>
  <c r="Q76" i="1" s="1"/>
  <c r="AD88" i="1" s="1"/>
  <c r="W104" i="1"/>
  <c r="Y104" i="1"/>
  <c r="X104" i="1"/>
  <c r="V104" i="1"/>
  <c r="U104" i="1"/>
  <c r="Z104" i="1" s="1"/>
  <c r="AG103" i="1"/>
  <c r="AH103" i="1"/>
  <c r="AE103" i="1"/>
  <c r="AD103" i="1"/>
  <c r="AI103" i="1" s="1"/>
  <c r="AF103" i="1"/>
  <c r="Q73" i="1"/>
  <c r="AD85" i="1" s="1"/>
  <c r="AG83" i="1" l="1"/>
  <c r="AI83" i="1" s="1"/>
  <c r="AJ83" i="1" s="1"/>
  <c r="T71" i="1" s="1"/>
  <c r="S71" i="1" s="1"/>
  <c r="AF83" i="1"/>
  <c r="AH83" i="1" s="1"/>
  <c r="AI101" i="1"/>
  <c r="AE84" i="1" s="1"/>
  <c r="W88" i="1"/>
  <c r="Y88" i="1" s="1"/>
  <c r="AE86" i="1"/>
  <c r="AF86" i="1" s="1"/>
  <c r="AE105" i="1"/>
  <c r="AF105" i="1"/>
  <c r="AD105" i="1"/>
  <c r="AI105" i="1" s="1"/>
  <c r="AH105" i="1"/>
  <c r="AG105" i="1"/>
  <c r="AG102" i="1"/>
  <c r="AE102" i="1"/>
  <c r="AF102" i="1"/>
  <c r="AH102" i="1"/>
  <c r="AD102" i="1"/>
  <c r="AI102" i="1" s="1"/>
  <c r="AG84" i="1" l="1"/>
  <c r="AI84" i="1" s="1"/>
  <c r="AJ84" i="1" s="1"/>
  <c r="T72" i="1" s="1"/>
  <c r="S72" i="1" s="1"/>
  <c r="AF84" i="1"/>
  <c r="AH84" i="1" s="1"/>
  <c r="AG86" i="1"/>
  <c r="AI86" i="1" s="1"/>
  <c r="AJ86" i="1" s="1"/>
  <c r="T74" i="1" s="1"/>
  <c r="S74" i="1" s="1"/>
  <c r="AH86" i="1"/>
  <c r="AE88" i="1"/>
  <c r="AF88" i="1" s="1"/>
  <c r="AE85" i="1"/>
  <c r="AG85" i="1" s="1"/>
  <c r="AI85" i="1" s="1"/>
  <c r="AJ85" i="1" s="1"/>
  <c r="T73" i="1" s="1"/>
  <c r="S73" i="1" s="1"/>
  <c r="V87" i="1"/>
  <c r="X87" i="1" s="1"/>
  <c r="Z87" i="1" s="1"/>
  <c r="AA87" i="1" s="1"/>
  <c r="R75" i="1" s="1"/>
  <c r="Q75" i="1" s="1"/>
  <c r="AD87" i="1" s="1"/>
  <c r="AF85" i="1" l="1"/>
  <c r="AH85" i="1" s="1"/>
  <c r="AG88" i="1"/>
  <c r="AI88" i="1" s="1"/>
  <c r="AJ88" i="1" s="1"/>
  <c r="T76" i="1" s="1"/>
  <c r="S76" i="1" s="1"/>
  <c r="W87" i="1"/>
  <c r="Y87" i="1" s="1"/>
  <c r="AH88" i="1"/>
  <c r="AG104" i="1"/>
  <c r="AD104" i="1"/>
  <c r="AE104" i="1"/>
  <c r="AF104" i="1"/>
  <c r="AH104" i="1"/>
  <c r="AI104" i="1" l="1"/>
  <c r="AE87" i="1" s="1"/>
  <c r="AG87" i="1" l="1"/>
  <c r="AI87" i="1" s="1"/>
  <c r="AJ87" i="1" s="1"/>
  <c r="T75" i="1" s="1"/>
  <c r="S75" i="1" s="1"/>
  <c r="AF87" i="1"/>
  <c r="AH87" i="1" s="1"/>
</calcChain>
</file>

<file path=xl/sharedStrings.xml><?xml version="1.0" encoding="utf-8"?>
<sst xmlns="http://schemas.openxmlformats.org/spreadsheetml/2006/main" count="267" uniqueCount="126">
  <si>
    <t>P1(kPa)</t>
    <phoneticPr fontId="7" type="noConversion"/>
  </si>
  <si>
    <t>P2(kPa)</t>
    <phoneticPr fontId="7" type="noConversion"/>
  </si>
  <si>
    <t>Patm=</t>
    <phoneticPr fontId="7" type="noConversion"/>
  </si>
  <si>
    <t>mmHg</t>
    <phoneticPr fontId="7" type="noConversion"/>
  </si>
  <si>
    <t>Pa</t>
    <phoneticPr fontId="7" type="noConversion"/>
  </si>
  <si>
    <r>
      <rPr>
        <sz val="12"/>
        <color theme="1"/>
        <rFont val="新細明體"/>
        <family val="2"/>
        <charset val="136"/>
        <scheme val="minor"/>
      </rPr>
      <t>個數</t>
    </r>
    <phoneticPr fontId="7" type="noConversion"/>
  </si>
  <si>
    <t>P1(Pa)</t>
    <phoneticPr fontId="7" type="noConversion"/>
  </si>
  <si>
    <t>P2(Pa)</t>
    <phoneticPr fontId="7" type="noConversion"/>
  </si>
  <si>
    <t>D =</t>
    <phoneticPr fontId="7" type="noConversion"/>
  </si>
  <si>
    <t>m</t>
    <phoneticPr fontId="7" type="noConversion"/>
  </si>
  <si>
    <t>d =</t>
    <phoneticPr fontId="7" type="noConversion"/>
  </si>
  <si>
    <t>vair=</t>
    <phoneticPr fontId="7" type="noConversion"/>
  </si>
  <si>
    <t>uair=</t>
    <phoneticPr fontId="7" type="noConversion"/>
  </si>
  <si>
    <r>
      <t>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scheme val="minor"/>
      </rPr>
      <t>/s</t>
    </r>
    <phoneticPr fontId="7" type="noConversion"/>
  </si>
  <si>
    <t>1.5*10^-5</t>
    <phoneticPr fontId="7" type="noConversion"/>
  </si>
  <si>
    <r>
      <t>N*s/m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7" type="noConversion"/>
  </si>
  <si>
    <t>κ =</t>
    <phoneticPr fontId="7" type="noConversion"/>
  </si>
  <si>
    <t>β =</t>
    <phoneticPr fontId="7" type="noConversion"/>
  </si>
  <si>
    <t>ideal gas equation</t>
    <phoneticPr fontId="7" type="noConversion"/>
  </si>
  <si>
    <t>R=</t>
    <phoneticPr fontId="7" type="noConversion"/>
  </si>
  <si>
    <t>Mair=</t>
    <phoneticPr fontId="7" type="noConversion"/>
  </si>
  <si>
    <t>N2= 14*2 = 28 
O2= 16 *2 = 32 
氮氣佔大氣80% 氧氣佔20% 
空氣分子量約 28 * 0.8 + 32 * 0.2 = 22.4 +6.4 = 28.8</t>
    <phoneticPr fontId="7" type="noConversion"/>
  </si>
  <si>
    <t>Ru=</t>
    <phoneticPr fontId="7" type="noConversion"/>
  </si>
  <si>
    <t>KJ/Kg*K</t>
    <phoneticPr fontId="7" type="noConversion"/>
  </si>
  <si>
    <t>溫度T=</t>
    <phoneticPr fontId="7" type="noConversion"/>
  </si>
  <si>
    <t>度</t>
    <phoneticPr fontId="7" type="noConversion"/>
  </si>
  <si>
    <t>K=</t>
    <phoneticPr fontId="7" type="noConversion"/>
  </si>
  <si>
    <t>K(凱式)</t>
    <phoneticPr fontId="7" type="noConversion"/>
  </si>
  <si>
    <t>濕度=</t>
    <phoneticPr fontId="7" type="noConversion"/>
  </si>
  <si>
    <t>%</t>
    <phoneticPr fontId="7" type="noConversion"/>
  </si>
  <si>
    <t>ρ1</t>
    <phoneticPr fontId="7" type="noConversion"/>
  </si>
  <si>
    <t>ρ2</t>
    <phoneticPr fontId="7" type="noConversion"/>
  </si>
  <si>
    <r>
      <rPr>
        <sz val="12"/>
        <color theme="1"/>
        <rFont val="新細明體"/>
        <family val="2"/>
        <charset val="136"/>
      </rPr>
      <t>個數</t>
    </r>
    <phoneticPr fontId="7" type="noConversion"/>
  </si>
  <si>
    <t>t=</t>
    <phoneticPr fontId="7" type="noConversion"/>
  </si>
  <si>
    <t>for air</t>
    <phoneticPr fontId="7" type="noConversion"/>
  </si>
  <si>
    <t>個數</t>
    <phoneticPr fontId="7" type="noConversion"/>
  </si>
  <si>
    <t>t</t>
    <phoneticPr fontId="7" type="noConversion"/>
  </si>
  <si>
    <t>P2/P1</t>
    <phoneticPr fontId="7" type="noConversion"/>
  </si>
  <si>
    <t>ε</t>
    <phoneticPr fontId="7" type="noConversion"/>
  </si>
  <si>
    <t>個數</t>
    <phoneticPr fontId="7" type="noConversion"/>
  </si>
  <si>
    <t>=</t>
    <phoneticPr fontId="7" type="noConversion"/>
  </si>
  <si>
    <t>個數</t>
    <phoneticPr fontId="7" type="noConversion"/>
  </si>
  <si>
    <t>U2</t>
    <phoneticPr fontId="7" type="noConversion"/>
  </si>
  <si>
    <t>Red</t>
    <phoneticPr fontId="7" type="noConversion"/>
  </si>
  <si>
    <r>
      <t>ν</t>
    </r>
    <r>
      <rPr>
        <b/>
        <sz val="12"/>
        <color theme="1"/>
        <rFont val="新細明體"/>
        <family val="1"/>
        <charset val="136"/>
        <scheme val="major"/>
      </rPr>
      <t>air=</t>
    </r>
    <phoneticPr fontId="7" type="noConversion"/>
  </si>
  <si>
    <r>
      <t>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scheme val="minor"/>
      </rPr>
      <t>/s</t>
    </r>
    <phoneticPr fontId="7" type="noConversion"/>
  </si>
  <si>
    <t>m/s</t>
    <phoneticPr fontId="7" type="noConversion"/>
  </si>
  <si>
    <t>判別式</t>
    <phoneticPr fontId="7" type="noConversion"/>
  </si>
  <si>
    <r>
      <t>5*10</t>
    </r>
    <r>
      <rPr>
        <vertAlign val="superscript"/>
        <sz val="12"/>
        <color theme="1"/>
        <rFont val="新細明體"/>
        <family val="1"/>
        <charset val="136"/>
        <scheme val="minor"/>
      </rPr>
      <t>4</t>
    </r>
    <r>
      <rPr>
        <sz val="12"/>
        <color theme="1"/>
        <rFont val="新細明體"/>
        <family val="1"/>
        <charset val="136"/>
      </rPr>
      <t>≦Red＜3*10</t>
    </r>
    <r>
      <rPr>
        <vertAlign val="superscript"/>
        <sz val="12"/>
        <color theme="1"/>
        <rFont val="新細明體"/>
        <family val="1"/>
        <charset val="136"/>
      </rPr>
      <t>5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</si>
  <si>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2"/>
        <scheme val="minor"/>
      </rPr>
      <t>*10</t>
    </r>
    <r>
      <rPr>
        <vertAlign val="superscript"/>
        <sz val="12"/>
        <color theme="1"/>
        <rFont val="新細明體"/>
        <family val="1"/>
        <charset val="136"/>
        <scheme val="minor"/>
      </rPr>
      <t>5</t>
    </r>
    <r>
      <rPr>
        <sz val="12"/>
        <color theme="1"/>
        <rFont val="新細明體"/>
        <family val="1"/>
        <charset val="136"/>
      </rPr>
      <t>≦Red＜5*10</t>
    </r>
    <r>
      <rPr>
        <vertAlign val="superscript"/>
        <sz val="12"/>
        <color theme="1"/>
        <rFont val="新細明體"/>
        <family val="1"/>
        <charset val="136"/>
      </rPr>
      <t>5</t>
    </r>
    <phoneticPr fontId="7" type="noConversion"/>
  </si>
  <si>
    <r>
      <t>5*10</t>
    </r>
    <r>
      <rPr>
        <vertAlign val="superscript"/>
        <sz val="12"/>
        <color theme="1"/>
        <rFont val="新細明體"/>
        <family val="1"/>
        <charset val="136"/>
        <scheme val="minor"/>
      </rPr>
      <t>5</t>
    </r>
    <r>
      <rPr>
        <sz val="12"/>
        <color theme="1"/>
        <rFont val="新細明體"/>
        <family val="1"/>
        <charset val="136"/>
      </rPr>
      <t>≦Red＜1*10</t>
    </r>
    <r>
      <rPr>
        <vertAlign val="superscript"/>
        <sz val="12"/>
        <color theme="1"/>
        <rFont val="新細明體"/>
        <family val="1"/>
        <charset val="136"/>
      </rPr>
      <t>6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</si>
  <si>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scheme val="minor"/>
      </rPr>
      <t>*10</t>
    </r>
    <r>
      <rPr>
        <vertAlign val="superscript"/>
        <sz val="12"/>
        <color theme="1"/>
        <rFont val="新細明體"/>
        <family val="1"/>
        <charset val="136"/>
        <scheme val="minor"/>
      </rPr>
      <t>6</t>
    </r>
    <r>
      <rPr>
        <sz val="12"/>
        <color theme="1"/>
        <rFont val="新細明體"/>
        <family val="1"/>
        <charset val="136"/>
      </rPr>
      <t>≦Red＜2*10</t>
    </r>
    <r>
      <rPr>
        <vertAlign val="superscript"/>
        <sz val="12"/>
        <color theme="1"/>
        <rFont val="新細明體"/>
        <family val="1"/>
        <charset val="136"/>
      </rPr>
      <t>6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</si>
  <si>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scheme val="minor"/>
      </rPr>
      <t>*10</t>
    </r>
    <r>
      <rPr>
        <vertAlign val="superscript"/>
        <sz val="12"/>
        <color theme="1"/>
        <rFont val="新細明體"/>
        <family val="2"/>
        <scheme val="minor"/>
      </rPr>
      <t>6</t>
    </r>
    <r>
      <rPr>
        <sz val="12"/>
        <color theme="1"/>
        <rFont val="新細明體"/>
        <family val="1"/>
        <charset val="136"/>
      </rPr>
      <t>≦Red＜1*10</t>
    </r>
    <r>
      <rPr>
        <vertAlign val="superscript"/>
        <sz val="12"/>
        <color theme="1"/>
        <rFont val="新細明體"/>
        <family val="1"/>
        <charset val="136"/>
      </rPr>
      <t>8</t>
    </r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</si>
  <si>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</si>
  <si>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</si>
  <si>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</si>
  <si>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</si>
  <si>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</si>
  <si>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Qm=</t>
    <phoneticPr fontId="7" type="noConversion"/>
  </si>
  <si>
    <t>mass flowrate</t>
    <phoneticPr fontId="7" type="noConversion"/>
  </si>
  <si>
    <t>C=</t>
    <phoneticPr fontId="7" type="noConversion"/>
  </si>
  <si>
    <t>disharge coefficient</t>
    <phoneticPr fontId="7" type="noConversion"/>
  </si>
  <si>
    <t>ε=</t>
    <phoneticPr fontId="7" type="noConversion"/>
  </si>
  <si>
    <t>expansiblity factor(expansion factor)</t>
    <phoneticPr fontId="7" type="noConversion"/>
  </si>
  <si>
    <r>
      <t>A</t>
    </r>
    <r>
      <rPr>
        <vertAlign val="subscript"/>
        <sz val="12"/>
        <color theme="1"/>
        <rFont val="新細明體"/>
        <family val="1"/>
        <charset val="136"/>
      </rPr>
      <t>throat</t>
    </r>
    <r>
      <rPr>
        <sz val="12"/>
        <color theme="1"/>
        <rFont val="新細明體"/>
        <family val="1"/>
        <charset val="136"/>
      </rPr>
      <t>=</t>
    </r>
    <phoneticPr fontId="7" type="noConversion"/>
  </si>
  <si>
    <t>Qm</t>
    <phoneticPr fontId="7" type="noConversion"/>
  </si>
  <si>
    <t>Qv1=</t>
    <phoneticPr fontId="7" type="noConversion"/>
  </si>
  <si>
    <r>
      <t>Qm/</t>
    </r>
    <r>
      <rPr>
        <sz val="12"/>
        <color theme="1"/>
        <rFont val="新細明體"/>
        <family val="1"/>
        <charset val="136"/>
      </rPr>
      <t>ρ</t>
    </r>
    <r>
      <rPr>
        <sz val="12"/>
        <color theme="1"/>
        <rFont val="新細明體"/>
        <family val="2"/>
      </rPr>
      <t>1</t>
    </r>
    <phoneticPr fontId="7" type="noConversion"/>
  </si>
  <si>
    <t>Qv1</t>
    <phoneticPr fontId="7" type="noConversion"/>
  </si>
  <si>
    <t>Qv2</t>
    <phoneticPr fontId="7" type="noConversion"/>
  </si>
  <si>
    <t>Qv2=</t>
    <phoneticPr fontId="7" type="noConversion"/>
  </si>
  <si>
    <t>U1=</t>
    <phoneticPr fontId="7" type="noConversion"/>
  </si>
  <si>
    <t>U2=</t>
    <phoneticPr fontId="7" type="noConversion"/>
  </si>
  <si>
    <t>Red*=</t>
    <phoneticPr fontId="7" type="noConversion"/>
  </si>
  <si>
    <t>Qm/ρ2</t>
    <phoneticPr fontId="7" type="noConversion"/>
  </si>
  <si>
    <t>Qv1*A1</t>
    <phoneticPr fontId="7" type="noConversion"/>
  </si>
  <si>
    <t>Qv2*A2</t>
    <phoneticPr fontId="7" type="noConversion"/>
  </si>
  <si>
    <r>
      <t>U2*d/</t>
    </r>
    <r>
      <rPr>
        <sz val="12"/>
        <color theme="1"/>
        <rFont val="新細明體"/>
        <family val="1"/>
        <charset val="136"/>
      </rPr>
      <t>ν</t>
    </r>
    <r>
      <rPr>
        <sz val="12"/>
        <color theme="1"/>
        <rFont val="新細明體"/>
        <family val="2"/>
      </rPr>
      <t>2</t>
    </r>
    <phoneticPr fontId="7" type="noConversion"/>
  </si>
  <si>
    <t>U1</t>
    <phoneticPr fontId="7" type="noConversion"/>
  </si>
  <si>
    <t>U2</t>
    <phoneticPr fontId="7" type="noConversion"/>
  </si>
  <si>
    <t>Red*</t>
    <phoneticPr fontId="7" type="noConversion"/>
  </si>
  <si>
    <t>AD=</t>
    <phoneticPr fontId="7" type="noConversion"/>
  </si>
  <si>
    <r>
      <t>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7" type="noConversion"/>
  </si>
  <si>
    <t>Red誤差</t>
    <phoneticPr fontId="7" type="noConversion"/>
  </si>
  <si>
    <t>誤差需求精度</t>
    <phoneticPr fontId="7" type="noConversion"/>
  </si>
  <si>
    <t>P2/P1=</t>
    <phoneticPr fontId="7" type="noConversion"/>
  </si>
  <si>
    <t>ρ=</t>
    <phoneticPr fontId="7" type="noConversion"/>
  </si>
  <si>
    <t>Qv</t>
    <phoneticPr fontId="7" type="noConversion"/>
  </si>
  <si>
    <t>個數</t>
    <phoneticPr fontId="7" type="noConversion"/>
  </si>
  <si>
    <t>第一次</t>
    <phoneticPr fontId="7" type="noConversion"/>
  </si>
  <si>
    <t>第二次</t>
    <phoneticPr fontId="7" type="noConversion"/>
  </si>
  <si>
    <t>新Red</t>
    <phoneticPr fontId="7" type="noConversion"/>
  </si>
  <si>
    <t>Re誤差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</si>
  <si>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</si>
  <si>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</si>
  <si>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</si>
  <si>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</si>
  <si>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</si>
  <si>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r>
      <t>5*10</t>
    </r>
    <r>
      <rPr>
        <sz val="12"/>
        <color theme="1"/>
        <rFont val="新細明體"/>
        <family val="1"/>
        <charset val="136"/>
        <scheme val="minor"/>
      </rPr>
      <t>4≦Red＜3*105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</si>
  <si>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3*105≦Red＜5*105</t>
    </r>
    <phoneticPr fontId="7" type="noConversion"/>
  </si>
  <si>
    <r>
      <t>5*10</t>
    </r>
    <r>
      <rPr>
        <sz val="12"/>
        <color theme="1"/>
        <rFont val="新細明體"/>
        <family val="1"/>
        <charset val="136"/>
        <scheme val="minor"/>
      </rPr>
      <t>5≦Red＜1*106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</si>
  <si>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1*106≦Red＜2*106</t>
    </r>
    <phoneticPr fontId="7" type="noConversion"/>
  </si>
  <si>
    <r>
      <rPr>
        <sz val="12"/>
        <color theme="1"/>
        <rFont val="新細明體"/>
        <family val="1"/>
        <charset val="136"/>
        <scheme val="minor"/>
      </rPr>
      <t>2*106≦Red＜1*108</t>
    </r>
    <phoneticPr fontId="7" type="noConversion"/>
  </si>
  <si>
    <r>
      <t>5*10</t>
    </r>
    <r>
      <rPr>
        <sz val="12"/>
        <color theme="0"/>
        <rFont val="新細明體"/>
        <family val="1"/>
        <charset val="136"/>
        <scheme val="minor"/>
      </rPr>
      <t>4≦Red＜3*105</t>
    </r>
    <phoneticPr fontId="7" type="noConversion"/>
  </si>
  <si>
    <r>
      <rPr>
        <sz val="12"/>
        <color theme="0"/>
        <rFont val="新細明體"/>
        <family val="1"/>
        <charset val="136"/>
        <scheme val="minor"/>
      </rPr>
      <t>3*105≦Red＜5*105</t>
    </r>
    <phoneticPr fontId="7" type="noConversion"/>
  </si>
  <si>
    <r>
      <t>5*10</t>
    </r>
    <r>
      <rPr>
        <sz val="12"/>
        <color theme="0"/>
        <rFont val="新細明體"/>
        <family val="1"/>
        <charset val="136"/>
        <scheme val="minor"/>
      </rPr>
      <t>5≦Red＜1*106</t>
    </r>
    <phoneticPr fontId="7" type="noConversion"/>
  </si>
  <si>
    <r>
      <rPr>
        <sz val="12"/>
        <color theme="0"/>
        <rFont val="新細明體"/>
        <family val="1"/>
        <charset val="136"/>
        <scheme val="minor"/>
      </rPr>
      <t>1*106≦Red＜2*106</t>
    </r>
    <phoneticPr fontId="7" type="noConversion"/>
  </si>
  <si>
    <r>
      <rPr>
        <sz val="12"/>
        <color theme="0"/>
        <rFont val="新細明體"/>
        <family val="1"/>
        <charset val="136"/>
        <scheme val="minor"/>
      </rPr>
      <t>2*106≦Red＜1*108</t>
    </r>
    <phoneticPr fontId="7" type="noConversion"/>
  </si>
  <si>
    <t>第三次</t>
    <phoneticPr fontId="7" type="noConversion"/>
  </si>
  <si>
    <t>第四次</t>
    <phoneticPr fontId="7" type="noConversion"/>
  </si>
  <si>
    <r>
      <t>kg/m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phoneticPr fontId="4" type="noConversion"/>
  </si>
  <si>
    <t>Athroat=</t>
    <phoneticPr fontId="4" type="noConversion"/>
  </si>
  <si>
    <r>
      <t>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4" type="noConversion"/>
  </si>
  <si>
    <t>個數</t>
    <phoneticPr fontId="4" type="noConversion"/>
  </si>
  <si>
    <t>Qv</t>
    <phoneticPr fontId="4" type="noConversion"/>
  </si>
  <si>
    <t>Fluid density at the temperature and pressure for which the volume is stated.</t>
    <phoneticPr fontId="4" type="noConversion"/>
  </si>
  <si>
    <t>Qv2</t>
    <phoneticPr fontId="4" type="noConversion"/>
  </si>
  <si>
    <t>Qm</t>
    <phoneticPr fontId="4" type="noConversion"/>
  </si>
  <si>
    <t>Qv</t>
    <phoneticPr fontId="4" type="noConversion"/>
  </si>
  <si>
    <t>個數</t>
    <phoneticPr fontId="4" type="noConversion"/>
  </si>
  <si>
    <r>
      <t>ΔP</t>
    </r>
    <r>
      <rPr>
        <sz val="12"/>
        <color rgb="FF9C0006"/>
        <rFont val="新細明體"/>
        <family val="1"/>
        <charset val="136"/>
        <scheme val="minor"/>
      </rPr>
      <t>1,atm</t>
    </r>
    <phoneticPr fontId="7" type="noConversion"/>
  </si>
  <si>
    <r>
      <t>ΔP</t>
    </r>
    <r>
      <rPr>
        <sz val="12"/>
        <color rgb="FF9C0006"/>
        <rFont val="新細明體"/>
        <family val="1"/>
        <charset val="136"/>
        <scheme val="minor"/>
      </rPr>
      <t>2,atm</t>
    </r>
    <phoneticPr fontId="7" type="noConversion"/>
  </si>
  <si>
    <r>
      <t>ΔP2</t>
    </r>
    <r>
      <rPr>
        <sz val="12"/>
        <color rgb="FF9C0006"/>
        <rFont val="新細明體"/>
        <family val="1"/>
        <charset val="136"/>
        <scheme val="minor"/>
      </rPr>
      <t>,1</t>
    </r>
    <phoneticPr fontId="7" type="noConversion"/>
  </si>
  <si>
    <t xml:space="preserve">mn                                                            </t>
    <phoneticPr fontId="7" type="noConversion"/>
  </si>
  <si>
    <r>
      <t>Δ</t>
    </r>
    <r>
      <rPr>
        <sz val="12"/>
        <color rgb="FF9C0006"/>
        <rFont val="新細明體"/>
        <family val="1"/>
        <charset val="136"/>
        <scheme val="minor"/>
      </rPr>
      <t>atm,P1</t>
    </r>
    <phoneticPr fontId="7" type="noConversion"/>
  </si>
  <si>
    <t>mmHg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</si>
</sst>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  <font>
      <i/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新細明體"/>
      <family val="1"/>
      <charset val="136"/>
      <scheme val="minor"/>
    </font>
    <font>
      <b/>
      <i/>
      <sz val="12"/>
      <color theme="1"/>
      <name val="Times New Roman"/>
      <family val="1"/>
    </font>
    <font>
      <b/>
      <i/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</font>
    <font>
      <b/>
      <i/>
      <sz val="12"/>
      <color theme="1"/>
      <name val="Symbol"/>
      <family val="1"/>
      <charset val="2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2"/>
    </font>
    <font>
      <vertAlign val="superscript"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vertAlign val="superscript"/>
      <sz val="12"/>
      <color theme="1"/>
      <name val="新細明體"/>
      <family val="2"/>
      <scheme val="minor"/>
    </font>
    <font>
      <vertAlign val="subscript"/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1" xfId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2" borderId="1" xfId="1" applyBorder="1" applyAlignment="1"/>
    <xf numFmtId="0" fontId="3" fillId="2" borderId="14" xfId="1" applyBorder="1" applyAlignment="1"/>
    <xf numFmtId="0" fontId="3" fillId="2" borderId="0" xfId="1" applyAlignment="1"/>
    <xf numFmtId="0" fontId="9" fillId="0" borderId="0" xfId="0" applyFont="1" applyAlignment="1">
      <alignment vertical="center"/>
    </xf>
    <xf numFmtId="0" fontId="3" fillId="2" borderId="0" xfId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2" xfId="0" applyFont="1" applyBorder="1" applyAlignment="1">
      <alignment horizontal="right"/>
    </xf>
    <xf numFmtId="0" fontId="5" fillId="0" borderId="4" xfId="0" applyFont="1" applyBorder="1" applyAlignment="1"/>
    <xf numFmtId="0" fontId="5" fillId="0" borderId="5" xfId="0" applyFont="1" applyBorder="1" applyAlignment="1"/>
    <xf numFmtId="0" fontId="14" fillId="0" borderId="6" xfId="0" applyFont="1" applyBorder="1" applyAlignment="1">
      <alignment horizontal="right"/>
    </xf>
    <xf numFmtId="0" fontId="5" fillId="0" borderId="6" xfId="0" applyFont="1" applyBorder="1" applyAlignment="1"/>
    <xf numFmtId="0" fontId="0" fillId="0" borderId="5" xfId="0" applyBorder="1"/>
    <xf numFmtId="0" fontId="0" fillId="0" borderId="7" xfId="0" applyBorder="1"/>
    <xf numFmtId="0" fontId="5" fillId="0" borderId="9" xfId="0" applyFont="1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12" fillId="0" borderId="0" xfId="0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Border="1"/>
    <xf numFmtId="0" fontId="16" fillId="0" borderId="0" xfId="0" applyFont="1" applyAlignment="1">
      <alignment horizontal="right"/>
    </xf>
    <xf numFmtId="0" fontId="9" fillId="0" borderId="5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9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6" xfId="0" applyNumberFormat="1" applyBorder="1"/>
    <xf numFmtId="0" fontId="2" fillId="5" borderId="0" xfId="4" applyAlignment="1"/>
    <xf numFmtId="0" fontId="2" fillId="6" borderId="0" xfId="5" applyAlignment="1"/>
    <xf numFmtId="0" fontId="2" fillId="6" borderId="0" xfId="5" applyAlignment="1">
      <alignment horizontal="center"/>
    </xf>
    <xf numFmtId="0" fontId="2" fillId="6" borderId="0" xfId="5" applyBorder="1" applyAlignment="1"/>
    <xf numFmtId="0" fontId="2" fillId="6" borderId="6" xfId="5" applyBorder="1" applyAlignment="1"/>
    <xf numFmtId="11" fontId="2" fillId="6" borderId="0" xfId="5" applyNumberFormat="1" applyAlignment="1"/>
    <xf numFmtId="0" fontId="2" fillId="6" borderId="0" xfId="5" applyNumberFormat="1" applyAlignment="1"/>
    <xf numFmtId="0" fontId="2" fillId="6" borderId="2" xfId="5" applyBorder="1" applyAlignment="1"/>
    <xf numFmtId="0" fontId="2" fillId="6" borderId="3" xfId="5" applyBorder="1" applyAlignment="1"/>
    <xf numFmtId="0" fontId="2" fillId="6" borderId="4" xfId="5" applyBorder="1" applyAlignment="1"/>
    <xf numFmtId="0" fontId="2" fillId="6" borderId="5" xfId="5" applyBorder="1" applyAlignment="1"/>
    <xf numFmtId="0" fontId="2" fillId="6" borderId="2" xfId="5" applyBorder="1" applyAlignment="1">
      <alignment horizontal="center" vertical="center"/>
    </xf>
    <xf numFmtId="0" fontId="2" fillId="6" borderId="5" xfId="5" applyBorder="1" applyAlignment="1">
      <alignment horizontal="center"/>
    </xf>
    <xf numFmtId="0" fontId="2" fillId="6" borderId="5" xfId="5" applyBorder="1" applyAlignment="1">
      <alignment horizontal="center" vertical="center"/>
    </xf>
    <xf numFmtId="0" fontId="2" fillId="6" borderId="7" xfId="5" applyBorder="1" applyAlignment="1">
      <alignment horizontal="center"/>
    </xf>
    <xf numFmtId="0" fontId="2" fillId="5" borderId="0" xfId="4" applyAlignment="1">
      <alignment horizontal="center"/>
    </xf>
    <xf numFmtId="0" fontId="2" fillId="5" borderId="0" xfId="4" applyBorder="1" applyAlignment="1"/>
    <xf numFmtId="0" fontId="2" fillId="5" borderId="6" xfId="4" applyBorder="1" applyAlignment="1"/>
    <xf numFmtId="11" fontId="2" fillId="5" borderId="0" xfId="4" applyNumberFormat="1" applyAlignment="1"/>
    <xf numFmtId="0" fontId="2" fillId="5" borderId="0" xfId="4" applyNumberFormat="1" applyAlignment="1"/>
    <xf numFmtId="0" fontId="2" fillId="5" borderId="2" xfId="4" applyBorder="1" applyAlignment="1"/>
    <xf numFmtId="0" fontId="2" fillId="5" borderId="3" xfId="4" applyBorder="1" applyAlignment="1"/>
    <xf numFmtId="0" fontId="2" fillId="5" borderId="4" xfId="4" applyBorder="1" applyAlignment="1"/>
    <xf numFmtId="0" fontId="2" fillId="5" borderId="5" xfId="4" applyBorder="1" applyAlignment="1"/>
    <xf numFmtId="0" fontId="2" fillId="5" borderId="2" xfId="4" applyBorder="1" applyAlignment="1">
      <alignment horizontal="center" vertical="center"/>
    </xf>
    <xf numFmtId="0" fontId="2" fillId="5" borderId="5" xfId="4" applyBorder="1" applyAlignment="1">
      <alignment horizontal="center"/>
    </xf>
    <xf numFmtId="0" fontId="2" fillId="5" borderId="5" xfId="4" applyBorder="1" applyAlignment="1">
      <alignment horizontal="center" vertical="center"/>
    </xf>
    <xf numFmtId="0" fontId="2" fillId="5" borderId="7" xfId="4" applyBorder="1" applyAlignment="1">
      <alignment horizontal="center"/>
    </xf>
    <xf numFmtId="0" fontId="2" fillId="5" borderId="8" xfId="4" applyBorder="1" applyAlignment="1"/>
    <xf numFmtId="0" fontId="15" fillId="7" borderId="0" xfId="6" applyAlignment="1"/>
    <xf numFmtId="0" fontId="15" fillId="7" borderId="0" xfId="6" applyAlignment="1">
      <alignment horizontal="center"/>
    </xf>
    <xf numFmtId="0" fontId="15" fillId="7" borderId="0" xfId="6" applyBorder="1" applyAlignment="1"/>
    <xf numFmtId="0" fontId="15" fillId="7" borderId="6" xfId="6" applyBorder="1" applyAlignment="1"/>
    <xf numFmtId="11" fontId="15" fillId="7" borderId="0" xfId="6" applyNumberFormat="1" applyAlignment="1"/>
    <xf numFmtId="0" fontId="15" fillId="7" borderId="2" xfId="6" applyBorder="1" applyAlignment="1"/>
    <xf numFmtId="0" fontId="15" fillId="7" borderId="3" xfId="6" applyBorder="1" applyAlignment="1"/>
    <xf numFmtId="0" fontId="15" fillId="7" borderId="4" xfId="6" applyBorder="1" applyAlignment="1"/>
    <xf numFmtId="0" fontId="15" fillId="7" borderId="5" xfId="6" applyBorder="1" applyAlignment="1"/>
    <xf numFmtId="0" fontId="15" fillId="7" borderId="2" xfId="6" applyBorder="1" applyAlignment="1">
      <alignment horizontal="center" vertical="center"/>
    </xf>
    <xf numFmtId="0" fontId="15" fillId="7" borderId="5" xfId="6" applyBorder="1" applyAlignment="1">
      <alignment horizontal="center"/>
    </xf>
    <xf numFmtId="0" fontId="15" fillId="7" borderId="5" xfId="6" applyBorder="1" applyAlignment="1">
      <alignment horizontal="center" vertical="center"/>
    </xf>
    <xf numFmtId="0" fontId="15" fillId="7" borderId="7" xfId="6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2" borderId="16" xfId="1" applyBorder="1" applyAlignment="1"/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3" borderId="0" xfId="2" applyBorder="1" applyAlignment="1"/>
    <xf numFmtId="0" fontId="2" fillId="3" borderId="8" xfId="2" applyBorder="1" applyAlignment="1"/>
    <xf numFmtId="0" fontId="2" fillId="3" borderId="0" xfId="2" applyBorder="1" applyAlignment="1">
      <alignment horizontal="center"/>
    </xf>
    <xf numFmtId="0" fontId="3" fillId="2" borderId="12" xfId="1" applyBorder="1" applyAlignment="1"/>
    <xf numFmtId="11" fontId="3" fillId="2" borderId="0" xfId="1" applyNumberFormat="1" applyAlignment="1"/>
    <xf numFmtId="0" fontId="15" fillId="4" borderId="2" xfId="3" applyBorder="1" applyAlignment="1"/>
    <xf numFmtId="11" fontId="0" fillId="0" borderId="0" xfId="0" applyNumberFormat="1"/>
    <xf numFmtId="176" fontId="5" fillId="0" borderId="6" xfId="0" applyNumberFormat="1" applyFont="1" applyBorder="1" applyAlignment="1"/>
    <xf numFmtId="176" fontId="5" fillId="0" borderId="9" xfId="0" applyNumberFormat="1" applyFont="1" applyBorder="1" applyAlignment="1"/>
    <xf numFmtId="11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4" applyBorder="1" applyAlignment="1">
      <alignment horizontal="center"/>
    </xf>
    <xf numFmtId="0" fontId="2" fillId="6" borderId="0" xfId="5" applyBorder="1" applyAlignment="1">
      <alignment horizontal="center"/>
    </xf>
    <xf numFmtId="0" fontId="15" fillId="7" borderId="0" xfId="6" applyBorder="1" applyAlignment="1">
      <alignment horizontal="center"/>
    </xf>
    <xf numFmtId="11" fontId="3" fillId="2" borderId="0" xfId="1" applyNumberForma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</cellXfs>
  <cellStyles count="7">
    <cellStyle name="20% - 輔色1" xfId="2" builtinId="30"/>
    <cellStyle name="20% - 輔色2" xfId="4" builtinId="34"/>
    <cellStyle name="40% - 輔色2" xfId="5" builtinId="35"/>
    <cellStyle name="60% - 輔色2" xfId="6" builtinId="36"/>
    <cellStyle name="一般" xfId="0" builtinId="0"/>
    <cellStyle name="輔色2" xfId="3" builtinId="33"/>
    <cellStyle name="壞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tabSelected="1" topLeftCell="E7" workbookViewId="0">
      <selection activeCell="K11" sqref="K11"/>
    </sheetView>
  </sheetViews>
  <sheetFormatPr defaultRowHeight="16.2" x14ac:dyDescent="0.3"/>
  <cols>
    <col min="2" max="2" width="9.44140625" bestFit="1" customWidth="1"/>
    <col min="5" max="5" width="10" bestFit="1" customWidth="1"/>
    <col min="7" max="7" width="9.44140625" bestFit="1" customWidth="1"/>
    <col min="12" max="19" width="9.44140625" bestFit="1" customWidth="1"/>
    <col min="20" max="21" width="9.109375" bestFit="1" customWidth="1"/>
    <col min="22" max="27" width="9.44140625" bestFit="1" customWidth="1"/>
    <col min="29" max="30" width="9.109375" bestFit="1" customWidth="1"/>
    <col min="31" max="36" width="9.44140625" bestFit="1" customWidth="1"/>
  </cols>
  <sheetData>
    <row r="1" spans="1:15" x14ac:dyDescent="0.3">
      <c r="A1" s="52">
        <v>1</v>
      </c>
      <c r="B1" s="10" t="s">
        <v>5</v>
      </c>
      <c r="C1" s="8" t="s">
        <v>6</v>
      </c>
      <c r="D1" s="8" t="s">
        <v>7</v>
      </c>
      <c r="E1" s="8" t="s">
        <v>0</v>
      </c>
      <c r="F1" s="8" t="s">
        <v>1</v>
      </c>
      <c r="G1" s="7" t="s">
        <v>122</v>
      </c>
      <c r="H1" s="7" t="s">
        <v>124</v>
      </c>
      <c r="I1" s="106" t="s">
        <v>121</v>
      </c>
      <c r="J1" s="18" t="s">
        <v>2</v>
      </c>
      <c r="K1" s="15">
        <v>768.7</v>
      </c>
      <c r="L1" s="9" t="s">
        <v>125</v>
      </c>
      <c r="M1" s="37" t="s">
        <v>40</v>
      </c>
      <c r="N1">
        <f>K1/760*101325</f>
        <v>102484.90460526317</v>
      </c>
      <c r="O1" t="s">
        <v>4</v>
      </c>
    </row>
    <row r="2" spans="1:15" x14ac:dyDescent="0.3">
      <c r="B2" s="11">
        <v>1</v>
      </c>
      <c r="C2" s="5">
        <f>N1+H2</f>
        <v>102399.90460526317</v>
      </c>
      <c r="D2" s="5">
        <f t="shared" ref="D2:D11" si="0">-(I2-$N$1)</f>
        <v>102369.90460526317</v>
      </c>
      <c r="E2" s="6">
        <f>C2/1000</f>
        <v>102.39990460526317</v>
      </c>
      <c r="F2" s="6">
        <f>D2/1000</f>
        <v>102.36990460526317</v>
      </c>
      <c r="G2" s="13">
        <v>30</v>
      </c>
      <c r="H2" s="13">
        <v>-85</v>
      </c>
      <c r="I2" s="14">
        <f>-H2+G2</f>
        <v>115</v>
      </c>
      <c r="J2" s="18" t="s">
        <v>8</v>
      </c>
      <c r="K2" s="17">
        <v>0.2</v>
      </c>
      <c r="L2" s="16" t="s">
        <v>9</v>
      </c>
    </row>
    <row r="3" spans="1:15" x14ac:dyDescent="0.3">
      <c r="B3" s="11">
        <v>2</v>
      </c>
      <c r="C3" s="5">
        <f>H3+N1</f>
        <v>102326.90460526317</v>
      </c>
      <c r="D3" s="5">
        <f t="shared" si="0"/>
        <v>102280.90460526317</v>
      </c>
      <c r="E3" s="6">
        <f t="shared" ref="E3:E11" si="1">C3/1000</f>
        <v>102.32690460526318</v>
      </c>
      <c r="F3" s="6">
        <f t="shared" ref="F3:F11" si="2">D3/1000</f>
        <v>102.28090460526317</v>
      </c>
      <c r="G3" s="13">
        <v>46</v>
      </c>
      <c r="H3" s="13">
        <v>-158</v>
      </c>
      <c r="I3" s="14">
        <f t="shared" ref="I3:I6" si="3">-H3+G3</f>
        <v>204</v>
      </c>
      <c r="J3" s="18" t="s">
        <v>10</v>
      </c>
      <c r="K3" s="17">
        <v>0.14000000000000001</v>
      </c>
      <c r="L3" s="16" t="s">
        <v>9</v>
      </c>
    </row>
    <row r="4" spans="1:15" x14ac:dyDescent="0.3">
      <c r="B4" s="11">
        <v>3</v>
      </c>
      <c r="C4" s="5">
        <f>H4+N1</f>
        <v>102237.90460526317</v>
      </c>
      <c r="D4" s="5">
        <f t="shared" si="0"/>
        <v>102166.90460526317</v>
      </c>
      <c r="E4" s="6">
        <f t="shared" si="1"/>
        <v>102.23790460526317</v>
      </c>
      <c r="F4" s="6">
        <f t="shared" si="2"/>
        <v>102.16690460526317</v>
      </c>
      <c r="G4" s="13">
        <v>71</v>
      </c>
      <c r="H4" s="13">
        <v>-247</v>
      </c>
      <c r="I4" s="14">
        <f t="shared" si="3"/>
        <v>318</v>
      </c>
      <c r="J4" s="18" t="s">
        <v>16</v>
      </c>
      <c r="K4" s="15">
        <v>1.4</v>
      </c>
      <c r="L4" t="s">
        <v>34</v>
      </c>
    </row>
    <row r="5" spans="1:15" ht="18.600000000000001" x14ac:dyDescent="0.3">
      <c r="B5" s="11">
        <v>4</v>
      </c>
      <c r="C5" s="5">
        <f>H5+N1</f>
        <v>102126.90460526317</v>
      </c>
      <c r="D5" s="5">
        <f t="shared" si="0"/>
        <v>102026.90460526317</v>
      </c>
      <c r="E5" s="6">
        <f t="shared" si="1"/>
        <v>102.12690460526318</v>
      </c>
      <c r="F5" s="6">
        <f t="shared" si="2"/>
        <v>102.02690460526317</v>
      </c>
      <c r="G5" s="13">
        <v>100</v>
      </c>
      <c r="H5" s="13">
        <v>-358</v>
      </c>
      <c r="I5" s="14">
        <f t="shared" si="3"/>
        <v>458</v>
      </c>
      <c r="J5" s="18" t="s">
        <v>11</v>
      </c>
      <c r="K5" s="15" t="s">
        <v>14</v>
      </c>
      <c r="L5" t="s">
        <v>13</v>
      </c>
    </row>
    <row r="6" spans="1:15" ht="18.600000000000001" x14ac:dyDescent="0.3">
      <c r="B6" s="11">
        <v>5</v>
      </c>
      <c r="C6" s="5">
        <f>H6+N1</f>
        <v>101996.90460526317</v>
      </c>
      <c r="D6" s="5">
        <f t="shared" si="0"/>
        <v>101858.90460526317</v>
      </c>
      <c r="E6" s="6">
        <f t="shared" si="1"/>
        <v>101.99690460526317</v>
      </c>
      <c r="F6" s="6">
        <f t="shared" si="2"/>
        <v>101.85890460526318</v>
      </c>
      <c r="G6" s="13">
        <v>138</v>
      </c>
      <c r="H6" s="13">
        <v>-488</v>
      </c>
      <c r="I6" s="14">
        <f t="shared" si="3"/>
        <v>626</v>
      </c>
      <c r="J6" s="18" t="s">
        <v>12</v>
      </c>
      <c r="K6" s="107">
        <v>1.8E-5</v>
      </c>
      <c r="L6" t="s">
        <v>15</v>
      </c>
    </row>
    <row r="7" spans="1:15" x14ac:dyDescent="0.3">
      <c r="B7" s="11">
        <v>6</v>
      </c>
      <c r="C7" s="5">
        <f>H7+N1</f>
        <v>101831.90460526317</v>
      </c>
      <c r="D7" s="5">
        <f t="shared" si="0"/>
        <v>101645.90460526317</v>
      </c>
      <c r="E7" s="6">
        <f t="shared" si="1"/>
        <v>101.83190460526318</v>
      </c>
      <c r="F7" s="6">
        <f t="shared" si="2"/>
        <v>101.64590460526317</v>
      </c>
      <c r="G7" s="13">
        <v>186</v>
      </c>
      <c r="H7" s="13">
        <f>-I7+G7</f>
        <v>-653</v>
      </c>
      <c r="I7" s="14">
        <v>839</v>
      </c>
      <c r="J7" s="18" t="s">
        <v>20</v>
      </c>
      <c r="K7" s="15">
        <v>28.8</v>
      </c>
    </row>
    <row r="8" spans="1:15" x14ac:dyDescent="0.3">
      <c r="B8" s="11">
        <v>7</v>
      </c>
      <c r="C8" s="5">
        <f>H8+N1</f>
        <v>101661.90460526317</v>
      </c>
      <c r="D8" s="5">
        <f t="shared" si="0"/>
        <v>101416.90460526317</v>
      </c>
      <c r="E8" s="6">
        <f t="shared" si="1"/>
        <v>101.66190460526317</v>
      </c>
      <c r="F8" s="6">
        <f t="shared" si="2"/>
        <v>101.41690460526317</v>
      </c>
      <c r="G8" s="13">
        <v>245</v>
      </c>
      <c r="H8" s="13">
        <f t="shared" ref="H8:H11" si="4">-I8+G8</f>
        <v>-823</v>
      </c>
      <c r="I8" s="14">
        <v>1068</v>
      </c>
      <c r="J8" s="18" t="s">
        <v>22</v>
      </c>
      <c r="K8" s="15">
        <v>8.3140000000000001</v>
      </c>
      <c r="L8" t="s">
        <v>23</v>
      </c>
    </row>
    <row r="9" spans="1:15" ht="18.600000000000001" x14ac:dyDescent="0.3">
      <c r="B9" s="11">
        <v>8</v>
      </c>
      <c r="C9" s="5">
        <f>H9+N1</f>
        <v>101486.90460526317</v>
      </c>
      <c r="D9" s="5">
        <f t="shared" si="0"/>
        <v>101180.90460526317</v>
      </c>
      <c r="E9" s="6">
        <f t="shared" si="1"/>
        <v>101.48690460526318</v>
      </c>
      <c r="F9" s="6">
        <f t="shared" si="2"/>
        <v>101.18090460526318</v>
      </c>
      <c r="G9" s="13">
        <v>306</v>
      </c>
      <c r="H9" s="13">
        <f t="shared" si="4"/>
        <v>-998</v>
      </c>
      <c r="I9" s="14">
        <v>1304</v>
      </c>
      <c r="J9" s="44" t="s">
        <v>44</v>
      </c>
      <c r="K9" s="107">
        <v>1.5E-5</v>
      </c>
      <c r="L9" t="s">
        <v>45</v>
      </c>
    </row>
    <row r="10" spans="1:15" x14ac:dyDescent="0.3">
      <c r="B10" s="11">
        <v>9</v>
      </c>
      <c r="C10" s="5">
        <f>H10+N1</f>
        <v>101304.90460526317</v>
      </c>
      <c r="D10" s="5">
        <f t="shared" si="0"/>
        <v>100926.90460526317</v>
      </c>
      <c r="E10" s="6">
        <f t="shared" si="1"/>
        <v>101.30490460526318</v>
      </c>
      <c r="F10" s="6">
        <f t="shared" si="2"/>
        <v>100.92690460526318</v>
      </c>
      <c r="G10" s="13">
        <v>378</v>
      </c>
      <c r="H10" s="13">
        <f t="shared" si="4"/>
        <v>-1180</v>
      </c>
      <c r="I10" s="14">
        <v>1558</v>
      </c>
      <c r="J10" t="s">
        <v>24</v>
      </c>
      <c r="K10" s="15">
        <v>23.3</v>
      </c>
      <c r="L10" t="s">
        <v>25</v>
      </c>
    </row>
    <row r="11" spans="1:15" ht="16.8" thickBot="1" x14ac:dyDescent="0.35">
      <c r="B11" s="12">
        <v>10</v>
      </c>
      <c r="C11" s="97">
        <f>H11+N1</f>
        <v>101099.90460526317</v>
      </c>
      <c r="D11" s="5">
        <f t="shared" si="0"/>
        <v>100642.90460526317</v>
      </c>
      <c r="E11" s="98">
        <f t="shared" si="1"/>
        <v>101.09990460526318</v>
      </c>
      <c r="F11" s="98">
        <f t="shared" si="2"/>
        <v>100.64290460526317</v>
      </c>
      <c r="G11" s="99">
        <v>457</v>
      </c>
      <c r="H11" s="13">
        <f t="shared" si="4"/>
        <v>-1385</v>
      </c>
      <c r="I11" s="14">
        <v>1842</v>
      </c>
      <c r="J11" t="s">
        <v>28</v>
      </c>
      <c r="K11">
        <v>64</v>
      </c>
      <c r="L11" t="s">
        <v>29</v>
      </c>
    </row>
    <row r="12" spans="1:15" ht="16.5" customHeight="1" thickBot="1" x14ac:dyDescent="0.35">
      <c r="A12" s="1"/>
      <c r="B12" s="1"/>
      <c r="C12" s="1"/>
      <c r="D12" s="1"/>
      <c r="E12" s="1"/>
      <c r="F12" s="1"/>
      <c r="G12" s="1"/>
      <c r="J12" s="18" t="s">
        <v>17</v>
      </c>
      <c r="K12">
        <f>K3/K2</f>
        <v>0.70000000000000007</v>
      </c>
      <c r="M12" s="124" t="s">
        <v>21</v>
      </c>
      <c r="N12" s="125"/>
      <c r="O12" s="126"/>
    </row>
    <row r="13" spans="1:15" x14ac:dyDescent="0.3">
      <c r="F13" s="113"/>
      <c r="G13" s="114"/>
      <c r="H13" s="114"/>
      <c r="I13" s="115"/>
      <c r="J13" s="18" t="s">
        <v>19</v>
      </c>
      <c r="K13">
        <f>K8/K7</f>
        <v>0.28868055555555555</v>
      </c>
      <c r="L13" t="s">
        <v>23</v>
      </c>
      <c r="M13" s="127"/>
      <c r="N13" s="128"/>
      <c r="O13" s="129"/>
    </row>
    <row r="14" spans="1:15" ht="16.8" thickBot="1" x14ac:dyDescent="0.35">
      <c r="A14" s="52">
        <v>2</v>
      </c>
      <c r="F14" s="116"/>
      <c r="G14" s="117"/>
      <c r="H14" s="117"/>
      <c r="I14" s="118"/>
      <c r="J14" s="18" t="s">
        <v>26</v>
      </c>
      <c r="K14">
        <f>K10+273.15</f>
        <v>296.45</v>
      </c>
      <c r="L14" t="s">
        <v>27</v>
      </c>
      <c r="M14" s="127"/>
      <c r="N14" s="128"/>
      <c r="O14" s="129"/>
    </row>
    <row r="15" spans="1:15" ht="19.2" thickBot="1" x14ac:dyDescent="0.35">
      <c r="A15" s="113" t="s">
        <v>18</v>
      </c>
      <c r="B15" s="114"/>
      <c r="C15" s="115"/>
      <c r="D15" s="26" t="s">
        <v>33</v>
      </c>
      <c r="E15" s="27" t="s">
        <v>37</v>
      </c>
      <c r="F15" s="119"/>
      <c r="G15" s="120"/>
      <c r="H15" s="120"/>
      <c r="I15" s="121"/>
      <c r="J15" s="18" t="s">
        <v>81</v>
      </c>
      <c r="K15">
        <f>(3.14159*K2^2)/4</f>
        <v>3.1415900000000004E-2</v>
      </c>
      <c r="L15" t="s">
        <v>82</v>
      </c>
      <c r="M15" s="127"/>
      <c r="N15" s="128"/>
      <c r="O15" s="129"/>
    </row>
    <row r="16" spans="1:15" ht="19.2" thickBot="1" x14ac:dyDescent="0.35">
      <c r="A16" s="24" t="s">
        <v>32</v>
      </c>
      <c r="B16" s="20" t="s">
        <v>30</v>
      </c>
      <c r="C16" s="21" t="s">
        <v>31</v>
      </c>
      <c r="D16" s="28" t="s">
        <v>35</v>
      </c>
      <c r="E16" s="29" t="s">
        <v>36</v>
      </c>
      <c r="F16" s="22" t="s">
        <v>39</v>
      </c>
      <c r="G16" s="36" t="s">
        <v>38</v>
      </c>
      <c r="H16" s="1"/>
      <c r="I16" s="2"/>
      <c r="J16" s="18" t="s">
        <v>86</v>
      </c>
      <c r="K16">
        <f>(N1/1000)/$K$14/$K$13</f>
        <v>1.1975424418815575</v>
      </c>
      <c r="L16" t="s">
        <v>110</v>
      </c>
      <c r="M16" s="130"/>
      <c r="N16" s="131"/>
      <c r="O16" s="132"/>
    </row>
    <row r="17" spans="1:11" x14ac:dyDescent="0.3">
      <c r="A17" s="22">
        <v>1</v>
      </c>
      <c r="B17" s="1">
        <f>E2/$K$13/$K$14</f>
        <v>1.196549211630215</v>
      </c>
      <c r="C17" s="2">
        <f>F2/$K$13/$K$14</f>
        <v>1.1961986597767997</v>
      </c>
      <c r="D17" s="28">
        <v>1</v>
      </c>
      <c r="E17" s="110">
        <f>D2/C2</f>
        <v>0.99970703097707325</v>
      </c>
      <c r="F17" s="22">
        <v>1</v>
      </c>
      <c r="G17" s="1">
        <f>((($K$4*E17^(2/$K$4))/($K$4-1))*((1-$K$12^4)/(1-$K$12^4*(E17^(2/$K$4))))*((1-E17^(($K$4-1)/$K$4))/(1-E17)))^(1/2)</f>
        <v>0.99977694160220998</v>
      </c>
      <c r="H17" s="1"/>
      <c r="I17" s="2"/>
      <c r="J17" s="49" t="s">
        <v>85</v>
      </c>
      <c r="K17">
        <f>D2/C2</f>
        <v>0.99970703097707325</v>
      </c>
    </row>
    <row r="18" spans="1:11" x14ac:dyDescent="0.3">
      <c r="A18" s="22">
        <v>2</v>
      </c>
      <c r="B18" s="1">
        <f>E3/$K$13/$K$14</f>
        <v>1.1956962021202382</v>
      </c>
      <c r="C18" s="2">
        <f>F3/$K$13/$K$14</f>
        <v>1.1951586892783348</v>
      </c>
      <c r="D18" s="31">
        <v>2</v>
      </c>
      <c r="E18" s="110">
        <f t="shared" ref="E18:E26" si="5">D3/C3</f>
        <v>0.99955046035861783</v>
      </c>
      <c r="F18" s="22">
        <v>2</v>
      </c>
      <c r="G18" s="1">
        <f>((($K$4*E18^(2/$K$4))/($K$4-1))*((1-$K$12^4)/(1-$K$12^4*(E18^(2/$K$4))))*((1-E18^(($K$4-1)/$K$4))/(1-E18)))^(1/2)</f>
        <v>0.9996577403073027</v>
      </c>
      <c r="H18" s="1"/>
      <c r="I18" s="2"/>
    </row>
    <row r="19" spans="1:11" x14ac:dyDescent="0.3">
      <c r="A19" s="22">
        <v>3</v>
      </c>
      <c r="B19" s="1">
        <f>E4/$K$13/$K$14</f>
        <v>1.1946562316217733</v>
      </c>
      <c r="C19" s="2">
        <f>F4/$K$13/$K$14</f>
        <v>1.1938265922353575</v>
      </c>
      <c r="D19" s="31">
        <v>3</v>
      </c>
      <c r="E19" s="110">
        <f t="shared" si="5"/>
        <v>0.99930554132272054</v>
      </c>
      <c r="F19" s="22">
        <v>3</v>
      </c>
      <c r="G19" s="1">
        <f>((($K$4*E19^(2/$K$4))/($K$4-1))*((1-$K$12^4)/(1-$K$12^4*(E19^(2/$K$4))))*((1-E19^(($K$4-1)/$K$4))/(1-E19)))^(1/2)</f>
        <v>0.99947128708311084</v>
      </c>
      <c r="H19" s="1"/>
      <c r="I19" s="2"/>
    </row>
    <row r="20" spans="1:11" x14ac:dyDescent="0.3">
      <c r="A20" s="22">
        <v>4</v>
      </c>
      <c r="B20" s="1">
        <f>E5/$K$13/$K$14</f>
        <v>1.1933591897641374</v>
      </c>
      <c r="C20" s="2">
        <f>F5/$K$13/$K$14</f>
        <v>1.1921906835860867</v>
      </c>
      <c r="D20" s="31">
        <v>4</v>
      </c>
      <c r="E20" s="110">
        <f t="shared" si="5"/>
        <v>0.99902082609488152</v>
      </c>
      <c r="F20" s="22">
        <v>4</v>
      </c>
      <c r="G20" s="1">
        <f>((($K$4*E20^(2/$K$4))/($K$4-1))*((1-$K$12^4)/(1-$K$12^4*(E20^(2/$K$4))))*((1-E20^(($K$4-1)/$K$4))/(1-E20)))^(1/2)</f>
        <v>0.99925455296650079</v>
      </c>
      <c r="H20" s="1"/>
      <c r="I20" s="2"/>
    </row>
    <row r="21" spans="1:11" x14ac:dyDescent="0.3">
      <c r="A21" s="22">
        <v>5</v>
      </c>
      <c r="B21" s="1">
        <f>E6/$K$13/$K$14</f>
        <v>1.1918401317326717</v>
      </c>
      <c r="C21" s="2">
        <f>F6/$K$13/$K$14</f>
        <v>1.1902275932069621</v>
      </c>
      <c r="D21" s="31">
        <v>5</v>
      </c>
      <c r="E21" s="110">
        <f t="shared" si="5"/>
        <v>0.99864701776456777</v>
      </c>
      <c r="F21" s="22">
        <v>5</v>
      </c>
      <c r="G21" s="1">
        <f>((($K$4*E21^(2/$K$4))/($K$4-1))*((1-$K$12^4)/(1-$K$12^4*(E21^(2/$K$4))))*((1-E21^(($K$4-1)/$K$4))/(1-E21)))^(1/2)</f>
        <v>0.9989700234345994</v>
      </c>
      <c r="H21" s="1"/>
      <c r="I21" s="2"/>
    </row>
    <row r="22" spans="1:11" x14ac:dyDescent="0.3">
      <c r="A22" s="22">
        <v>6</v>
      </c>
      <c r="B22" s="1">
        <f>E7/$K$13/$K$14</f>
        <v>1.1899120965388885</v>
      </c>
      <c r="C22" s="2">
        <f>F7/$K$13/$K$14</f>
        <v>1.1877386750477148</v>
      </c>
      <c r="D22" s="31">
        <v>6</v>
      </c>
      <c r="E22" s="110">
        <f t="shared" si="5"/>
        <v>0.99817346046191513</v>
      </c>
      <c r="F22" s="22">
        <v>6</v>
      </c>
      <c r="G22" s="1">
        <f>((($K$4*E22^(2/$K$4))/($K$4-1))*((1-$K$12^4)/(1-$K$12^4*(E22^(2/$K$4))))*((1-E22^(($K$4-1)/$K$4))/(1-E22)))^(1/2)</f>
        <v>0.99860960929115461</v>
      </c>
      <c r="H22" s="1"/>
      <c r="I22" s="2"/>
    </row>
    <row r="23" spans="1:11" x14ac:dyDescent="0.3">
      <c r="A23" s="22">
        <v>7</v>
      </c>
      <c r="B23" s="1">
        <f>E8/$K$13/$K$14</f>
        <v>1.1879256360362029</v>
      </c>
      <c r="C23" s="2">
        <f>F8/$K$13/$K$14</f>
        <v>1.1850627958999795</v>
      </c>
      <c r="D23" s="31">
        <v>7</v>
      </c>
      <c r="E23" s="110">
        <f t="shared" si="5"/>
        <v>0.99759005105254228</v>
      </c>
      <c r="F23" s="22">
        <v>7</v>
      </c>
      <c r="G23" s="1">
        <f>((($K$4*E23^(2/$K$4))/($K$4-1))*((1-$K$12^4)/(1-$K$12^4*(E23^(2/$K$4))))*((1-E23^(($K$4-1)/$K$4))/(1-E23)))^(1/2)</f>
        <v>0.99816565156919534</v>
      </c>
      <c r="H23" s="1"/>
      <c r="I23" s="2"/>
    </row>
    <row r="24" spans="1:11" x14ac:dyDescent="0.3">
      <c r="A24" s="22">
        <v>8</v>
      </c>
      <c r="B24" s="1">
        <f>E9/$K$13/$K$14</f>
        <v>1.1858807502246147</v>
      </c>
      <c r="C24" s="2">
        <f>F9/$K$13/$K$14</f>
        <v>1.1823051213197804</v>
      </c>
      <c r="D24" s="31">
        <v>8</v>
      </c>
      <c r="E24" s="110">
        <f t="shared" si="5"/>
        <v>0.99698483266200499</v>
      </c>
      <c r="F24" s="22">
        <v>8</v>
      </c>
      <c r="G24" s="1">
        <f>((($K$4*E24^(2/$K$4))/($K$4-1))*((1-$K$12^4)/(1-$K$12^4*(E24^(2/$K$4))))*((1-E24^(($K$4-1)/$K$4))/(1-E24)))^(1/2)</f>
        <v>0.99770517052821339</v>
      </c>
      <c r="H24" s="1"/>
      <c r="I24" s="2"/>
    </row>
    <row r="25" spans="1:11" x14ac:dyDescent="0.3">
      <c r="A25" s="22">
        <v>9</v>
      </c>
      <c r="B25" s="1">
        <f>E10/$K$13/$K$14</f>
        <v>1.183754068980563</v>
      </c>
      <c r="C25" s="2">
        <f>F10/$K$13/$K$14</f>
        <v>1.1793371156275323</v>
      </c>
      <c r="D25" s="31">
        <v>9</v>
      </c>
      <c r="E25" s="110">
        <f t="shared" si="5"/>
        <v>0.99626869003556262</v>
      </c>
      <c r="F25" s="22">
        <v>9</v>
      </c>
      <c r="G25" s="1">
        <f>((($K$4*E25^(2/$K$4))/($K$4-1))*((1-$K$12^4)/(1-$K$12^4*(E25^(2/$K$4))))*((1-E25^(($K$4-1)/$K$4))/(1-E25)))^(1/2)</f>
        <v>0.99716038799824347</v>
      </c>
      <c r="H25" s="1"/>
      <c r="I25" s="2"/>
    </row>
    <row r="26" spans="1:11" ht="16.8" thickBot="1" x14ac:dyDescent="0.35">
      <c r="A26" s="23">
        <v>10</v>
      </c>
      <c r="B26" s="1">
        <f>E11/$K$13/$K$14</f>
        <v>1.1813586313155597</v>
      </c>
      <c r="C26" s="2">
        <f>F11/$K$13/$K$14</f>
        <v>1.1760185580818694</v>
      </c>
      <c r="D26" s="32">
        <v>10</v>
      </c>
      <c r="E26" s="111">
        <f t="shared" si="5"/>
        <v>0.99547971878129538</v>
      </c>
      <c r="F26" s="23">
        <v>10</v>
      </c>
      <c r="G26" s="1">
        <f>((($K$4*E26^(2/$K$4))/($K$4-1))*((1-$K$12^4)/(1-$K$12^4*(E26^(2/$K$4))))*((1-E26^(($K$4-1)/$K$4))/(1-E26)))^(1/2)</f>
        <v>0.99656032266587691</v>
      </c>
      <c r="H26" s="3"/>
      <c r="I26" s="4"/>
    </row>
    <row r="27" spans="1:11" ht="16.8" thickBot="1" x14ac:dyDescent="0.35">
      <c r="A27" s="45">
        <v>3</v>
      </c>
    </row>
    <row r="28" spans="1:11" x14ac:dyDescent="0.3">
      <c r="A28" s="113"/>
      <c r="B28" s="114"/>
      <c r="C28" s="114"/>
      <c r="D28" s="115"/>
      <c r="E28" s="46"/>
      <c r="F28" s="113"/>
      <c r="G28" s="114"/>
      <c r="H28" s="114"/>
      <c r="I28" s="115"/>
    </row>
    <row r="29" spans="1:11" x14ac:dyDescent="0.3">
      <c r="A29" s="116"/>
      <c r="B29" s="117"/>
      <c r="C29" s="117"/>
      <c r="D29" s="118"/>
      <c r="E29" s="1"/>
      <c r="F29" s="116"/>
      <c r="G29" s="117"/>
      <c r="H29" s="117"/>
      <c r="I29" s="118"/>
    </row>
    <row r="30" spans="1:11" ht="16.8" thickBot="1" x14ac:dyDescent="0.35">
      <c r="A30" s="116"/>
      <c r="B30" s="117"/>
      <c r="C30" s="117"/>
      <c r="D30" s="118"/>
      <c r="E30" s="1"/>
      <c r="F30" s="116"/>
      <c r="G30" s="117"/>
      <c r="H30" s="117"/>
      <c r="I30" s="118"/>
    </row>
    <row r="31" spans="1:11" x14ac:dyDescent="0.3">
      <c r="A31" s="42" t="s">
        <v>41</v>
      </c>
      <c r="B31" s="114" t="s">
        <v>42</v>
      </c>
      <c r="C31" s="114"/>
      <c r="D31" s="43"/>
      <c r="E31" s="1"/>
      <c r="F31" s="42" t="s">
        <v>41</v>
      </c>
      <c r="G31" s="114" t="s">
        <v>43</v>
      </c>
      <c r="H31" s="114"/>
      <c r="I31" s="43"/>
    </row>
    <row r="32" spans="1:11" x14ac:dyDescent="0.3">
      <c r="A32" s="22">
        <v>1</v>
      </c>
      <c r="B32" s="117">
        <f>((2*G2)/(C17*(1-$K$12^4)))^(1/2)</f>
        <v>8.1244832415299744</v>
      </c>
      <c r="C32" s="117"/>
      <c r="D32" s="2" t="s">
        <v>46</v>
      </c>
      <c r="E32" s="1"/>
      <c r="F32" s="22">
        <v>1</v>
      </c>
      <c r="G32" s="122">
        <f t="shared" ref="G32:G41" si="6">B32*$K$3/$K$9</f>
        <v>75828.510254279769</v>
      </c>
      <c r="H32" s="117"/>
      <c r="I32" s="2"/>
    </row>
    <row r="33" spans="1:16" x14ac:dyDescent="0.3">
      <c r="A33" s="22">
        <v>2</v>
      </c>
      <c r="B33" s="117">
        <f>((2*G3)/(C18*(1-$K$12^4)))^(1/2)</f>
        <v>10.064747981743528</v>
      </c>
      <c r="C33" s="117"/>
      <c r="D33" s="2"/>
      <c r="E33" s="1"/>
      <c r="F33" s="22">
        <v>2</v>
      </c>
      <c r="G33" s="122">
        <f t="shared" si="6"/>
        <v>93937.647829606271</v>
      </c>
      <c r="H33" s="117"/>
      <c r="I33" s="2"/>
    </row>
    <row r="34" spans="1:16" x14ac:dyDescent="0.3">
      <c r="A34" s="41">
        <v>3</v>
      </c>
      <c r="B34" s="117">
        <f>((2*G4)/(C19*(1-$K$12^4)))^(1/2)</f>
        <v>12.511095111784158</v>
      </c>
      <c r="C34" s="117"/>
      <c r="D34" s="2"/>
      <c r="E34" s="1"/>
      <c r="F34" s="41">
        <v>3</v>
      </c>
      <c r="G34" s="122">
        <f t="shared" si="6"/>
        <v>116770.22104331882</v>
      </c>
      <c r="H34" s="117"/>
      <c r="I34" s="2"/>
    </row>
    <row r="35" spans="1:16" x14ac:dyDescent="0.3">
      <c r="A35" s="22">
        <v>4</v>
      </c>
      <c r="B35" s="117">
        <f>((2*G5)/(C20*(1-$K$12^4)))^(1/2)</f>
        <v>14.858121784797264</v>
      </c>
      <c r="C35" s="117"/>
      <c r="D35" s="2"/>
      <c r="E35" s="1"/>
      <c r="F35" s="22">
        <v>4</v>
      </c>
      <c r="G35" s="122">
        <f t="shared" si="6"/>
        <v>138675.80332477449</v>
      </c>
      <c r="H35" s="117"/>
      <c r="I35" s="2"/>
    </row>
    <row r="36" spans="1:16" x14ac:dyDescent="0.3">
      <c r="A36" s="22">
        <v>5</v>
      </c>
      <c r="B36" s="117">
        <f>((2*G6)/(C21*(1-$K$12^4)))^(1/2)</f>
        <v>17.468729165737113</v>
      </c>
      <c r="C36" s="117"/>
      <c r="D36" s="2"/>
      <c r="E36" s="1"/>
      <c r="F36" s="22">
        <v>5</v>
      </c>
      <c r="G36" s="122">
        <f t="shared" si="6"/>
        <v>163041.4722135464</v>
      </c>
      <c r="H36" s="117"/>
      <c r="I36" s="2"/>
    </row>
    <row r="37" spans="1:16" x14ac:dyDescent="0.3">
      <c r="A37" s="41">
        <v>6</v>
      </c>
      <c r="B37" s="117">
        <f>((2*G7)/(C22*(1-$K$12^4)))^(1/2)</f>
        <v>20.30171835850199</v>
      </c>
      <c r="C37" s="117"/>
      <c r="D37" s="2"/>
      <c r="E37" s="1"/>
      <c r="F37" s="41">
        <v>6</v>
      </c>
      <c r="G37" s="122">
        <f t="shared" si="6"/>
        <v>189482.70467935191</v>
      </c>
      <c r="H37" s="117"/>
      <c r="I37" s="2"/>
    </row>
    <row r="38" spans="1:16" x14ac:dyDescent="0.3">
      <c r="A38" s="22">
        <v>7</v>
      </c>
      <c r="B38" s="117">
        <f>((2*G8)/(C23*(1-$K$12^4)))^(1/2)</f>
        <v>23.326476116156201</v>
      </c>
      <c r="C38" s="117"/>
      <c r="D38" s="2"/>
      <c r="E38" s="1"/>
      <c r="F38" s="22">
        <v>7</v>
      </c>
      <c r="G38" s="122">
        <f t="shared" si="6"/>
        <v>217713.77708412457</v>
      </c>
      <c r="H38" s="117"/>
      <c r="I38" s="2"/>
    </row>
    <row r="39" spans="1:16" x14ac:dyDescent="0.3">
      <c r="A39" s="22">
        <v>8</v>
      </c>
      <c r="B39" s="117">
        <f>((2*G9)/(C24*(1-$K$12^4)))^(1/2)</f>
        <v>26.099531008425622</v>
      </c>
      <c r="C39" s="117"/>
      <c r="D39" s="2"/>
      <c r="E39" s="1"/>
      <c r="F39" s="22">
        <v>8</v>
      </c>
      <c r="G39" s="122">
        <f t="shared" si="6"/>
        <v>243595.62274530582</v>
      </c>
      <c r="H39" s="117"/>
      <c r="I39" s="2"/>
    </row>
    <row r="40" spans="1:16" x14ac:dyDescent="0.3">
      <c r="A40" s="41">
        <v>9</v>
      </c>
      <c r="B40" s="117">
        <f>((2*G10)/(C25*(1-$K$12^4)))^(1/2)</f>
        <v>29.044485797485859</v>
      </c>
      <c r="C40" s="117"/>
      <c r="D40" s="2"/>
      <c r="E40" s="1"/>
      <c r="F40" s="41">
        <v>9</v>
      </c>
      <c r="G40" s="122">
        <f t="shared" si="6"/>
        <v>271081.86744320136</v>
      </c>
      <c r="H40" s="117"/>
      <c r="I40" s="2"/>
    </row>
    <row r="41" spans="1:16" ht="16.8" thickBot="1" x14ac:dyDescent="0.35">
      <c r="A41" s="23">
        <v>10</v>
      </c>
      <c r="B41" s="117">
        <f>((2*G11)/(C26*(1-$K$12^4)))^(1/2)</f>
        <v>31.980686936420877</v>
      </c>
      <c r="C41" s="117"/>
      <c r="D41" s="4"/>
      <c r="E41" s="3"/>
      <c r="F41" s="23">
        <v>10</v>
      </c>
      <c r="G41" s="122">
        <f t="shared" si="6"/>
        <v>298486.41140659491</v>
      </c>
      <c r="H41" s="117"/>
      <c r="I41" s="4"/>
    </row>
    <row r="42" spans="1:16" x14ac:dyDescent="0.3">
      <c r="A42" s="45"/>
    </row>
    <row r="43" spans="1:16" ht="16.8" thickBot="1" x14ac:dyDescent="0.35">
      <c r="A43" s="45">
        <v>4</v>
      </c>
    </row>
    <row r="44" spans="1:16" ht="16.8" thickBot="1" x14ac:dyDescent="0.35">
      <c r="A44" s="47"/>
      <c r="B44" s="46"/>
      <c r="C44" s="46"/>
      <c r="D44" s="46" t="s">
        <v>47</v>
      </c>
      <c r="E44" s="46"/>
      <c r="F44" s="46"/>
      <c r="G44" s="43"/>
      <c r="K44" s="52">
        <v>6</v>
      </c>
    </row>
    <row r="45" spans="1:16" ht="18.600000000000001" x14ac:dyDescent="0.3">
      <c r="A45" s="31"/>
      <c r="B45" s="1"/>
      <c r="C45" s="1" t="s">
        <v>53</v>
      </c>
      <c r="D45" s="117" t="s">
        <v>48</v>
      </c>
      <c r="E45" s="117"/>
      <c r="F45" s="1"/>
      <c r="G45" s="2"/>
      <c r="K45" s="53" t="s">
        <v>66</v>
      </c>
      <c r="L45" s="46" t="s">
        <v>67</v>
      </c>
      <c r="M45" s="46"/>
      <c r="N45" s="46"/>
      <c r="O45" s="46"/>
      <c r="P45" s="43"/>
    </row>
    <row r="46" spans="1:16" ht="18.600000000000001" x14ac:dyDescent="0.3">
      <c r="A46" s="31"/>
      <c r="B46" s="1"/>
      <c r="C46" s="1" t="s">
        <v>54</v>
      </c>
      <c r="D46" s="123" t="s">
        <v>49</v>
      </c>
      <c r="E46" s="117"/>
      <c r="F46" s="1"/>
      <c r="G46" s="2"/>
      <c r="K46" s="50" t="s">
        <v>70</v>
      </c>
      <c r="L46" s="1" t="s">
        <v>74</v>
      </c>
      <c r="M46" s="1"/>
      <c r="N46" s="1"/>
      <c r="O46" s="1"/>
      <c r="P46" s="2"/>
    </row>
    <row r="47" spans="1:16" ht="18.600000000000001" x14ac:dyDescent="0.3">
      <c r="A47" s="31"/>
      <c r="B47" s="1"/>
      <c r="C47" s="1" t="s">
        <v>55</v>
      </c>
      <c r="D47" s="117" t="s">
        <v>50</v>
      </c>
      <c r="E47" s="117"/>
      <c r="F47" s="1"/>
      <c r="G47" s="2"/>
      <c r="K47" s="50" t="s">
        <v>71</v>
      </c>
      <c r="L47" s="1" t="s">
        <v>75</v>
      </c>
      <c r="M47" s="1"/>
      <c r="N47" s="1"/>
      <c r="O47" s="1"/>
      <c r="P47" s="2"/>
    </row>
    <row r="48" spans="1:16" ht="18.600000000000001" x14ac:dyDescent="0.3">
      <c r="A48" s="31"/>
      <c r="B48" s="1"/>
      <c r="C48" s="1" t="s">
        <v>56</v>
      </c>
      <c r="D48" s="123" t="s">
        <v>51</v>
      </c>
      <c r="E48" s="117"/>
      <c r="F48" s="1"/>
      <c r="G48" s="2"/>
      <c r="K48" s="50" t="s">
        <v>72</v>
      </c>
      <c r="L48" s="1" t="s">
        <v>76</v>
      </c>
      <c r="M48" s="1"/>
      <c r="N48" s="1"/>
      <c r="O48" s="1"/>
      <c r="P48" s="2"/>
    </row>
    <row r="49" spans="1:16" ht="19.2" thickBot="1" x14ac:dyDescent="0.35">
      <c r="A49" s="31"/>
      <c r="B49" s="1"/>
      <c r="C49" s="1" t="s">
        <v>57</v>
      </c>
      <c r="D49" s="123" t="s">
        <v>52</v>
      </c>
      <c r="E49" s="117"/>
      <c r="F49" s="1"/>
      <c r="G49" s="2"/>
      <c r="K49" s="50" t="s">
        <v>73</v>
      </c>
      <c r="L49" s="1" t="s">
        <v>77</v>
      </c>
      <c r="M49" s="1"/>
      <c r="N49" s="1"/>
      <c r="O49" s="1"/>
      <c r="P49" s="2"/>
    </row>
    <row r="50" spans="1:16" x14ac:dyDescent="0.3">
      <c r="A50" s="42" t="s">
        <v>41</v>
      </c>
      <c r="B50" s="1" t="s">
        <v>93</v>
      </c>
      <c r="C50" s="1" t="s">
        <v>94</v>
      </c>
      <c r="D50" s="1" t="s">
        <v>95</v>
      </c>
      <c r="E50" s="1" t="s">
        <v>96</v>
      </c>
      <c r="F50" s="1" t="s">
        <v>97</v>
      </c>
      <c r="G50" s="2" t="s">
        <v>55</v>
      </c>
      <c r="K50" s="42" t="s">
        <v>41</v>
      </c>
      <c r="L50" s="1" t="s">
        <v>68</v>
      </c>
      <c r="M50" s="1" t="s">
        <v>69</v>
      </c>
      <c r="N50" s="1" t="s">
        <v>78</v>
      </c>
      <c r="O50" s="1" t="s">
        <v>79</v>
      </c>
      <c r="P50" s="2" t="s">
        <v>80</v>
      </c>
    </row>
    <row r="51" spans="1:16" x14ac:dyDescent="0.3">
      <c r="A51" s="22">
        <v>1</v>
      </c>
      <c r="B51" s="1" t="str">
        <f t="shared" ref="B51:B60" si="7">IF(AND(5*10^4&lt;=G32,G32&lt;3*10^5),"yes","no")</f>
        <v>yes</v>
      </c>
      <c r="C51" s="1" t="str">
        <f t="shared" ref="C51:C60" si="8">IF(AND(3*10^5&lt;=G32,G32&lt;5*10^5),"yes","no")</f>
        <v>no</v>
      </c>
      <c r="D51" s="1" t="str">
        <f t="shared" ref="D51:D60" si="9">IF(AND(5*10^5&lt;=G32,G32&lt;1*10^6),"yes","no")</f>
        <v>no</v>
      </c>
      <c r="E51" s="1" t="str">
        <f t="shared" ref="E51:E60" si="10">IF(AND(1*10^6&lt;=G32,G32&lt;2*10^6),"yes","no")</f>
        <v>no</v>
      </c>
      <c r="F51" s="1" t="str">
        <f t="shared" ref="F51:F60" si="11">IF(AND(2*10^6&lt;=G32,G32&lt;1*10^8),"yes","no")</f>
        <v>no</v>
      </c>
      <c r="G51" s="2">
        <f>IF(B51="yes",-0.0000000000003*G32^2+0.0000002*G32+0.9591,IF(C51="yes",-0.00000002*G32+1.0025,IF(D51="yes",0.995,IF(E51="yes",1,IF(F51="yes",1.01,"範圍外")))))</f>
        <v>0.97254071316064084</v>
      </c>
      <c r="K51" s="22">
        <v>1</v>
      </c>
      <c r="L51" s="1">
        <f>B71/B17</f>
        <v>0.12158751443674785</v>
      </c>
      <c r="M51" s="1">
        <f>B71/C17</f>
        <v>0.12162314625107033</v>
      </c>
      <c r="N51" s="1">
        <f>L51/$K$15</f>
        <v>3.8702540572368718</v>
      </c>
      <c r="O51" s="1">
        <f>M51/$B$69</f>
        <v>7.9007856817332085</v>
      </c>
      <c r="P51" s="54">
        <f>(O51*$K$3)/$K$9</f>
        <v>73740.666362843273</v>
      </c>
    </row>
    <row r="52" spans="1:16" x14ac:dyDescent="0.3">
      <c r="A52" s="22">
        <v>2</v>
      </c>
      <c r="B52" s="1" t="str">
        <f t="shared" si="7"/>
        <v>yes</v>
      </c>
      <c r="C52" s="1" t="str">
        <f t="shared" si="8"/>
        <v>no</v>
      </c>
      <c r="D52" s="1" t="str">
        <f t="shared" si="9"/>
        <v>no</v>
      </c>
      <c r="E52" s="1" t="str">
        <f t="shared" si="10"/>
        <v>no</v>
      </c>
      <c r="F52" s="1" t="str">
        <f t="shared" si="11"/>
        <v>no</v>
      </c>
      <c r="G52" s="2">
        <f t="shared" ref="G52:G60" si="12">IF(B52="yes",-0.0000000000003*G33^2+0.0000002*G33+0.9591,IF(C52="yes",-0.00000002*G33+1.0025,IF(D52="yes",0.995,IF(E52="yes",1,IF(F52="yes",1.01,"範圍外")))))</f>
        <v>0.97524024506199347</v>
      </c>
      <c r="K52" s="22">
        <v>2</v>
      </c>
      <c r="L52" s="1">
        <f t="shared" ref="L52:L60" si="13">B72/B18</f>
        <v>0.15101294156835227</v>
      </c>
      <c r="M52" s="1">
        <f t="shared" ref="M52:M60" si="14">B72/C18</f>
        <v>0.15108085840325861</v>
      </c>
      <c r="N52" s="1">
        <f>L52/$K$15</f>
        <v>4.8068952845009134</v>
      </c>
      <c r="O52" s="1">
        <f t="shared" ref="O52:O60" si="15">M52/$B$69</f>
        <v>9.8143940495695183</v>
      </c>
      <c r="P52" s="54">
        <f>(O52*$K$3)/$K$9</f>
        <v>91601.011129315506</v>
      </c>
    </row>
    <row r="53" spans="1:16" x14ac:dyDescent="0.3">
      <c r="A53" s="41">
        <v>3</v>
      </c>
      <c r="B53" s="1" t="str">
        <f t="shared" si="7"/>
        <v>yes</v>
      </c>
      <c r="C53" s="1" t="str">
        <f t="shared" si="8"/>
        <v>no</v>
      </c>
      <c r="D53" s="1" t="str">
        <f t="shared" si="9"/>
        <v>no</v>
      </c>
      <c r="E53" s="1" t="str">
        <f t="shared" si="10"/>
        <v>no</v>
      </c>
      <c r="F53" s="1" t="str">
        <f t="shared" si="11"/>
        <v>no</v>
      </c>
      <c r="G53" s="2">
        <f t="shared" si="12"/>
        <v>0.978363458851912</v>
      </c>
      <c r="K53" s="41">
        <v>3</v>
      </c>
      <c r="L53" s="1">
        <f t="shared" si="13"/>
        <v>0.18826126483657893</v>
      </c>
      <c r="M53" s="1">
        <f t="shared" si="14"/>
        <v>0.18839209536193388</v>
      </c>
      <c r="N53" s="1">
        <f>L53/$K$15</f>
        <v>5.9925472399829038</v>
      </c>
      <c r="O53" s="1">
        <f t="shared" si="15"/>
        <v>12.238176822976124</v>
      </c>
      <c r="P53" s="54">
        <f>(O53*$K$3)/$K$9</f>
        <v>114222.98368111049</v>
      </c>
    </row>
    <row r="54" spans="1:16" x14ac:dyDescent="0.3">
      <c r="A54" s="22">
        <v>4</v>
      </c>
      <c r="B54" s="1" t="str">
        <f t="shared" si="7"/>
        <v>yes</v>
      </c>
      <c r="C54" s="1" t="str">
        <f t="shared" si="8"/>
        <v>no</v>
      </c>
      <c r="D54" s="1" t="str">
        <f t="shared" si="9"/>
        <v>no</v>
      </c>
      <c r="E54" s="1" t="str">
        <f t="shared" si="10"/>
        <v>no</v>
      </c>
      <c r="F54" s="1" t="str">
        <f t="shared" si="11"/>
        <v>no</v>
      </c>
      <c r="G54" s="2">
        <f t="shared" si="12"/>
        <v>0.98106586713662336</v>
      </c>
      <c r="K54" s="22">
        <v>4</v>
      </c>
      <c r="L54" s="1">
        <f t="shared" si="13"/>
        <v>0.22411526549347366</v>
      </c>
      <c r="M54" s="1">
        <f t="shared" si="14"/>
        <v>0.22433492840137095</v>
      </c>
      <c r="N54" s="1">
        <f>L54/$K$15</f>
        <v>7.1338164908047723</v>
      </c>
      <c r="O54" s="1">
        <f t="shared" si="15"/>
        <v>14.57306643397739</v>
      </c>
      <c r="P54" s="112">
        <f>(O54*$K$3)*C20/K6</f>
        <v>135130.13137453634</v>
      </c>
    </row>
    <row r="55" spans="1:16" x14ac:dyDescent="0.3">
      <c r="A55" s="22">
        <v>5</v>
      </c>
      <c r="B55" s="1" t="str">
        <f t="shared" si="7"/>
        <v>yes</v>
      </c>
      <c r="C55" s="1" t="str">
        <f t="shared" si="8"/>
        <v>no</v>
      </c>
      <c r="D55" s="1" t="str">
        <f t="shared" si="9"/>
        <v>no</v>
      </c>
      <c r="E55" s="1" t="str">
        <f t="shared" si="10"/>
        <v>no</v>
      </c>
      <c r="F55" s="1" t="str">
        <f t="shared" si="11"/>
        <v>no</v>
      </c>
      <c r="G55" s="2">
        <f t="shared" si="12"/>
        <v>0.98373353794424101</v>
      </c>
      <c r="K55" s="22">
        <v>5</v>
      </c>
      <c r="L55" s="1">
        <f t="shared" si="13"/>
        <v>0.26408467721939666</v>
      </c>
      <c r="M55" s="1">
        <f t="shared" si="14"/>
        <v>0.26444246317436548</v>
      </c>
      <c r="N55" s="1">
        <f>L55/$K$15</f>
        <v>8.4060834551738655</v>
      </c>
      <c r="O55" s="1">
        <f t="shared" si="15"/>
        <v>17.178500072488475</v>
      </c>
      <c r="P55" s="54">
        <f t="shared" ref="P55:P60" si="16">(O55*$K$3)/$K$9</f>
        <v>160332.66734322577</v>
      </c>
    </row>
    <row r="56" spans="1:16" x14ac:dyDescent="0.3">
      <c r="A56" s="41">
        <v>6</v>
      </c>
      <c r="B56" s="1" t="str">
        <f t="shared" si="7"/>
        <v>yes</v>
      </c>
      <c r="C56" s="1" t="str">
        <f t="shared" si="8"/>
        <v>no</v>
      </c>
      <c r="D56" s="1" t="str">
        <f t="shared" si="9"/>
        <v>no</v>
      </c>
      <c r="E56" s="1" t="str">
        <f t="shared" si="10"/>
        <v>no</v>
      </c>
      <c r="F56" s="1" t="str">
        <f t="shared" si="11"/>
        <v>no</v>
      </c>
      <c r="G56" s="2">
        <f t="shared" si="12"/>
        <v>0.98622543232408955</v>
      </c>
      <c r="K56" s="41">
        <v>6</v>
      </c>
      <c r="L56" s="1">
        <f t="shared" si="13"/>
        <v>0.30750607442015243</v>
      </c>
      <c r="M56" s="1">
        <f t="shared" si="14"/>
        <v>0.30806877421670859</v>
      </c>
      <c r="N56" s="1">
        <f>L56/$K$15</f>
        <v>9.7882306227150071</v>
      </c>
      <c r="O56" s="1">
        <f t="shared" si="15"/>
        <v>20.012517644428655</v>
      </c>
      <c r="P56" s="54">
        <f t="shared" si="16"/>
        <v>186783.49801466745</v>
      </c>
    </row>
    <row r="57" spans="1:16" x14ac:dyDescent="0.3">
      <c r="A57" s="22">
        <v>7</v>
      </c>
      <c r="B57" s="1" t="str">
        <f t="shared" si="7"/>
        <v>yes</v>
      </c>
      <c r="C57" s="1" t="str">
        <f t="shared" si="8"/>
        <v>no</v>
      </c>
      <c r="D57" s="1" t="str">
        <f t="shared" si="9"/>
        <v>no</v>
      </c>
      <c r="E57" s="1" t="str">
        <f t="shared" si="10"/>
        <v>no</v>
      </c>
      <c r="F57" s="1" t="str">
        <f t="shared" si="11"/>
        <v>no</v>
      </c>
      <c r="G57" s="2">
        <f t="shared" si="12"/>
        <v>0.98842296879715408</v>
      </c>
      <c r="K57" s="22">
        <v>7</v>
      </c>
      <c r="L57" s="1">
        <f t="shared" si="13"/>
        <v>0.35384787600051115</v>
      </c>
      <c r="M57" s="1">
        <f t="shared" si="14"/>
        <v>0.35470269137825861</v>
      </c>
      <c r="N57" s="1">
        <f>L57/$K$15</f>
        <v>11.263337227343833</v>
      </c>
      <c r="O57" s="1">
        <f t="shared" si="15"/>
        <v>23.041912922795454</v>
      </c>
      <c r="P57" s="54">
        <f t="shared" si="16"/>
        <v>215057.85394609091</v>
      </c>
    </row>
    <row r="58" spans="1:16" x14ac:dyDescent="0.3">
      <c r="A58" s="22">
        <v>8</v>
      </c>
      <c r="B58" s="1" t="str">
        <f t="shared" si="7"/>
        <v>yes</v>
      </c>
      <c r="C58" s="1" t="str">
        <f t="shared" si="8"/>
        <v>no</v>
      </c>
      <c r="D58" s="1" t="str">
        <f t="shared" si="9"/>
        <v>no</v>
      </c>
      <c r="E58" s="1" t="str">
        <f t="shared" si="10"/>
        <v>no</v>
      </c>
      <c r="F58" s="1" t="str">
        <f t="shared" si="11"/>
        <v>no</v>
      </c>
      <c r="G58" s="2">
        <f t="shared" si="12"/>
        <v>0.99001747632285908</v>
      </c>
      <c r="K58" s="22">
        <v>8</v>
      </c>
      <c r="L58" s="1">
        <f t="shared" si="13"/>
        <v>0.39624885090566547</v>
      </c>
      <c r="M58" s="1">
        <f t="shared" si="14"/>
        <v>0.39744722078435135</v>
      </c>
      <c r="N58" s="1">
        <f>L58/$K$15</f>
        <v>12.613003316972152</v>
      </c>
      <c r="O58" s="1">
        <f t="shared" si="15"/>
        <v>25.818648900394038</v>
      </c>
      <c r="P58" s="54">
        <f t="shared" si="16"/>
        <v>240974.05640367771</v>
      </c>
    </row>
    <row r="59" spans="1:16" x14ac:dyDescent="0.3">
      <c r="A59" s="41" t="s">
        <v>123</v>
      </c>
      <c r="B59" s="1" t="str">
        <f t="shared" si="7"/>
        <v>yes</v>
      </c>
      <c r="C59" s="1" t="str">
        <f t="shared" si="8"/>
        <v>no</v>
      </c>
      <c r="D59" s="1" t="str">
        <f t="shared" si="9"/>
        <v>no</v>
      </c>
      <c r="E59" s="1" t="str">
        <f t="shared" si="10"/>
        <v>no</v>
      </c>
      <c r="F59" s="1" t="str">
        <f t="shared" si="11"/>
        <v>no</v>
      </c>
      <c r="G59" s="2">
        <f t="shared" si="12"/>
        <v>0.99127075983169222</v>
      </c>
      <c r="K59" s="41">
        <v>9</v>
      </c>
      <c r="L59" s="1">
        <f t="shared" si="13"/>
        <v>0.44111842629738079</v>
      </c>
      <c r="M59" s="1">
        <f t="shared" si="14"/>
        <v>0.44277054042683484</v>
      </c>
      <c r="N59" s="1">
        <f>L59/$K$15</f>
        <v>14.041247466963569</v>
      </c>
      <c r="O59" s="1">
        <f t="shared" si="15"/>
        <v>28.762906189551281</v>
      </c>
      <c r="P59" s="54">
        <f t="shared" si="16"/>
        <v>268453.79110247863</v>
      </c>
    </row>
    <row r="60" spans="1:16" ht="16.8" thickBot="1" x14ac:dyDescent="0.35">
      <c r="A60" s="23">
        <v>10</v>
      </c>
      <c r="B60" s="3" t="str">
        <f t="shared" si="7"/>
        <v>yes</v>
      </c>
      <c r="C60" s="3" t="str">
        <f t="shared" si="8"/>
        <v>no</v>
      </c>
      <c r="D60" s="3" t="str">
        <f t="shared" si="9"/>
        <v>no</v>
      </c>
      <c r="E60" s="3" t="str">
        <f t="shared" si="10"/>
        <v>no</v>
      </c>
      <c r="F60" s="3" t="str">
        <f t="shared" si="11"/>
        <v>no</v>
      </c>
      <c r="G60" s="2">
        <f t="shared" si="12"/>
        <v>0.99206904094300286</v>
      </c>
      <c r="K60" s="23">
        <v>10</v>
      </c>
      <c r="L60" s="3">
        <f t="shared" si="13"/>
        <v>0.48561874028428276</v>
      </c>
      <c r="M60" s="3">
        <f t="shared" si="14"/>
        <v>0.48782384123183942</v>
      </c>
      <c r="N60" s="1">
        <f>L60/$K$15</f>
        <v>15.457737651453012</v>
      </c>
      <c r="O60" s="1">
        <f t="shared" si="15"/>
        <v>31.689622730662524</v>
      </c>
      <c r="P60" s="54">
        <f t="shared" si="16"/>
        <v>295769.81215285027</v>
      </c>
    </row>
    <row r="62" spans="1:16" ht="16.8" thickBot="1" x14ac:dyDescent="0.35">
      <c r="A62" s="48">
        <v>5</v>
      </c>
      <c r="K62" s="48">
        <v>7</v>
      </c>
    </row>
    <row r="63" spans="1:16" x14ac:dyDescent="0.3">
      <c r="A63" s="113"/>
      <c r="B63" s="114"/>
      <c r="C63" s="114"/>
      <c r="D63" s="114"/>
      <c r="E63" s="43"/>
      <c r="K63" s="133" t="s">
        <v>84</v>
      </c>
      <c r="L63" s="133"/>
      <c r="M63">
        <v>0.01</v>
      </c>
    </row>
    <row r="64" spans="1:16" ht="16.8" thickBot="1" x14ac:dyDescent="0.35">
      <c r="A64" s="116"/>
      <c r="B64" s="117"/>
      <c r="C64" s="117"/>
      <c r="D64" s="117"/>
      <c r="E64" s="2"/>
      <c r="K64" s="133" t="s">
        <v>83</v>
      </c>
      <c r="L64" s="133"/>
      <c r="M64">
        <f>ABS((P51-G32)/P51)</f>
        <v>2.8313330953143201E-2</v>
      </c>
    </row>
    <row r="65" spans="1:36" x14ac:dyDescent="0.3">
      <c r="A65" s="116"/>
      <c r="B65" s="117"/>
      <c r="C65" s="117"/>
      <c r="D65" s="117"/>
      <c r="E65" s="2"/>
      <c r="M65" s="75" t="s">
        <v>89</v>
      </c>
      <c r="N65" s="43"/>
      <c r="O65" s="62" t="s">
        <v>90</v>
      </c>
      <c r="P65" s="43"/>
      <c r="Q65" s="89" t="s">
        <v>108</v>
      </c>
      <c r="R65" s="43"/>
      <c r="S65" s="108" t="s">
        <v>109</v>
      </c>
      <c r="T65" s="43"/>
      <c r="U65" s="108"/>
      <c r="V65" s="43"/>
    </row>
    <row r="66" spans="1:36" x14ac:dyDescent="0.3">
      <c r="A66" s="50" t="s">
        <v>58</v>
      </c>
      <c r="B66" s="117" t="s">
        <v>59</v>
      </c>
      <c r="C66" s="117"/>
      <c r="D66" s="117"/>
      <c r="E66" s="2"/>
      <c r="L66" s="40" t="s">
        <v>88</v>
      </c>
      <c r="M66" s="31" t="s">
        <v>87</v>
      </c>
      <c r="N66" s="2" t="s">
        <v>92</v>
      </c>
      <c r="O66" s="31" t="s">
        <v>87</v>
      </c>
      <c r="P66" s="2" t="s">
        <v>92</v>
      </c>
      <c r="Q66" s="31" t="s">
        <v>87</v>
      </c>
      <c r="R66" s="2" t="s">
        <v>92</v>
      </c>
      <c r="S66" s="31" t="s">
        <v>87</v>
      </c>
      <c r="T66" s="2" t="s">
        <v>92</v>
      </c>
      <c r="U66" s="31"/>
      <c r="V66" s="2"/>
    </row>
    <row r="67" spans="1:36" x14ac:dyDescent="0.3">
      <c r="A67" s="50" t="s">
        <v>60</v>
      </c>
      <c r="B67" s="117" t="s">
        <v>61</v>
      </c>
      <c r="C67" s="117"/>
      <c r="D67" s="117"/>
      <c r="E67" s="2"/>
      <c r="L67" s="40">
        <v>1</v>
      </c>
      <c r="M67" s="31" t="str">
        <f>IF(N67&gt;$M$63,"需回代",B71/$K$16)</f>
        <v>需回代</v>
      </c>
      <c r="N67" s="2">
        <f>ABS((P51-G32)/P51)</f>
        <v>2.8313330953143201E-2</v>
      </c>
      <c r="O67" s="31">
        <f>IF(P67&gt;$M$63,"需回代",M79/$K$16)</f>
        <v>0.12144621215668525</v>
      </c>
      <c r="P67" s="2">
        <f>ABS((R79-L79)/R79)</f>
        <v>3.5120503094723601E-3</v>
      </c>
      <c r="Q67" s="31" t="e">
        <f>IF(R67&gt;$M$63,"需回代",V79/$K$16)</f>
        <v>#VALUE!</v>
      </c>
      <c r="R67" s="2" t="e">
        <f>ABS((AA79-U79)/AA79)</f>
        <v>#VALUE!</v>
      </c>
      <c r="S67" s="31" t="e">
        <f>IF(T67&gt;$M$63,"需回代",AE79/$K$16)</f>
        <v>#VALUE!</v>
      </c>
      <c r="T67" s="2" t="e">
        <f>ABS((AJ79-AD79)/AJ79)</f>
        <v>#VALUE!</v>
      </c>
      <c r="U67" s="31"/>
      <c r="V67" s="2"/>
    </row>
    <row r="68" spans="1:36" x14ac:dyDescent="0.3">
      <c r="A68" s="51" t="s">
        <v>62</v>
      </c>
      <c r="B68" s="117" t="s">
        <v>63</v>
      </c>
      <c r="C68" s="117"/>
      <c r="D68" s="117"/>
      <c r="E68" s="118"/>
      <c r="L68" s="40">
        <v>2</v>
      </c>
      <c r="M68" s="31" t="str">
        <f>IF(N68&gt;$M$63,"需回代",B72/$K$16)</f>
        <v>需回代</v>
      </c>
      <c r="N68" s="2">
        <f>ABS((P52-G33)/P52)</f>
        <v>2.5508852702423496E-2</v>
      </c>
      <c r="O68" s="31">
        <f>IF(P68&gt;$M$63,"需回代",M80/$K$16)</f>
        <v>0.15072798220863848</v>
      </c>
      <c r="P68" s="2">
        <f>ABS((R80-L80)/R80)</f>
        <v>4.3981181716931401E-3</v>
      </c>
      <c r="Q68" s="31" t="e">
        <f>IF(R68&gt;$M$63,"需回代",V80/$K$16)</f>
        <v>#VALUE!</v>
      </c>
      <c r="R68" s="2" t="e">
        <f t="shared" ref="R68:R76" si="17">ABS((AA80-U80)/AA80)</f>
        <v>#VALUE!</v>
      </c>
      <c r="S68" s="31" t="e">
        <f>IF(T68&gt;$M$63,"需回代",AE80/$K$16)</f>
        <v>#VALUE!</v>
      </c>
      <c r="T68" s="2" t="e">
        <f t="shared" ref="T68:T76" si="18">ABS((AJ80-AD80)/AJ80)</f>
        <v>#VALUE!</v>
      </c>
      <c r="U68" s="31"/>
      <c r="V68" s="2"/>
    </row>
    <row r="69" spans="1:36" ht="20.399999999999999" thickBot="1" x14ac:dyDescent="0.5">
      <c r="A69" s="51" t="s">
        <v>64</v>
      </c>
      <c r="B69" s="1">
        <f>(PI()*K3^2)/4</f>
        <v>1.5393804002589988E-2</v>
      </c>
      <c r="C69" s="1"/>
      <c r="D69" s="1"/>
      <c r="E69" s="2"/>
      <c r="H69" s="109"/>
      <c r="L69" s="40">
        <v>3</v>
      </c>
      <c r="M69" s="31" t="str">
        <f>IF(N69&gt;$M$63,"需回代",B73/$K$16)</f>
        <v>需回代</v>
      </c>
      <c r="N69" s="2">
        <f t="shared" ref="N69:N76" si="19">ABS((P53-G34)/P53)</f>
        <v>2.2300567540064809E-2</v>
      </c>
      <c r="O69" s="31">
        <f>IF(P69&gt;$M$63,"需回代",M81/$K$16)</f>
        <v>0.18774362490966306</v>
      </c>
      <c r="P69" s="2">
        <f t="shared" ref="P69:P76" si="20">ABS((R81-L81)/R81)</f>
        <v>5.5132772537173124E-3</v>
      </c>
      <c r="Q69" s="31" t="e">
        <f>IF(R69&gt;$M$63,"需回代",V81/$K$16)</f>
        <v>#VALUE!</v>
      </c>
      <c r="R69" s="2" t="e">
        <f t="shared" si="17"/>
        <v>#VALUE!</v>
      </c>
      <c r="S69" s="31" t="e">
        <f>IF(T69&gt;$M$63,"需回代",AE81/$K$16)</f>
        <v>#VALUE!</v>
      </c>
      <c r="T69" s="2" t="e">
        <f t="shared" si="18"/>
        <v>#VALUE!</v>
      </c>
      <c r="U69" s="31"/>
      <c r="V69" s="2"/>
    </row>
    <row r="70" spans="1:36" x14ac:dyDescent="0.3">
      <c r="A70" s="42" t="s">
        <v>41</v>
      </c>
      <c r="B70" s="1" t="s">
        <v>65</v>
      </c>
      <c r="C70" s="1"/>
      <c r="D70" s="1"/>
      <c r="E70" s="2"/>
      <c r="L70" s="40">
        <v>4</v>
      </c>
      <c r="M70" s="31" t="str">
        <f>IF(N70&gt;$M$63,"需回代",B74/$K$16)</f>
        <v>需回代</v>
      </c>
      <c r="N70" s="2">
        <f t="shared" si="19"/>
        <v>2.6238944002879027E-2</v>
      </c>
      <c r="O70" s="31">
        <f>IF(P70&gt;$M$63,"需回代",M82/$K$16)</f>
        <v>0.22323725784666992</v>
      </c>
      <c r="P70" s="2">
        <f>ABS((R82-L82)/R82)</f>
        <v>4.2613311972578092E-4</v>
      </c>
      <c r="Q70" s="31" t="e">
        <f>IF(R70&gt;$M$63,"需回代",V82/$K$16)</f>
        <v>#VALUE!</v>
      </c>
      <c r="R70" s="2" t="e">
        <f t="shared" si="17"/>
        <v>#VALUE!</v>
      </c>
      <c r="S70" s="31" t="e">
        <f>IF(T70&gt;$M$63,"需回代",AE82/$K$16)</f>
        <v>#VALUE!</v>
      </c>
      <c r="T70" s="2" t="e">
        <f t="shared" si="18"/>
        <v>#VALUE!</v>
      </c>
      <c r="U70" s="31"/>
      <c r="V70" s="2"/>
    </row>
    <row r="71" spans="1:36" x14ac:dyDescent="0.3">
      <c r="A71" s="22">
        <v>1</v>
      </c>
      <c r="B71" s="1">
        <f>G51*G17*$B$69*SQRT((2*G2*B17)/(1-$K$12^4))</f>
        <v>0.14548544454336804</v>
      </c>
      <c r="C71" s="1"/>
      <c r="D71" s="1"/>
      <c r="E71" s="2"/>
      <c r="L71" s="40">
        <v>5</v>
      </c>
      <c r="M71" s="31" t="str">
        <f>IF(N71&gt;$M$63,"需回代",B75/$K$16)</f>
        <v>需回代</v>
      </c>
      <c r="N71" s="2">
        <f t="shared" si="19"/>
        <v>1.6894903048808287E-2</v>
      </c>
      <c r="O71" s="31">
        <f>IF(P71&gt;$M$63,"需回代",M83/$K$16)</f>
        <v>0.26275265702558503</v>
      </c>
      <c r="P71" s="2">
        <f t="shared" si="20"/>
        <v>8.4965324408708565E-3</v>
      </c>
      <c r="Q71" s="31" t="e">
        <f>IF(R71&gt;$M$63,"需回代",V83/$K$16)</f>
        <v>#VALUE!</v>
      </c>
      <c r="R71" s="2" t="e">
        <f t="shared" si="17"/>
        <v>#VALUE!</v>
      </c>
      <c r="S71" s="31" t="e">
        <f>IF(T71&gt;$M$63,"需回代",AE83/$K$16)</f>
        <v>#VALUE!</v>
      </c>
      <c r="T71" s="2" t="e">
        <f t="shared" si="18"/>
        <v>#VALUE!</v>
      </c>
      <c r="U71" s="31"/>
      <c r="V71" s="2"/>
    </row>
    <row r="72" spans="1:36" x14ac:dyDescent="0.3">
      <c r="A72" s="22">
        <v>2</v>
      </c>
      <c r="B72" s="1">
        <f>G52*G18*$B$69*SQRT((2*G3*B18)/(1-$K$12^4))</f>
        <v>0.18056560070428426</v>
      </c>
      <c r="C72" s="1"/>
      <c r="D72" s="1"/>
      <c r="E72" s="2"/>
      <c r="L72" s="40">
        <v>6</v>
      </c>
      <c r="M72" s="31" t="str">
        <f>IF(N72&gt;$M$63,"需回代",B76/$K$16)</f>
        <v>需回代</v>
      </c>
      <c r="N72" s="2">
        <f t="shared" si="19"/>
        <v>1.4450991085264406E-2</v>
      </c>
      <c r="O72" s="31" t="str">
        <f>IF(P72&gt;$M$63,"需回代",M84/$K$16)</f>
        <v>需回代</v>
      </c>
      <c r="P72" s="2">
        <f t="shared" si="20"/>
        <v>1.0564210000622848E-2</v>
      </c>
      <c r="Q72" s="31" t="str">
        <f>IF(R72&gt;$M$63,"需回代",V84/$K$16)</f>
        <v>需回代</v>
      </c>
      <c r="R72" s="2">
        <f t="shared" si="17"/>
        <v>1.0044240630025215E-2</v>
      </c>
      <c r="S72" s="31">
        <f>IF(T72&gt;$M$63,"需回代",AE84/$K$16)</f>
        <v>0.30547178715793993</v>
      </c>
      <c r="T72" s="2">
        <f t="shared" si="18"/>
        <v>1.6839926829563802E-4</v>
      </c>
      <c r="U72" s="31"/>
      <c r="V72" s="2"/>
    </row>
    <row r="73" spans="1:36" x14ac:dyDescent="0.3">
      <c r="A73" s="41">
        <v>3</v>
      </c>
      <c r="B73" s="1">
        <f>G53*G19*$B$69*SQRT((2*G4*B19)/(1-$K$12^4))</f>
        <v>0.22490749321001602</v>
      </c>
      <c r="C73" s="1"/>
      <c r="D73" s="1"/>
      <c r="E73" s="2"/>
      <c r="L73" s="40">
        <v>7</v>
      </c>
      <c r="M73" s="31" t="str">
        <f>IF(N73&gt;$M$63,"需回代",B77/$K$16)</f>
        <v>需回代</v>
      </c>
      <c r="N73" s="2">
        <f t="shared" si="19"/>
        <v>1.2349807688025306E-2</v>
      </c>
      <c r="O73" s="31" t="str">
        <f>IF(P73&gt;$M$63,"需回代",M85/$K$16)</f>
        <v>需回代</v>
      </c>
      <c r="P73" s="2">
        <f t="shared" si="20"/>
        <v>1.2795525075959355E-2</v>
      </c>
      <c r="Q73" s="31" t="str">
        <f>IF(R73&gt;$M$63,"需回代",V85/$K$16)</f>
        <v>需回代</v>
      </c>
      <c r="R73" s="2">
        <f>ABS((AA85-U85)/AA85)</f>
        <v>1.2252738430423776E-2</v>
      </c>
      <c r="S73" s="31">
        <f>IF(T73&gt;$M$63,"需回代",AE85/$K$16)</f>
        <v>0.35093804555768532</v>
      </c>
      <c r="T73" s="2">
        <f t="shared" si="18"/>
        <v>1.9138986203791792E-4</v>
      </c>
      <c r="U73" s="31"/>
      <c r="V73" s="2"/>
    </row>
    <row r="74" spans="1:36" x14ac:dyDescent="0.3">
      <c r="A74" s="22">
        <v>4</v>
      </c>
      <c r="B74" s="1">
        <f>G54*G20*$B$69*SQRT((2*G5*B20)/(1-$K$12^4))</f>
        <v>0.26745001164306625</v>
      </c>
      <c r="C74" s="1"/>
      <c r="D74" s="1"/>
      <c r="E74" s="2"/>
      <c r="L74" s="40">
        <v>8</v>
      </c>
      <c r="M74" s="31" t="str">
        <f>IF(N74&gt;$M$63,"需回代",B78/$K$16)</f>
        <v>需回代</v>
      </c>
      <c r="N74" s="2">
        <f t="shared" si="19"/>
        <v>1.0879039763668545E-2</v>
      </c>
      <c r="O74" s="31" t="str">
        <f>IF(P74&gt;$M$63,"需回代",M86/$K$16)</f>
        <v>需回代</v>
      </c>
      <c r="P74" s="2">
        <f t="shared" si="20"/>
        <v>1.5113267204238221E-2</v>
      </c>
      <c r="Q74" s="31" t="str">
        <f>IF(R74&gt;$M$63,"需回代",V86/$K$16)</f>
        <v>需回代</v>
      </c>
      <c r="R74" s="2">
        <f t="shared" si="17"/>
        <v>1.4543961892303024E-2</v>
      </c>
      <c r="S74" s="31">
        <f>IF(T74&gt;$M$63,"需回代",AE86/$K$16)</f>
        <v>0.39233155956038801</v>
      </c>
      <c r="T74" s="2">
        <f t="shared" si="18"/>
        <v>2.0003378880967295E-4</v>
      </c>
      <c r="U74" s="31"/>
      <c r="V74" s="2"/>
    </row>
    <row r="75" spans="1:36" x14ac:dyDescent="0.3">
      <c r="A75" s="22">
        <v>5</v>
      </c>
      <c r="B75" s="1">
        <f>G55*G21*$B$69*SQRT((2*G6*B21)/(1-$K$12^4))</f>
        <v>0.31474671648574576</v>
      </c>
      <c r="C75" s="1"/>
      <c r="D75" s="1"/>
      <c r="E75" s="2"/>
      <c r="L75" s="40">
        <v>9</v>
      </c>
      <c r="M75" s="31">
        <f>IF(N75&gt;$M$63,"需回代",B79/$K$16)</f>
        <v>0.43603943690830183</v>
      </c>
      <c r="N75" s="2">
        <f t="shared" si="19"/>
        <v>9.7896786256205341E-3</v>
      </c>
      <c r="O75" s="31" t="e">
        <f>IF(P75&gt;$M$63,"需回代",M87/$K$16)</f>
        <v>#VALUE!</v>
      </c>
      <c r="P75" s="2" t="e">
        <f t="shared" si="20"/>
        <v>#VALUE!</v>
      </c>
      <c r="Q75" s="31" t="e">
        <f>IF(R75&gt;$M$63,"需回代",V87/$K$16)</f>
        <v>#VALUE!</v>
      </c>
      <c r="R75" s="2" t="e">
        <f t="shared" si="17"/>
        <v>#VALUE!</v>
      </c>
      <c r="S75" s="31" t="e">
        <f>IF(T75&gt;$M$63,"需回代",AE87/$K$16)</f>
        <v>#VALUE!</v>
      </c>
      <c r="T75" s="2" t="e">
        <f t="shared" si="18"/>
        <v>#VALUE!</v>
      </c>
      <c r="U75" s="31"/>
      <c r="V75" s="2"/>
    </row>
    <row r="76" spans="1:36" ht="16.8" thickBot="1" x14ac:dyDescent="0.35">
      <c r="A76" s="41">
        <v>6</v>
      </c>
      <c r="B76" s="1">
        <f>G56*G22*$B$69*SQRT((2*G7*B22)/(1-$K$12^4))</f>
        <v>0.36590519771172708</v>
      </c>
      <c r="C76" s="1"/>
      <c r="D76" s="1"/>
      <c r="E76" s="2"/>
      <c r="L76" s="40">
        <v>10</v>
      </c>
      <c r="M76" s="31">
        <f>IF(N76&gt;$M$63,"需回代",B80/$K$16)</f>
        <v>0.47905599860164888</v>
      </c>
      <c r="N76" s="4">
        <f t="shared" si="19"/>
        <v>9.1848428816012437E-3</v>
      </c>
      <c r="O76" s="31" t="e">
        <f>IF(P76&gt;$M$63,"需回代",M88/$K$16)</f>
        <v>#VALUE!</v>
      </c>
      <c r="P76" s="4" t="e">
        <f t="shared" si="20"/>
        <v>#VALUE!</v>
      </c>
      <c r="Q76" s="31" t="e">
        <f>IF(R76&gt;$M$63,"需回代",V88/$K$16)</f>
        <v>#VALUE!</v>
      </c>
      <c r="R76" s="4" t="e">
        <f t="shared" si="17"/>
        <v>#VALUE!</v>
      </c>
      <c r="S76" s="31" t="e">
        <f>IF(T76&gt;$M$63,"需回代",AE88/$K$16)</f>
        <v>#VALUE!</v>
      </c>
      <c r="T76" s="4" t="e">
        <f t="shared" si="18"/>
        <v>#VALUE!</v>
      </c>
      <c r="U76" s="31"/>
      <c r="V76" s="4"/>
    </row>
    <row r="77" spans="1:36" x14ac:dyDescent="0.3">
      <c r="A77" s="22">
        <v>7</v>
      </c>
      <c r="B77" s="1">
        <f>G57*G23*$B$69*SQRT((2*G8*B23)/(1-$K$12^4))</f>
        <v>0.42034496315796671</v>
      </c>
      <c r="C77" s="1"/>
      <c r="D77" s="1"/>
      <c r="E77" s="2"/>
      <c r="K77" s="55" t="s">
        <v>89</v>
      </c>
      <c r="L77" s="55"/>
      <c r="M77" s="55"/>
      <c r="N77" s="55"/>
      <c r="O77" s="55"/>
      <c r="P77" s="55"/>
      <c r="Q77" s="55"/>
      <c r="R77" s="55"/>
      <c r="T77" s="56" t="s">
        <v>90</v>
      </c>
      <c r="U77" s="56"/>
      <c r="V77" s="56"/>
      <c r="W77" s="56"/>
      <c r="X77" s="56"/>
      <c r="Y77" s="56"/>
      <c r="Z77" s="56"/>
      <c r="AA77" s="56"/>
      <c r="AC77" s="84" t="s">
        <v>108</v>
      </c>
      <c r="AD77" s="84"/>
      <c r="AE77" s="84"/>
      <c r="AF77" s="84"/>
      <c r="AG77" s="84"/>
      <c r="AH77" s="84"/>
      <c r="AI77" s="84"/>
      <c r="AJ77" s="84"/>
    </row>
    <row r="78" spans="1:36" x14ac:dyDescent="0.3">
      <c r="A78" s="22">
        <v>8</v>
      </c>
      <c r="B78" s="1">
        <f>G58*G24*$B$69*SQRT((2*G9*B24)/(1-$K$12^4))</f>
        <v>0.46990388458765209</v>
      </c>
      <c r="C78" s="1"/>
      <c r="D78" s="1"/>
      <c r="E78" s="2"/>
      <c r="K78" s="70" t="s">
        <v>88</v>
      </c>
      <c r="L78" s="55" t="s">
        <v>91</v>
      </c>
      <c r="M78" s="55" t="s">
        <v>65</v>
      </c>
      <c r="N78" s="71" t="s">
        <v>68</v>
      </c>
      <c r="O78" s="71" t="s">
        <v>69</v>
      </c>
      <c r="P78" s="71" t="s">
        <v>78</v>
      </c>
      <c r="Q78" s="71" t="s">
        <v>79</v>
      </c>
      <c r="R78" s="72" t="s">
        <v>80</v>
      </c>
      <c r="T78" s="57" t="s">
        <v>88</v>
      </c>
      <c r="U78" s="56" t="s">
        <v>91</v>
      </c>
      <c r="V78" s="56" t="s">
        <v>65</v>
      </c>
      <c r="W78" s="58" t="s">
        <v>68</v>
      </c>
      <c r="X78" s="58" t="s">
        <v>69</v>
      </c>
      <c r="Y78" s="58" t="s">
        <v>78</v>
      </c>
      <c r="Z78" s="58" t="s">
        <v>79</v>
      </c>
      <c r="AA78" s="59" t="s">
        <v>80</v>
      </c>
      <c r="AC78" s="85" t="s">
        <v>88</v>
      </c>
      <c r="AD78" s="84" t="s">
        <v>91</v>
      </c>
      <c r="AE78" s="84" t="s">
        <v>65</v>
      </c>
      <c r="AF78" s="86" t="s">
        <v>68</v>
      </c>
      <c r="AG78" s="86" t="s">
        <v>69</v>
      </c>
      <c r="AH78" s="86" t="s">
        <v>78</v>
      </c>
      <c r="AI78" s="86" t="s">
        <v>79</v>
      </c>
      <c r="AJ78" s="87" t="s">
        <v>80</v>
      </c>
    </row>
    <row r="79" spans="1:36" x14ac:dyDescent="0.3">
      <c r="A79" s="41">
        <v>9</v>
      </c>
      <c r="B79" s="1">
        <f>G59*G25*$B$69*SQRT((2*G10*B25)/(1-$K$12^4))</f>
        <v>0.5221757320318271</v>
      </c>
      <c r="C79" s="1"/>
      <c r="D79" s="1"/>
      <c r="E79" s="2"/>
      <c r="K79" s="70">
        <v>1</v>
      </c>
      <c r="L79" s="55">
        <f>IF(M67="需回代",P51,0)</f>
        <v>73740.666362843273</v>
      </c>
      <c r="M79" s="55">
        <f>Q96*G17*$B$69*SQRT((2*G2*B17)/(1-$K$12^4))</f>
        <v>0.14543699346338254</v>
      </c>
      <c r="N79" s="55">
        <f>M79/B17</f>
        <v>0.12154702209467404</v>
      </c>
      <c r="O79" s="55">
        <f>M79/C17</f>
        <v>0.1215826420425181</v>
      </c>
      <c r="P79" s="55">
        <f>N79/$K$15</f>
        <v>3.8689651448684907</v>
      </c>
      <c r="Q79" s="55">
        <f>O79/$B$69</f>
        <v>7.8981544796894898</v>
      </c>
      <c r="R79" s="74">
        <f t="shared" ref="R79:R88" si="21">C17*Q79*$K$3/$K$6</f>
        <v>73482.591803558753</v>
      </c>
      <c r="T79" s="57">
        <v>1</v>
      </c>
      <c r="U79" s="56">
        <f>IF(O67="需回代",R79,0)</f>
        <v>0</v>
      </c>
      <c r="V79" s="56" t="e">
        <f>Z96*G17*$B$69*SQRT((2*G2*B17)/(1-$K$12^4))</f>
        <v>#VALUE!</v>
      </c>
      <c r="W79" s="56" t="e">
        <f>V79/B17</f>
        <v>#VALUE!</v>
      </c>
      <c r="X79" s="56" t="e">
        <f>V79/C17</f>
        <v>#VALUE!</v>
      </c>
      <c r="Y79" s="56" t="e">
        <f>W79/K15</f>
        <v>#VALUE!</v>
      </c>
      <c r="Z79" s="56" t="e">
        <f>X79/B69</f>
        <v>#VALUE!</v>
      </c>
      <c r="AA79" s="60" t="e">
        <f>Z79*K3/K9</f>
        <v>#VALUE!</v>
      </c>
      <c r="AC79" s="85">
        <v>1</v>
      </c>
      <c r="AD79" s="84" t="e">
        <f>IF(Q67="需回代",AA79,0)</f>
        <v>#VALUE!</v>
      </c>
      <c r="AE79" s="84" t="e">
        <f>AI96*G17*$B$69*SQRT((2*G2*B17)/(1-$K$12^4))</f>
        <v>#VALUE!</v>
      </c>
      <c r="AF79" s="84" t="e">
        <f>AE79/B17</f>
        <v>#VALUE!</v>
      </c>
      <c r="AG79" s="84" t="e">
        <f>AE79/C17</f>
        <v>#VALUE!</v>
      </c>
      <c r="AH79" s="84" t="e">
        <f>AF79/K15</f>
        <v>#VALUE!</v>
      </c>
      <c r="AI79" s="84" t="e">
        <f>AG79/B69</f>
        <v>#VALUE!</v>
      </c>
      <c r="AJ79" s="88" t="e">
        <f t="shared" ref="AJ79:AJ88" si="22">AI79*$K$3/$K$9</f>
        <v>#VALUE!</v>
      </c>
    </row>
    <row r="80" spans="1:36" ht="16.8" thickBot="1" x14ac:dyDescent="0.35">
      <c r="A80" s="23">
        <v>10</v>
      </c>
      <c r="B80" s="1">
        <f>G60*G26*$B$69*SQRT((2*G11*B26)/(1-$K$12^4))</f>
        <v>0.57368989036342655</v>
      </c>
      <c r="C80" s="3"/>
      <c r="D80" s="3"/>
      <c r="E80" s="4"/>
      <c r="K80" s="70">
        <v>2</v>
      </c>
      <c r="L80" s="55">
        <f t="shared" ref="L80:L88" si="23">IF(M68="需回代",P52,0)</f>
        <v>91601.011129315506</v>
      </c>
      <c r="M80" s="55">
        <f>Q97*G18*$B$69*SQRT((2*G3*B18)/(1-$K$12^4))</f>
        <v>0.18050315587401286</v>
      </c>
      <c r="N80" s="55">
        <f t="shared" ref="N80:N88" si="24">M80/B18</f>
        <v>0.150960716906134</v>
      </c>
      <c r="O80" s="55">
        <f t="shared" ref="O80:O88" si="25">M80/C18</f>
        <v>0.15102861025342582</v>
      </c>
      <c r="P80" s="55">
        <f>N80/$K$15</f>
        <v>4.8052329204681064</v>
      </c>
      <c r="Q80" s="55">
        <f t="shared" ref="Q80:Q88" si="26">O80/$B$69</f>
        <v>9.8109999469926628</v>
      </c>
      <c r="R80" s="73">
        <f t="shared" si="21"/>
        <v>91199.903177892164</v>
      </c>
      <c r="T80" s="57">
        <v>2</v>
      </c>
      <c r="U80" s="56">
        <f t="shared" ref="U80:U88" si="27">IF(O68="需回代",R80,0)</f>
        <v>0</v>
      </c>
      <c r="V80" s="56" t="e">
        <f>Z97*G18*$B$69*SQRT((2*G3*B18)/(1-$K$12^4))</f>
        <v>#VALUE!</v>
      </c>
      <c r="W80" s="56" t="e">
        <f t="shared" ref="W80:W88" si="28">V80/B18</f>
        <v>#VALUE!</v>
      </c>
      <c r="X80" s="56" t="e">
        <f t="shared" ref="X80:X88" si="29">V80/C18</f>
        <v>#VALUE!</v>
      </c>
      <c r="Y80" s="56" t="e">
        <f>W80/K15</f>
        <v>#VALUE!</v>
      </c>
      <c r="Z80" s="56" t="e">
        <f>X80/B69</f>
        <v>#VALUE!</v>
      </c>
      <c r="AA80" s="61" t="e">
        <f>Z80*K3/K9</f>
        <v>#VALUE!</v>
      </c>
      <c r="AC80" s="85">
        <v>2</v>
      </c>
      <c r="AD80" s="84" t="e">
        <f t="shared" ref="AD80:AD88" si="30">IF(Q68="需回代",AA80,0)</f>
        <v>#VALUE!</v>
      </c>
      <c r="AE80" s="84" t="e">
        <f>AI97*G18*$B$69*SQRT((2*G3*B18)/(1-$K$12^4))</f>
        <v>#VALUE!</v>
      </c>
      <c r="AF80" s="84" t="e">
        <f t="shared" ref="AF80:AF88" si="31">AE80/B18</f>
        <v>#VALUE!</v>
      </c>
      <c r="AG80" s="84" t="e">
        <f t="shared" ref="AG80:AG88" si="32">AE80/C18</f>
        <v>#VALUE!</v>
      </c>
      <c r="AH80" s="84" t="e">
        <f>AF80/K15</f>
        <v>#VALUE!</v>
      </c>
      <c r="AI80" s="84" t="e">
        <f>AG80/B69</f>
        <v>#VALUE!</v>
      </c>
      <c r="AJ80" s="88" t="e">
        <f t="shared" si="22"/>
        <v>#VALUE!</v>
      </c>
    </row>
    <row r="81" spans="11:36" x14ac:dyDescent="0.3">
      <c r="K81" s="70">
        <v>3</v>
      </c>
      <c r="L81" s="55">
        <f t="shared" si="23"/>
        <v>114222.98368111049</v>
      </c>
      <c r="M81" s="55">
        <f>Q98*G19*$B$69*SQRT((2*G4*B19)/(1-$K$12^4))</f>
        <v>0.22483095902201311</v>
      </c>
      <c r="N81" s="55">
        <f t="shared" si="24"/>
        <v>0.18819720106159737</v>
      </c>
      <c r="O81" s="55">
        <f t="shared" si="25"/>
        <v>0.18832798706639023</v>
      </c>
      <c r="P81" s="55">
        <f>N81/$K$15</f>
        <v>5.9905080249681646</v>
      </c>
      <c r="Q81" s="55">
        <f t="shared" si="26"/>
        <v>12.234012271086749</v>
      </c>
      <c r="R81" s="74">
        <f t="shared" si="21"/>
        <v>113596.69361411032</v>
      </c>
      <c r="T81" s="57">
        <v>3</v>
      </c>
      <c r="U81" s="56">
        <f t="shared" si="27"/>
        <v>0</v>
      </c>
      <c r="V81" s="56" t="e">
        <f>Z98*G19*$B$69*SQRT((2*G4*B19)/(1-$K$12^4))</f>
        <v>#VALUE!</v>
      </c>
      <c r="W81" s="56" t="e">
        <f t="shared" si="28"/>
        <v>#VALUE!</v>
      </c>
      <c r="X81" s="56" t="e">
        <f t="shared" si="29"/>
        <v>#VALUE!</v>
      </c>
      <c r="Y81" s="56" t="e">
        <f>W81/K15</f>
        <v>#VALUE!</v>
      </c>
      <c r="Z81" s="56" t="e">
        <f>X81/B69</f>
        <v>#VALUE!</v>
      </c>
      <c r="AA81" s="61" t="e">
        <f>Z81*K3/K9</f>
        <v>#VALUE!</v>
      </c>
      <c r="AC81" s="85">
        <v>3</v>
      </c>
      <c r="AD81" s="84" t="e">
        <f t="shared" si="30"/>
        <v>#VALUE!</v>
      </c>
      <c r="AE81" s="84" t="e">
        <f>AI98*G19*$B$69*SQRT((2*G4*B19)/(1-$K$12^4))</f>
        <v>#VALUE!</v>
      </c>
      <c r="AF81" s="84" t="e">
        <f t="shared" si="31"/>
        <v>#VALUE!</v>
      </c>
      <c r="AG81" s="84" t="e">
        <f t="shared" si="32"/>
        <v>#VALUE!</v>
      </c>
      <c r="AH81" s="84" t="e">
        <f>AF81/K15</f>
        <v>#VALUE!</v>
      </c>
      <c r="AI81" s="84" t="e">
        <f>AG81/B69</f>
        <v>#VALUE!</v>
      </c>
      <c r="AJ81" s="88" t="e">
        <f t="shared" si="22"/>
        <v>#VALUE!</v>
      </c>
    </row>
    <row r="82" spans="11:36" x14ac:dyDescent="0.3">
      <c r="K82" s="70">
        <v>4</v>
      </c>
      <c r="L82" s="55">
        <f t="shared" si="23"/>
        <v>135130.13137453634</v>
      </c>
      <c r="M82" s="55">
        <f>Q99*G20*$B$69*SQRT((2*G5*B20)/(1-$K$12^4))</f>
        <v>0.26733609088064397</v>
      </c>
      <c r="N82" s="55">
        <f t="shared" si="24"/>
        <v>0.22401980323584039</v>
      </c>
      <c r="O82" s="55">
        <f t="shared" si="25"/>
        <v>0.22423937257796894</v>
      </c>
      <c r="P82" s="55">
        <f>N82/$K$15</f>
        <v>7.1307778302019162</v>
      </c>
      <c r="Q82" s="55">
        <f>O82/$B$69</f>
        <v>14.566859012901617</v>
      </c>
      <c r="R82" s="73">
        <f t="shared" si="21"/>
        <v>135072.57247783698</v>
      </c>
      <c r="T82" s="57">
        <v>4</v>
      </c>
      <c r="U82" s="56">
        <f t="shared" si="27"/>
        <v>0</v>
      </c>
      <c r="V82" s="56" t="e">
        <f>Z99*G20*$B$69*SQRT((2*G5*B20)/(1-$K$12^4))</f>
        <v>#VALUE!</v>
      </c>
      <c r="W82" s="56" t="e">
        <f t="shared" si="28"/>
        <v>#VALUE!</v>
      </c>
      <c r="X82" s="56" t="e">
        <f t="shared" si="29"/>
        <v>#VALUE!</v>
      </c>
      <c r="Y82" s="56" t="e">
        <f>W82/K15</f>
        <v>#VALUE!</v>
      </c>
      <c r="Z82" s="56" t="e">
        <f>X82/B69</f>
        <v>#VALUE!</v>
      </c>
      <c r="AA82" s="61" t="e">
        <f>Z82*K3/K9</f>
        <v>#VALUE!</v>
      </c>
      <c r="AC82" s="85">
        <v>4</v>
      </c>
      <c r="AD82" s="84" t="e">
        <f t="shared" si="30"/>
        <v>#VALUE!</v>
      </c>
      <c r="AE82" s="84" t="e">
        <f>AI99*G20*$B$69*SQRT((2*G5*B20)/(1-$K$12^4))</f>
        <v>#VALUE!</v>
      </c>
      <c r="AF82" s="84" t="e">
        <f t="shared" si="31"/>
        <v>#VALUE!</v>
      </c>
      <c r="AG82" s="84" t="e">
        <f t="shared" si="32"/>
        <v>#VALUE!</v>
      </c>
      <c r="AH82" s="84" t="e">
        <f>AF82/K15</f>
        <v>#VALUE!</v>
      </c>
      <c r="AI82" s="84" t="e">
        <f>AG82/B69</f>
        <v>#VALUE!</v>
      </c>
      <c r="AJ82" s="88" t="e">
        <f t="shared" si="22"/>
        <v>#VALUE!</v>
      </c>
    </row>
    <row r="83" spans="11:36" x14ac:dyDescent="0.3">
      <c r="K83" s="70">
        <v>5</v>
      </c>
      <c r="L83" s="55">
        <f t="shared" si="23"/>
        <v>160332.66734322577</v>
      </c>
      <c r="M83" s="55">
        <f>Q100*G21*$B$69*SQRT((2*G6*B21)/(1-$K$12^4))</f>
        <v>0.31465745850528648</v>
      </c>
      <c r="N83" s="55">
        <f t="shared" si="24"/>
        <v>0.26400978631911332</v>
      </c>
      <c r="O83" s="55">
        <f t="shared" si="25"/>
        <v>0.26436747081074635</v>
      </c>
      <c r="P83" s="55">
        <f>N83/$K$15</f>
        <v>8.403699601765771</v>
      </c>
      <c r="Q83" s="55">
        <f t="shared" si="26"/>
        <v>17.173628478462298</v>
      </c>
      <c r="R83" s="74">
        <f t="shared" si="21"/>
        <v>158981.87270428342</v>
      </c>
      <c r="T83" s="57">
        <v>5</v>
      </c>
      <c r="U83" s="56">
        <f t="shared" si="27"/>
        <v>0</v>
      </c>
      <c r="V83" s="56" t="e">
        <f>Z100*G21*$B$69*SQRT((2*G6*B21)/(1-$K$12^4))</f>
        <v>#VALUE!</v>
      </c>
      <c r="W83" s="56" t="e">
        <f t="shared" si="28"/>
        <v>#VALUE!</v>
      </c>
      <c r="X83" s="56" t="e">
        <f t="shared" si="29"/>
        <v>#VALUE!</v>
      </c>
      <c r="Y83" s="56" t="e">
        <f>W83/K15</f>
        <v>#VALUE!</v>
      </c>
      <c r="Z83" s="56" t="e">
        <f>X83/B69</f>
        <v>#VALUE!</v>
      </c>
      <c r="AA83" s="61" t="e">
        <f>Z83*K3/K9</f>
        <v>#VALUE!</v>
      </c>
      <c r="AC83" s="85">
        <v>5</v>
      </c>
      <c r="AD83" s="84" t="e">
        <f t="shared" si="30"/>
        <v>#VALUE!</v>
      </c>
      <c r="AE83" s="84" t="e">
        <f>AI100*G21*$B$69*SQRT((2*G6*B21)/(1-$K$12^4))</f>
        <v>#VALUE!</v>
      </c>
      <c r="AF83" s="84" t="e">
        <f t="shared" si="31"/>
        <v>#VALUE!</v>
      </c>
      <c r="AG83" s="84" t="e">
        <f t="shared" si="32"/>
        <v>#VALUE!</v>
      </c>
      <c r="AH83" s="84" t="e">
        <f>AF83/K15</f>
        <v>#VALUE!</v>
      </c>
      <c r="AI83" s="84" t="e">
        <f>AG83/B69</f>
        <v>#VALUE!</v>
      </c>
      <c r="AJ83" s="88" t="e">
        <f t="shared" si="22"/>
        <v>#VALUE!</v>
      </c>
    </row>
    <row r="84" spans="11:36" x14ac:dyDescent="0.3">
      <c r="K84" s="70">
        <v>6</v>
      </c>
      <c r="L84" s="55">
        <f t="shared" si="23"/>
        <v>186783.49801466745</v>
      </c>
      <c r="M84" s="55">
        <f>Q101*G22*$B$69*SQRT((2*G7*B22)/(1-$K$12^4))</f>
        <v>0.36581795139946865</v>
      </c>
      <c r="N84" s="55">
        <f t="shared" si="24"/>
        <v>0.30743275277520726</v>
      </c>
      <c r="O84" s="55">
        <f t="shared" si="25"/>
        <v>0.30799531840181321</v>
      </c>
      <c r="P84" s="55">
        <f>N84/$K$15</f>
        <v>9.785896720297913</v>
      </c>
      <c r="Q84" s="55">
        <f t="shared" si="26"/>
        <v>20.007745866453373</v>
      </c>
      <c r="R84" s="73">
        <f t="shared" si="21"/>
        <v>184830.90551421006</v>
      </c>
      <c r="T84" s="57">
        <v>6</v>
      </c>
      <c r="U84" s="56">
        <f t="shared" si="27"/>
        <v>184830.90551421006</v>
      </c>
      <c r="V84" s="56">
        <f>Z101*G22*$B$69*SQRT((2*G7*B22)/(1-$K$12^4))</f>
        <v>0.36575382686831309</v>
      </c>
      <c r="W84" s="56">
        <f t="shared" si="28"/>
        <v>0.30737886263379083</v>
      </c>
      <c r="X84" s="56">
        <f t="shared" si="29"/>
        <v>0.30794132964780296</v>
      </c>
      <c r="Y84" s="56">
        <f>W84/K15</f>
        <v>9.7841813423709265</v>
      </c>
      <c r="Z84" s="56">
        <f>X84/B69</f>
        <v>20.00423869213823</v>
      </c>
      <c r="AA84" s="61">
        <f>Z84*K3/K9</f>
        <v>186706.22779329016</v>
      </c>
      <c r="AC84" s="85">
        <v>6</v>
      </c>
      <c r="AD84" s="84">
        <f t="shared" si="30"/>
        <v>186706.22779329016</v>
      </c>
      <c r="AE84" s="84">
        <f>AI101*G22*$B$69*SQRT((2*G7*B22)/(1-$K$12^4))</f>
        <v>0.36581542991904276</v>
      </c>
      <c r="AF84" s="84">
        <f t="shared" si="31"/>
        <v>0.3074306337275623</v>
      </c>
      <c r="AG84" s="84">
        <f t="shared" si="32"/>
        <v>0.30799319547656129</v>
      </c>
      <c r="AH84" s="84">
        <f>AF84/K15</f>
        <v>9.7858292688594712</v>
      </c>
      <c r="AI84" s="84">
        <f>AG84/B69</f>
        <v>20.007607958678818</v>
      </c>
      <c r="AJ84" s="88">
        <f t="shared" si="22"/>
        <v>186737.67428100231</v>
      </c>
    </row>
    <row r="85" spans="11:36" x14ac:dyDescent="0.3">
      <c r="K85" s="70">
        <v>7</v>
      </c>
      <c r="L85" s="55">
        <f t="shared" si="23"/>
        <v>215057.85394609091</v>
      </c>
      <c r="M85" s="55">
        <f>Q102*G23*$B$69*SQRT((2*G8*B23)/(1-$K$12^4))</f>
        <v>0.4202657092328555</v>
      </c>
      <c r="N85" s="55">
        <f t="shared" si="24"/>
        <v>0.35378115976617208</v>
      </c>
      <c r="O85" s="55">
        <f t="shared" si="25"/>
        <v>0.3546358139727866</v>
      </c>
      <c r="P85" s="55">
        <f>N85/$K$15</f>
        <v>11.261213581854157</v>
      </c>
      <c r="Q85" s="55">
        <f t="shared" si="26"/>
        <v>23.037568486198705</v>
      </c>
      <c r="R85" s="74">
        <f t="shared" si="21"/>
        <v>212340.84138549253</v>
      </c>
      <c r="T85" s="57">
        <v>7</v>
      </c>
      <c r="U85" s="56">
        <f t="shared" si="27"/>
        <v>212340.84138549253</v>
      </c>
      <c r="V85" s="56">
        <f>Z102*G23*$B$69*SQRT((2*G8*B23)/(1-$K$12^4))</f>
        <v>0.42018276990965364</v>
      </c>
      <c r="W85" s="56">
        <f t="shared" si="28"/>
        <v>0.35371134115069158</v>
      </c>
      <c r="X85" s="56">
        <f t="shared" si="29"/>
        <v>0.35456582669153125</v>
      </c>
      <c r="Y85" s="56">
        <f>W85/K15</f>
        <v>11.258991184422268</v>
      </c>
      <c r="Z85" s="56">
        <f>X85/B69</f>
        <v>23.033022028335296</v>
      </c>
      <c r="AA85" s="61">
        <f>Z85*K3/K9</f>
        <v>214974.87226446276</v>
      </c>
      <c r="AC85" s="85">
        <v>7</v>
      </c>
      <c r="AD85" s="84">
        <f t="shared" si="30"/>
        <v>214974.87226446276</v>
      </c>
      <c r="AE85" s="84">
        <f>AI102*G23*$B$69*SQRT((2*G8*B23)/(1-$K$12^4))</f>
        <v>0.42026320402629175</v>
      </c>
      <c r="AF85" s="84">
        <f t="shared" si="31"/>
        <v>0.35377905087443023</v>
      </c>
      <c r="AG85" s="84">
        <f t="shared" si="32"/>
        <v>0.35463369998644562</v>
      </c>
      <c r="AH85" s="84">
        <f>AF85/K15</f>
        <v>11.261146453688426</v>
      </c>
      <c r="AI85" s="84">
        <f>AG85/B69</f>
        <v>23.037431159106543</v>
      </c>
      <c r="AJ85" s="88">
        <f t="shared" si="22"/>
        <v>215016.02415166108</v>
      </c>
    </row>
    <row r="86" spans="11:36" x14ac:dyDescent="0.3">
      <c r="K86" s="70">
        <v>8</v>
      </c>
      <c r="L86" s="55">
        <f t="shared" si="23"/>
        <v>240974.05640367771</v>
      </c>
      <c r="M86" s="55">
        <f>Q103*G24*$B$69*SQRT((2*G9*B24)/(1-$K$12^4))</f>
        <v>0.46983590930179731</v>
      </c>
      <c r="N86" s="55">
        <f t="shared" si="24"/>
        <v>0.39619153039865673</v>
      </c>
      <c r="O86" s="55">
        <f t="shared" si="25"/>
        <v>0.39738972692373198</v>
      </c>
      <c r="P86" s="55">
        <f>N86/$K$15</f>
        <v>12.611178747024809</v>
      </c>
      <c r="Q86" s="55">
        <f t="shared" si="26"/>
        <v>25.814914030143015</v>
      </c>
      <c r="R86" s="74">
        <f t="shared" si="21"/>
        <v>237386.37272208396</v>
      </c>
      <c r="T86" s="57">
        <v>8</v>
      </c>
      <c r="U86" s="56">
        <f t="shared" si="27"/>
        <v>237386.37272208396</v>
      </c>
      <c r="V86" s="56">
        <f>Z103*G24*$B$69*SQRT((2*G9*B24)/(1-$K$12^4))</f>
        <v>0.46973971124925284</v>
      </c>
      <c r="W86" s="56">
        <f t="shared" si="28"/>
        <v>0.39611041089947757</v>
      </c>
      <c r="X86" s="56">
        <f t="shared" si="29"/>
        <v>0.39730836209598169</v>
      </c>
      <c r="Y86" s="56">
        <f>W86/K15</f>
        <v>12.608596630988687</v>
      </c>
      <c r="Z86" s="56">
        <f>X86/B69</f>
        <v>25.809628473191882</v>
      </c>
      <c r="AA86" s="61">
        <f>Z86*K3/K9</f>
        <v>240889.86574979092</v>
      </c>
      <c r="AC86" s="85">
        <v>8</v>
      </c>
      <c r="AD86" s="84">
        <f t="shared" si="30"/>
        <v>240889.86574979092</v>
      </c>
      <c r="AE86" s="84">
        <f>AI103*G24*$B$69*SQRT((2*G9*B24)/(1-$K$12^4))</f>
        <v>0.46983369386314677</v>
      </c>
      <c r="AF86" s="84">
        <f t="shared" si="31"/>
        <v>0.39618966221869845</v>
      </c>
      <c r="AG86" s="84">
        <f t="shared" si="32"/>
        <v>0.39738785309386299</v>
      </c>
      <c r="AH86" s="84">
        <f>AF86/K15</f>
        <v>12.61111928095959</v>
      </c>
      <c r="AI86" s="84">
        <f>AG86/B69</f>
        <v>25.814792303903765</v>
      </c>
      <c r="AJ86" s="88">
        <f t="shared" si="22"/>
        <v>240938.06150310184</v>
      </c>
    </row>
    <row r="87" spans="11:36" x14ac:dyDescent="0.3">
      <c r="K87" s="70">
        <v>9</v>
      </c>
      <c r="L87" s="55">
        <f t="shared" si="23"/>
        <v>0</v>
      </c>
      <c r="M87" s="55" t="e">
        <f>Q104*G25*$B$69*SQRT((2*G10*B25)/(1-$K$12^4))</f>
        <v>#VALUE!</v>
      </c>
      <c r="N87" s="55" t="e">
        <f t="shared" si="24"/>
        <v>#VALUE!</v>
      </c>
      <c r="O87" s="55" t="e">
        <f t="shared" si="25"/>
        <v>#VALUE!</v>
      </c>
      <c r="P87" s="55" t="e">
        <f>N87/$K$15</f>
        <v>#VALUE!</v>
      </c>
      <c r="Q87" s="55" t="e">
        <f t="shared" si="26"/>
        <v>#VALUE!</v>
      </c>
      <c r="R87" s="74" t="e">
        <f t="shared" si="21"/>
        <v>#VALUE!</v>
      </c>
      <c r="T87" s="57">
        <v>9</v>
      </c>
      <c r="U87" s="56" t="e">
        <f t="shared" si="27"/>
        <v>#VALUE!</v>
      </c>
      <c r="V87" s="56" t="e">
        <f>Z104*G25*$B$69*SQRT((2*G10*B25)/(1-$K$12^4))</f>
        <v>#VALUE!</v>
      </c>
      <c r="W87" s="56" t="e">
        <f t="shared" si="28"/>
        <v>#VALUE!</v>
      </c>
      <c r="X87" s="56" t="e">
        <f t="shared" si="29"/>
        <v>#VALUE!</v>
      </c>
      <c r="Y87" s="56" t="e">
        <f>W87/K15</f>
        <v>#VALUE!</v>
      </c>
      <c r="Z87" s="56" t="e">
        <f>X87/B69</f>
        <v>#VALUE!</v>
      </c>
      <c r="AA87" s="61" t="e">
        <f>Z87*K3/K9</f>
        <v>#VALUE!</v>
      </c>
      <c r="AC87" s="85">
        <v>9</v>
      </c>
      <c r="AD87" s="84" t="e">
        <f t="shared" si="30"/>
        <v>#VALUE!</v>
      </c>
      <c r="AE87" s="84" t="e">
        <f>AI104*G25*$B$69*SQRT((2*G10*B25)/(1-$K$12^4))</f>
        <v>#VALUE!</v>
      </c>
      <c r="AF87" s="84" t="e">
        <f t="shared" si="31"/>
        <v>#VALUE!</v>
      </c>
      <c r="AG87" s="84" t="e">
        <f t="shared" si="32"/>
        <v>#VALUE!</v>
      </c>
      <c r="AH87" s="84" t="e">
        <f>AF87/K15</f>
        <v>#VALUE!</v>
      </c>
      <c r="AI87" s="84" t="e">
        <f>AG87/B69</f>
        <v>#VALUE!</v>
      </c>
      <c r="AJ87" s="88" t="e">
        <f t="shared" si="22"/>
        <v>#VALUE!</v>
      </c>
    </row>
    <row r="88" spans="11:36" ht="16.8" thickBot="1" x14ac:dyDescent="0.35">
      <c r="K88" s="70">
        <v>10</v>
      </c>
      <c r="L88" s="55">
        <f t="shared" si="23"/>
        <v>0</v>
      </c>
      <c r="M88" s="55" t="e">
        <f>Q105*G26*$B$69*SQRT((2*G11*B26)/(1-$K$12^4))</f>
        <v>#VALUE!</v>
      </c>
      <c r="N88" s="55" t="e">
        <f t="shared" si="24"/>
        <v>#VALUE!</v>
      </c>
      <c r="O88" s="55" t="e">
        <f t="shared" si="25"/>
        <v>#VALUE!</v>
      </c>
      <c r="P88" s="55" t="e">
        <f>N88/$K$15</f>
        <v>#VALUE!</v>
      </c>
      <c r="Q88" s="55" t="e">
        <f t="shared" si="26"/>
        <v>#VALUE!</v>
      </c>
      <c r="R88" s="74" t="e">
        <f t="shared" si="21"/>
        <v>#VALUE!</v>
      </c>
      <c r="T88" s="57">
        <v>10</v>
      </c>
      <c r="U88" s="56" t="e">
        <f t="shared" si="27"/>
        <v>#VALUE!</v>
      </c>
      <c r="V88" s="56" t="e">
        <f>Z105*G26*$B$69*SQRT((2*G11*B26)/(1-$K$12^4))</f>
        <v>#VALUE!</v>
      </c>
      <c r="W88" s="56" t="e">
        <f t="shared" si="28"/>
        <v>#VALUE!</v>
      </c>
      <c r="X88" s="56" t="e">
        <f t="shared" si="29"/>
        <v>#VALUE!</v>
      </c>
      <c r="Y88" s="56" t="e">
        <f>W88/K15</f>
        <v>#VALUE!</v>
      </c>
      <c r="Z88" s="56" t="e">
        <f>X88/B69</f>
        <v>#VALUE!</v>
      </c>
      <c r="AA88" s="61" t="e">
        <f>Z88*K3/K9</f>
        <v>#VALUE!</v>
      </c>
      <c r="AC88" s="85">
        <v>10</v>
      </c>
      <c r="AD88" s="84" t="e">
        <f t="shared" si="30"/>
        <v>#VALUE!</v>
      </c>
      <c r="AE88" s="84" t="e">
        <f>AI105*G26*$B$69*SQRT((2*G11*B26)/(1-$K$12^4))</f>
        <v>#VALUE!</v>
      </c>
      <c r="AF88" s="84" t="e">
        <f t="shared" si="31"/>
        <v>#VALUE!</v>
      </c>
      <c r="AG88" s="84" t="e">
        <f t="shared" si="32"/>
        <v>#VALUE!</v>
      </c>
      <c r="AH88" s="84" t="e">
        <f>AF88/K15</f>
        <v>#VALUE!</v>
      </c>
      <c r="AI88" s="84" t="e">
        <f>AG88/B69</f>
        <v>#VALUE!</v>
      </c>
      <c r="AJ88" s="88" t="e">
        <f t="shared" si="22"/>
        <v>#VALUE!</v>
      </c>
    </row>
    <row r="89" spans="11:36" x14ac:dyDescent="0.3">
      <c r="K89" s="75"/>
      <c r="L89" s="76"/>
      <c r="M89" s="76"/>
      <c r="N89" s="76" t="s">
        <v>47</v>
      </c>
      <c r="O89" s="76"/>
      <c r="P89" s="76"/>
      <c r="Q89" s="77"/>
      <c r="R89" s="55"/>
      <c r="T89" s="62"/>
      <c r="U89" s="63"/>
      <c r="V89" s="63"/>
      <c r="W89" s="63" t="s">
        <v>47</v>
      </c>
      <c r="X89" s="63"/>
      <c r="Y89" s="63"/>
      <c r="Z89" s="64"/>
      <c r="AA89" s="56"/>
      <c r="AC89" s="89"/>
      <c r="AD89" s="90"/>
      <c r="AE89" s="90"/>
      <c r="AF89" s="90" t="s">
        <v>47</v>
      </c>
      <c r="AG89" s="90"/>
      <c r="AH89" s="90"/>
      <c r="AI89" s="91"/>
      <c r="AJ89" s="84"/>
    </row>
    <row r="90" spans="11:36" x14ac:dyDescent="0.3">
      <c r="K90" s="78"/>
      <c r="L90" s="71"/>
      <c r="M90" s="71" t="s">
        <v>53</v>
      </c>
      <c r="N90" s="134" t="s">
        <v>98</v>
      </c>
      <c r="O90" s="134"/>
      <c r="P90" s="71"/>
      <c r="Q90" s="72"/>
      <c r="R90" s="55"/>
      <c r="T90" s="65"/>
      <c r="U90" s="58"/>
      <c r="V90" s="58" t="s">
        <v>53</v>
      </c>
      <c r="W90" s="135" t="s">
        <v>98</v>
      </c>
      <c r="X90" s="135"/>
      <c r="Y90" s="58"/>
      <c r="Z90" s="59"/>
      <c r="AA90" s="56"/>
      <c r="AC90" s="92"/>
      <c r="AD90" s="86"/>
      <c r="AE90" s="86" t="s">
        <v>53</v>
      </c>
      <c r="AF90" s="136" t="s">
        <v>103</v>
      </c>
      <c r="AG90" s="136"/>
      <c r="AH90" s="86"/>
      <c r="AI90" s="87"/>
      <c r="AJ90" s="84"/>
    </row>
    <row r="91" spans="11:36" x14ac:dyDescent="0.3">
      <c r="K91" s="78"/>
      <c r="L91" s="71"/>
      <c r="M91" s="71" t="s">
        <v>54</v>
      </c>
      <c r="N91" s="134" t="s">
        <v>99</v>
      </c>
      <c r="O91" s="134"/>
      <c r="P91" s="71"/>
      <c r="Q91" s="72"/>
      <c r="R91" s="55"/>
      <c r="T91" s="65"/>
      <c r="U91" s="58"/>
      <c r="V91" s="58" t="s">
        <v>54</v>
      </c>
      <c r="W91" s="135" t="s">
        <v>99</v>
      </c>
      <c r="X91" s="135"/>
      <c r="Y91" s="58"/>
      <c r="Z91" s="59"/>
      <c r="AA91" s="56"/>
      <c r="AC91" s="92"/>
      <c r="AD91" s="86"/>
      <c r="AE91" s="86" t="s">
        <v>54</v>
      </c>
      <c r="AF91" s="136" t="s">
        <v>104</v>
      </c>
      <c r="AG91" s="136"/>
      <c r="AH91" s="86"/>
      <c r="AI91" s="87"/>
      <c r="AJ91" s="84"/>
    </row>
    <row r="92" spans="11:36" x14ac:dyDescent="0.3">
      <c r="K92" s="78"/>
      <c r="L92" s="71"/>
      <c r="M92" s="71" t="s">
        <v>55</v>
      </c>
      <c r="N92" s="134" t="s">
        <v>100</v>
      </c>
      <c r="O92" s="134"/>
      <c r="P92" s="71"/>
      <c r="Q92" s="72"/>
      <c r="R92" s="55"/>
      <c r="T92" s="65"/>
      <c r="U92" s="58"/>
      <c r="V92" s="58" t="s">
        <v>55</v>
      </c>
      <c r="W92" s="135" t="s">
        <v>100</v>
      </c>
      <c r="X92" s="135"/>
      <c r="Y92" s="58"/>
      <c r="Z92" s="59"/>
      <c r="AA92" s="56"/>
      <c r="AC92" s="92"/>
      <c r="AD92" s="86"/>
      <c r="AE92" s="86" t="s">
        <v>55</v>
      </c>
      <c r="AF92" s="136" t="s">
        <v>105</v>
      </c>
      <c r="AG92" s="136"/>
      <c r="AH92" s="86"/>
      <c r="AI92" s="87"/>
      <c r="AJ92" s="84"/>
    </row>
    <row r="93" spans="11:36" x14ac:dyDescent="0.3">
      <c r="K93" s="78"/>
      <c r="L93" s="71"/>
      <c r="M93" s="71" t="s">
        <v>56</v>
      </c>
      <c r="N93" s="134" t="s">
        <v>101</v>
      </c>
      <c r="O93" s="134"/>
      <c r="P93" s="71"/>
      <c r="Q93" s="72"/>
      <c r="R93" s="55"/>
      <c r="T93" s="65"/>
      <c r="U93" s="58"/>
      <c r="V93" s="58" t="s">
        <v>56</v>
      </c>
      <c r="W93" s="135" t="s">
        <v>101</v>
      </c>
      <c r="X93" s="135"/>
      <c r="Y93" s="58"/>
      <c r="Z93" s="59"/>
      <c r="AA93" s="56"/>
      <c r="AC93" s="92"/>
      <c r="AD93" s="86"/>
      <c r="AE93" s="86" t="s">
        <v>56</v>
      </c>
      <c r="AF93" s="136" t="s">
        <v>106</v>
      </c>
      <c r="AG93" s="136"/>
      <c r="AH93" s="86"/>
      <c r="AI93" s="87"/>
      <c r="AJ93" s="84"/>
    </row>
    <row r="94" spans="11:36" ht="16.8" thickBot="1" x14ac:dyDescent="0.35">
      <c r="K94" s="78"/>
      <c r="L94" s="71"/>
      <c r="M94" s="71" t="s">
        <v>57</v>
      </c>
      <c r="N94" s="134" t="s">
        <v>102</v>
      </c>
      <c r="O94" s="134"/>
      <c r="P94" s="71"/>
      <c r="Q94" s="72"/>
      <c r="R94" s="55"/>
      <c r="T94" s="65"/>
      <c r="U94" s="58"/>
      <c r="V94" s="58" t="s">
        <v>57</v>
      </c>
      <c r="W94" s="135" t="s">
        <v>102</v>
      </c>
      <c r="X94" s="135"/>
      <c r="Y94" s="58"/>
      <c r="Z94" s="59"/>
      <c r="AA94" s="56"/>
      <c r="AC94" s="92"/>
      <c r="AD94" s="86"/>
      <c r="AE94" s="86" t="s">
        <v>57</v>
      </c>
      <c r="AF94" s="136" t="s">
        <v>107</v>
      </c>
      <c r="AG94" s="136"/>
      <c r="AH94" s="86"/>
      <c r="AI94" s="87"/>
      <c r="AJ94" s="84"/>
    </row>
    <row r="95" spans="11:36" x14ac:dyDescent="0.3">
      <c r="K95" s="79" t="s">
        <v>41</v>
      </c>
      <c r="L95" s="71" t="s">
        <v>53</v>
      </c>
      <c r="M95" s="71" t="s">
        <v>54</v>
      </c>
      <c r="N95" s="71" t="s">
        <v>55</v>
      </c>
      <c r="O95" s="71" t="s">
        <v>56</v>
      </c>
      <c r="P95" s="71" t="s">
        <v>57</v>
      </c>
      <c r="Q95" s="72" t="s">
        <v>55</v>
      </c>
      <c r="R95" s="55"/>
      <c r="T95" s="66" t="s">
        <v>41</v>
      </c>
      <c r="U95" s="58" t="s">
        <v>53</v>
      </c>
      <c r="V95" s="58" t="s">
        <v>54</v>
      </c>
      <c r="W95" s="58" t="s">
        <v>55</v>
      </c>
      <c r="X95" s="58" t="s">
        <v>56</v>
      </c>
      <c r="Y95" s="58" t="s">
        <v>57</v>
      </c>
      <c r="Z95" s="59" t="s">
        <v>55</v>
      </c>
      <c r="AA95" s="56"/>
      <c r="AC95" s="93" t="s">
        <v>41</v>
      </c>
      <c r="AD95" s="86" t="s">
        <v>53</v>
      </c>
      <c r="AE95" s="86" t="s">
        <v>54</v>
      </c>
      <c r="AF95" s="86" t="s">
        <v>55</v>
      </c>
      <c r="AG95" s="86" t="s">
        <v>56</v>
      </c>
      <c r="AH95" s="86" t="s">
        <v>57</v>
      </c>
      <c r="AI95" s="87" t="s">
        <v>55</v>
      </c>
      <c r="AJ95" s="84"/>
    </row>
    <row r="96" spans="11:36" x14ac:dyDescent="0.3">
      <c r="K96" s="80">
        <v>1</v>
      </c>
      <c r="L96" s="71" t="str">
        <f>IF(AND(5*10^4&lt;=L79,L79&lt;3*10^5),"yes","no")</f>
        <v>yes</v>
      </c>
      <c r="M96" s="71" t="str">
        <f>IF(AND(3*10^5&lt;=L79,L79&lt;5*10^5),"yes","no")</f>
        <v>no</v>
      </c>
      <c r="N96" s="71" t="str">
        <f>IF(AND(5*10^5&lt;=L79,L79&lt;1*10^6),"yes","no")</f>
        <v>no</v>
      </c>
      <c r="O96" s="71" t="str">
        <f>IF(AND(1*10^6&lt;=L79,L79&lt;2*10^6),"yes","no")</f>
        <v>no</v>
      </c>
      <c r="P96" s="71" t="str">
        <f>IF(AND(2*10^6&lt;=L79,L79&lt;1*10^8),"yes","no")</f>
        <v>no</v>
      </c>
      <c r="Q96" s="72">
        <f>IF(L96="yes",-0.0000000000003*L79^2+0.0000002*L79+0.9591,IF(M96="yes",-0.00000002*L79+1.0025,IF(N96="yes",0.995,IF(O96="yes",1,IF(P96="yes",1.01,"範圍外")))))</f>
        <v>0.9722168275098777</v>
      </c>
      <c r="R96" s="55"/>
      <c r="T96" s="67">
        <v>1</v>
      </c>
      <c r="U96" s="58" t="str">
        <f>IF(AND(5*10^4&lt;=U79,U79&lt;3*10^5),"yes","no")</f>
        <v>no</v>
      </c>
      <c r="V96" s="58" t="str">
        <f>IF(AND(3*10^5&lt;=U79,U79&lt;5*10^5),"yes","no")</f>
        <v>no</v>
      </c>
      <c r="W96" s="58" t="str">
        <f>IF(AND(5*10^5&lt;=U79,U79&lt;1*10^6),"yes","no")</f>
        <v>no</v>
      </c>
      <c r="X96" s="58" t="str">
        <f>IF(AND(1*10^6&lt;=U79,U79&lt;2*10^6),"yes","no")</f>
        <v>no</v>
      </c>
      <c r="Y96" s="58" t="str">
        <f>IF(AND(2*10^6&lt;=U79,U79&lt;1*10^8),"yes","no")</f>
        <v>no</v>
      </c>
      <c r="Z96" s="59" t="str">
        <f>IF(U96="yes",-0.0000000000003*U79^2+0.0000002*U79+0.9591,IF(V96="yes",-0.00000002*U79+1.0025,IF(W96="yes",0.995,IF(X96="yes",1,IF(Y96="yes",1.01,"範圍外")))))</f>
        <v>範圍外</v>
      </c>
      <c r="AA96" s="56"/>
      <c r="AC96" s="94">
        <v>1</v>
      </c>
      <c r="AD96" s="86" t="e">
        <f>IF(AND(5*10^4&lt;=AD79,AD79&lt;3*10^5),"yes","no")</f>
        <v>#VALUE!</v>
      </c>
      <c r="AE96" s="86" t="e">
        <f>IF(AND(3*10^5&lt;=AD79,AD79&lt;5*10^5),"yes","no")</f>
        <v>#VALUE!</v>
      </c>
      <c r="AF96" s="86" t="e">
        <f>IF(AND(5*10^5&lt;=AD79,AD79&lt;1*10^6),"yes","no")</f>
        <v>#VALUE!</v>
      </c>
      <c r="AG96" s="86" t="e">
        <f>IF(AND(1*10^6&lt;=AD79,AD79&lt;2*10^6),"yes","no")</f>
        <v>#VALUE!</v>
      </c>
      <c r="AH96" s="86" t="e">
        <f>IF(AND(2*10^6&lt;=AD79,AD79&lt;1*10^8),"yes","no")</f>
        <v>#VALUE!</v>
      </c>
      <c r="AI96" s="87" t="e">
        <f>IF(AD96="yes",-0.0000000000003*AD79^2+0.0000002*AD79+0.9591,IF(AE96="yes",-0.00000002*AD79+1.0025,IF(AF96="yes",0.995,IF(AG96="yes",1,IF(AH96="yes",1.01,"範圍外")))))</f>
        <v>#VALUE!</v>
      </c>
      <c r="AJ96" s="84"/>
    </row>
    <row r="97" spans="11:36" x14ac:dyDescent="0.3">
      <c r="K97" s="80">
        <v>2</v>
      </c>
      <c r="L97" s="71" t="str">
        <f>IF(AND(5*10^4&lt;=L80,L80&lt;3*10^5),"yes","no")</f>
        <v>yes</v>
      </c>
      <c r="M97" s="71" t="str">
        <f>IF(AND(3*10^5&lt;=L80,L80&lt;5*10^5),"yes","no")</f>
        <v>no</v>
      </c>
      <c r="N97" s="71" t="str">
        <f>IF(AND(5*10^5&lt;=L80,L80&lt;1*10^6),"yes","no")</f>
        <v>no</v>
      </c>
      <c r="O97" s="71" t="str">
        <f>IF(AND(1*10^6&lt;=L80,L80&lt;2*10^6),"yes","no")</f>
        <v>no</v>
      </c>
      <c r="P97" s="71" t="str">
        <f>IF(AND(2*10^6&lt;=L80,L80&lt;1*10^8),"yes","no")</f>
        <v>no</v>
      </c>
      <c r="Q97" s="72">
        <f t="shared" ref="Q97:Q105" si="33">IF(L97="yes",-0.0000000000003*L80^2+0.0000002*L80+0.9591,IF(M97="yes",-0.00000002*L80+1.0025,IF(N97="yes",0.995,IF(O97="yes",1,IF(P97="yes",1.01,"範圍外")))))</f>
        <v>0.9749029786538892</v>
      </c>
      <c r="R97" s="55"/>
      <c r="T97" s="67">
        <v>2</v>
      </c>
      <c r="U97" s="58" t="str">
        <f t="shared" ref="U97:U105" si="34">IF(AND(5*10^4&lt;=U80,U80&lt;3*10^5),"yes","no")</f>
        <v>no</v>
      </c>
      <c r="V97" s="58" t="str">
        <f t="shared" ref="V97:V105" si="35">IF(AND(3*10^5&lt;=U80,U80&lt;5*10^5),"yes","no")</f>
        <v>no</v>
      </c>
      <c r="W97" s="58" t="str">
        <f t="shared" ref="W97:W105" si="36">IF(AND(5*10^5&lt;=U80,U80&lt;1*10^6),"yes","no")</f>
        <v>no</v>
      </c>
      <c r="X97" s="58" t="str">
        <f t="shared" ref="X97:X105" si="37">IF(AND(1*10^6&lt;=U80,U80&lt;2*10^6),"yes","no")</f>
        <v>no</v>
      </c>
      <c r="Y97" s="58" t="str">
        <f t="shared" ref="Y97:Y105" si="38">IF(AND(2*10^6&lt;=U80,U80&lt;1*10^8),"yes","no")</f>
        <v>no</v>
      </c>
      <c r="Z97" s="59" t="str">
        <f t="shared" ref="Z97:Z105" si="39">IF(U97="yes",-0.0000000000003*U80^2+0.0000002*U80+0.9591,IF(V97="yes",-0.00000002*U80+1.0025,IF(W97="yes",0.995,IF(X97="yes",1,IF(Y97="yes",1.01,"範圍外")))))</f>
        <v>範圍外</v>
      </c>
      <c r="AA97" s="56"/>
      <c r="AC97" s="94">
        <v>2</v>
      </c>
      <c r="AD97" s="86" t="e">
        <f t="shared" ref="AD97:AD105" si="40">IF(AND(5*10^4&lt;=AD80,AD80&lt;3*10^5),"yes","no")</f>
        <v>#VALUE!</v>
      </c>
      <c r="AE97" s="86" t="e">
        <f t="shared" ref="AE97:AE105" si="41">IF(AND(3*10^5&lt;=AD80,AD80&lt;5*10^5),"yes","no")</f>
        <v>#VALUE!</v>
      </c>
      <c r="AF97" s="86" t="e">
        <f t="shared" ref="AF97:AF105" si="42">IF(AND(5*10^5&lt;=AD80,AD80&lt;1*10^6),"yes","no")</f>
        <v>#VALUE!</v>
      </c>
      <c r="AG97" s="86" t="e">
        <f t="shared" ref="AG97:AG105" si="43">IF(AND(1*10^6&lt;=AD80,AD80&lt;2*10^6),"yes","no")</f>
        <v>#VALUE!</v>
      </c>
      <c r="AH97" s="86" t="e">
        <f t="shared" ref="AH97:AH105" si="44">IF(AND(2*10^6&lt;=AD80,AD80&lt;1*10^8),"yes","no")</f>
        <v>#VALUE!</v>
      </c>
      <c r="AI97" s="87" t="e">
        <f t="shared" ref="AI97:AI105" si="45">IF(AD97="yes",-0.0000000000003*AD80^2+0.0000002*AD80+0.9591,IF(AE97="yes",-0.00000002*AD80+1.0025,IF(AF97="yes",0.995,IF(AG97="yes",1,IF(AH97="yes",1.01,"範圍外")))))</f>
        <v>#VALUE!</v>
      </c>
      <c r="AJ97" s="84"/>
    </row>
    <row r="98" spans="11:36" x14ac:dyDescent="0.3">
      <c r="K98" s="81">
        <v>3</v>
      </c>
      <c r="L98" s="71" t="str">
        <f>IF(AND(5*10^4&lt;=L81,L81&lt;3*10^5),"yes","no")</f>
        <v>yes</v>
      </c>
      <c r="M98" s="71" t="str">
        <f>IF(AND(3*10^5&lt;=L81,L81&lt;5*10^5),"yes","no")</f>
        <v>no</v>
      </c>
      <c r="N98" s="71" t="str">
        <f>IF(AND(5*10^5&lt;=L81,L81&lt;1*10^6),"yes","no")</f>
        <v>no</v>
      </c>
      <c r="O98" s="71" t="str">
        <f>IF(AND(1*10^6&lt;=L81,L81&lt;2*10^6),"yes","no")</f>
        <v>no</v>
      </c>
      <c r="P98" s="71" t="str">
        <f>IF(AND(2*10^6&lt;=L81,L81&lt;1*10^8),"yes","no")</f>
        <v>no</v>
      </c>
      <c r="Q98" s="72">
        <f t="shared" si="33"/>
        <v>0.97803052973591753</v>
      </c>
      <c r="R98" s="55"/>
      <c r="T98" s="68">
        <v>3</v>
      </c>
      <c r="U98" s="58" t="str">
        <f t="shared" si="34"/>
        <v>no</v>
      </c>
      <c r="V98" s="58" t="str">
        <f t="shared" si="35"/>
        <v>no</v>
      </c>
      <c r="W98" s="58" t="str">
        <f t="shared" si="36"/>
        <v>no</v>
      </c>
      <c r="X98" s="58" t="str">
        <f t="shared" si="37"/>
        <v>no</v>
      </c>
      <c r="Y98" s="58" t="str">
        <f t="shared" si="38"/>
        <v>no</v>
      </c>
      <c r="Z98" s="59" t="str">
        <f t="shared" si="39"/>
        <v>範圍外</v>
      </c>
      <c r="AA98" s="56"/>
      <c r="AC98" s="95">
        <v>3</v>
      </c>
      <c r="AD98" s="86" t="e">
        <f t="shared" si="40"/>
        <v>#VALUE!</v>
      </c>
      <c r="AE98" s="86" t="e">
        <f t="shared" si="41"/>
        <v>#VALUE!</v>
      </c>
      <c r="AF98" s="86" t="e">
        <f t="shared" si="42"/>
        <v>#VALUE!</v>
      </c>
      <c r="AG98" s="86" t="e">
        <f t="shared" si="43"/>
        <v>#VALUE!</v>
      </c>
      <c r="AH98" s="86" t="e">
        <f t="shared" si="44"/>
        <v>#VALUE!</v>
      </c>
      <c r="AI98" s="87" t="e">
        <f t="shared" si="45"/>
        <v>#VALUE!</v>
      </c>
      <c r="AJ98" s="84"/>
    </row>
    <row r="99" spans="11:36" x14ac:dyDescent="0.3">
      <c r="K99" s="80">
        <v>4</v>
      </c>
      <c r="L99" s="71" t="str">
        <f t="shared" ref="L99:L105" si="46">IF(AND(5*10^4&lt;=L82,L82&lt;3*10^5),"yes","no")</f>
        <v>yes</v>
      </c>
      <c r="M99" s="71" t="str">
        <f t="shared" ref="M99:M105" si="47">IF(AND(3*10^5&lt;=L82,L82&lt;5*10^5),"yes","no")</f>
        <v>no</v>
      </c>
      <c r="N99" s="71" t="str">
        <f t="shared" ref="N99:N105" si="48">IF(AND(5*10^5&lt;=L82,L82&lt;1*10^6),"yes","no")</f>
        <v>no</v>
      </c>
      <c r="O99" s="71" t="str">
        <f t="shared" ref="O99:O105" si="49">IF(AND(1*10^6&lt;=L82,L82&lt;2*10^6),"yes","no")</f>
        <v>no</v>
      </c>
      <c r="P99" s="71" t="str">
        <f t="shared" ref="P99:P105" si="50">IF(AND(2*10^6&lt;=L82,L82&lt;1*10^8),"yes","no")</f>
        <v>no</v>
      </c>
      <c r="Q99" s="72">
        <f t="shared" si="33"/>
        <v>0.98064798055331737</v>
      </c>
      <c r="R99" s="55"/>
      <c r="T99" s="67">
        <v>4</v>
      </c>
      <c r="U99" s="58" t="str">
        <f t="shared" si="34"/>
        <v>no</v>
      </c>
      <c r="V99" s="58" t="str">
        <f t="shared" si="35"/>
        <v>no</v>
      </c>
      <c r="W99" s="58" t="str">
        <f t="shared" si="36"/>
        <v>no</v>
      </c>
      <c r="X99" s="58" t="str">
        <f t="shared" si="37"/>
        <v>no</v>
      </c>
      <c r="Y99" s="58" t="str">
        <f t="shared" si="38"/>
        <v>no</v>
      </c>
      <c r="Z99" s="59" t="str">
        <f t="shared" si="39"/>
        <v>範圍外</v>
      </c>
      <c r="AA99" s="56"/>
      <c r="AC99" s="94">
        <v>4</v>
      </c>
      <c r="AD99" s="86" t="e">
        <f t="shared" si="40"/>
        <v>#VALUE!</v>
      </c>
      <c r="AE99" s="86" t="e">
        <f t="shared" si="41"/>
        <v>#VALUE!</v>
      </c>
      <c r="AF99" s="86" t="e">
        <f t="shared" si="42"/>
        <v>#VALUE!</v>
      </c>
      <c r="AG99" s="86" t="e">
        <f t="shared" si="43"/>
        <v>#VALUE!</v>
      </c>
      <c r="AH99" s="86" t="e">
        <f t="shared" si="44"/>
        <v>#VALUE!</v>
      </c>
      <c r="AI99" s="87" t="e">
        <f t="shared" si="45"/>
        <v>#VALUE!</v>
      </c>
      <c r="AJ99" s="84"/>
    </row>
    <row r="100" spans="11:36" x14ac:dyDescent="0.3">
      <c r="K100" s="80">
        <v>5</v>
      </c>
      <c r="L100" s="71" t="str">
        <f t="shared" si="46"/>
        <v>yes</v>
      </c>
      <c r="M100" s="71" t="str">
        <f t="shared" si="47"/>
        <v>no</v>
      </c>
      <c r="N100" s="71" t="str">
        <f t="shared" si="48"/>
        <v>no</v>
      </c>
      <c r="O100" s="71" t="str">
        <f t="shared" si="49"/>
        <v>no</v>
      </c>
      <c r="P100" s="71" t="str">
        <f t="shared" si="50"/>
        <v>no</v>
      </c>
      <c r="Q100" s="72">
        <f t="shared" si="33"/>
        <v>0.98345456420342703</v>
      </c>
      <c r="R100" s="55"/>
      <c r="T100" s="67">
        <v>5</v>
      </c>
      <c r="U100" s="58" t="str">
        <f t="shared" si="34"/>
        <v>no</v>
      </c>
      <c r="V100" s="58" t="str">
        <f t="shared" si="35"/>
        <v>no</v>
      </c>
      <c r="W100" s="58" t="str">
        <f t="shared" si="36"/>
        <v>no</v>
      </c>
      <c r="X100" s="58" t="str">
        <f t="shared" si="37"/>
        <v>no</v>
      </c>
      <c r="Y100" s="58" t="str">
        <f t="shared" si="38"/>
        <v>no</v>
      </c>
      <c r="Z100" s="59" t="str">
        <f t="shared" si="39"/>
        <v>範圍外</v>
      </c>
      <c r="AA100" s="56"/>
      <c r="AC100" s="94">
        <v>5</v>
      </c>
      <c r="AD100" s="86" t="e">
        <f t="shared" si="40"/>
        <v>#VALUE!</v>
      </c>
      <c r="AE100" s="86" t="e">
        <f t="shared" si="41"/>
        <v>#VALUE!</v>
      </c>
      <c r="AF100" s="86" t="e">
        <f t="shared" si="42"/>
        <v>#VALUE!</v>
      </c>
      <c r="AG100" s="86" t="e">
        <f t="shared" si="43"/>
        <v>#VALUE!</v>
      </c>
      <c r="AH100" s="86" t="e">
        <f t="shared" si="44"/>
        <v>#VALUE!</v>
      </c>
      <c r="AI100" s="87" t="e">
        <f t="shared" si="45"/>
        <v>#VALUE!</v>
      </c>
      <c r="AJ100" s="84"/>
    </row>
    <row r="101" spans="11:36" x14ac:dyDescent="0.3">
      <c r="K101" s="81">
        <v>6</v>
      </c>
      <c r="L101" s="71" t="str">
        <f t="shared" si="46"/>
        <v>yes</v>
      </c>
      <c r="M101" s="71" t="str">
        <f t="shared" si="47"/>
        <v>no</v>
      </c>
      <c r="N101" s="71" t="str">
        <f t="shared" si="48"/>
        <v>no</v>
      </c>
      <c r="O101" s="71" t="str">
        <f t="shared" si="49"/>
        <v>no</v>
      </c>
      <c r="P101" s="71" t="str">
        <f t="shared" si="50"/>
        <v>no</v>
      </c>
      <c r="Q101" s="72">
        <f t="shared" si="33"/>
        <v>0.98599027706375486</v>
      </c>
      <c r="R101" s="55"/>
      <c r="T101" s="68">
        <v>6</v>
      </c>
      <c r="U101" s="58" t="str">
        <f t="shared" si="34"/>
        <v>yes</v>
      </c>
      <c r="V101" s="58" t="str">
        <f t="shared" si="35"/>
        <v>no</v>
      </c>
      <c r="W101" s="58" t="str">
        <f t="shared" si="36"/>
        <v>no</v>
      </c>
      <c r="X101" s="58" t="str">
        <f t="shared" si="37"/>
        <v>no</v>
      </c>
      <c r="Y101" s="58" t="str">
        <f t="shared" si="38"/>
        <v>no</v>
      </c>
      <c r="Z101" s="59">
        <f t="shared" si="39"/>
        <v>0.98581744201288113</v>
      </c>
      <c r="AA101" s="56"/>
      <c r="AC101" s="95">
        <v>6</v>
      </c>
      <c r="AD101" s="86" t="str">
        <f t="shared" si="40"/>
        <v>yes</v>
      </c>
      <c r="AE101" s="86" t="str">
        <f t="shared" si="41"/>
        <v>no</v>
      </c>
      <c r="AF101" s="86" t="str">
        <f t="shared" si="42"/>
        <v>no</v>
      </c>
      <c r="AG101" s="86" t="str">
        <f t="shared" si="43"/>
        <v>no</v>
      </c>
      <c r="AH101" s="86" t="str">
        <f t="shared" si="44"/>
        <v>no</v>
      </c>
      <c r="AI101" s="87">
        <f t="shared" si="45"/>
        <v>0.98598348090961796</v>
      </c>
      <c r="AJ101" s="84"/>
    </row>
    <row r="102" spans="11:36" x14ac:dyDescent="0.3">
      <c r="K102" s="80">
        <v>7</v>
      </c>
      <c r="L102" s="71" t="str">
        <f t="shared" si="46"/>
        <v>yes</v>
      </c>
      <c r="M102" s="71" t="str">
        <f t="shared" si="47"/>
        <v>no</v>
      </c>
      <c r="N102" s="71" t="str">
        <f t="shared" si="48"/>
        <v>no</v>
      </c>
      <c r="O102" s="71" t="str">
        <f t="shared" si="49"/>
        <v>no</v>
      </c>
      <c r="P102" s="71" t="str">
        <f t="shared" si="50"/>
        <v>no</v>
      </c>
      <c r="Q102" s="72">
        <f t="shared" si="33"/>
        <v>0.98823660662604873</v>
      </c>
      <c r="R102" s="55"/>
      <c r="T102" s="67">
        <v>7</v>
      </c>
      <c r="U102" s="58" t="str">
        <f t="shared" si="34"/>
        <v>yes</v>
      </c>
      <c r="V102" s="58" t="str">
        <f t="shared" si="35"/>
        <v>no</v>
      </c>
      <c r="W102" s="58" t="str">
        <f t="shared" si="36"/>
        <v>no</v>
      </c>
      <c r="X102" s="58" t="str">
        <f t="shared" si="37"/>
        <v>no</v>
      </c>
      <c r="Y102" s="58" t="str">
        <f t="shared" si="38"/>
        <v>no</v>
      </c>
      <c r="Z102" s="59">
        <f t="shared" si="39"/>
        <v>0.98804157840100881</v>
      </c>
      <c r="AA102" s="56"/>
      <c r="AC102" s="94">
        <v>7</v>
      </c>
      <c r="AD102" s="86" t="str">
        <f t="shared" si="40"/>
        <v>yes</v>
      </c>
      <c r="AE102" s="86" t="str">
        <f t="shared" si="41"/>
        <v>no</v>
      </c>
      <c r="AF102" s="86" t="str">
        <f t="shared" si="42"/>
        <v>no</v>
      </c>
      <c r="AG102" s="86" t="str">
        <f t="shared" si="43"/>
        <v>no</v>
      </c>
      <c r="AH102" s="86" t="str">
        <f t="shared" si="44"/>
        <v>no</v>
      </c>
      <c r="AI102" s="87">
        <f t="shared" si="45"/>
        <v>0.9882307157413559</v>
      </c>
      <c r="AJ102" s="84"/>
    </row>
    <row r="103" spans="11:36" x14ac:dyDescent="0.3">
      <c r="K103" s="80">
        <v>8</v>
      </c>
      <c r="L103" s="71" t="str">
        <f t="shared" si="46"/>
        <v>yes</v>
      </c>
      <c r="M103" s="71" t="str">
        <f t="shared" si="47"/>
        <v>no</v>
      </c>
      <c r="N103" s="71" t="str">
        <f t="shared" si="48"/>
        <v>no</v>
      </c>
      <c r="O103" s="71" t="str">
        <f t="shared" si="49"/>
        <v>no</v>
      </c>
      <c r="P103" s="71" t="str">
        <f t="shared" si="50"/>
        <v>no</v>
      </c>
      <c r="Q103" s="72">
        <f t="shared" si="33"/>
        <v>0.98987426252284261</v>
      </c>
      <c r="R103" s="55"/>
      <c r="T103" s="67">
        <v>8</v>
      </c>
      <c r="U103" s="58" t="str">
        <f t="shared" si="34"/>
        <v>yes</v>
      </c>
      <c r="V103" s="58" t="str">
        <f t="shared" si="35"/>
        <v>no</v>
      </c>
      <c r="W103" s="58" t="str">
        <f t="shared" si="36"/>
        <v>no</v>
      </c>
      <c r="X103" s="58" t="str">
        <f t="shared" si="37"/>
        <v>no</v>
      </c>
      <c r="Y103" s="58" t="str">
        <f t="shared" si="38"/>
        <v>no</v>
      </c>
      <c r="Z103" s="59">
        <f t="shared" si="39"/>
        <v>0.98967158755817231</v>
      </c>
      <c r="AA103" s="56"/>
      <c r="AC103" s="94">
        <v>8</v>
      </c>
      <c r="AD103" s="86" t="str">
        <f t="shared" si="40"/>
        <v>yes</v>
      </c>
      <c r="AE103" s="86" t="str">
        <f t="shared" si="41"/>
        <v>no</v>
      </c>
      <c r="AF103" s="86" t="str">
        <f t="shared" si="42"/>
        <v>no</v>
      </c>
      <c r="AG103" s="86" t="str">
        <f t="shared" si="43"/>
        <v>no</v>
      </c>
      <c r="AH103" s="86" t="str">
        <f t="shared" si="44"/>
        <v>no</v>
      </c>
      <c r="AI103" s="87">
        <f t="shared" si="45"/>
        <v>0.98986959492367244</v>
      </c>
      <c r="AJ103" s="84"/>
    </row>
    <row r="104" spans="11:36" x14ac:dyDescent="0.3">
      <c r="K104" s="81">
        <v>9</v>
      </c>
      <c r="L104" s="71" t="str">
        <f t="shared" si="46"/>
        <v>no</v>
      </c>
      <c r="M104" s="71" t="str">
        <f t="shared" si="47"/>
        <v>no</v>
      </c>
      <c r="N104" s="71" t="str">
        <f t="shared" si="48"/>
        <v>no</v>
      </c>
      <c r="O104" s="71" t="str">
        <f t="shared" si="49"/>
        <v>no</v>
      </c>
      <c r="P104" s="71" t="str">
        <f t="shared" si="50"/>
        <v>no</v>
      </c>
      <c r="Q104" s="72" t="str">
        <f t="shared" si="33"/>
        <v>範圍外</v>
      </c>
      <c r="R104" s="55"/>
      <c r="T104" s="68">
        <v>9</v>
      </c>
      <c r="U104" s="58" t="e">
        <f t="shared" si="34"/>
        <v>#VALUE!</v>
      </c>
      <c r="V104" s="58" t="e">
        <f t="shared" si="35"/>
        <v>#VALUE!</v>
      </c>
      <c r="W104" s="58" t="e">
        <f t="shared" si="36"/>
        <v>#VALUE!</v>
      </c>
      <c r="X104" s="58" t="e">
        <f t="shared" si="37"/>
        <v>#VALUE!</v>
      </c>
      <c r="Y104" s="58" t="e">
        <f t="shared" si="38"/>
        <v>#VALUE!</v>
      </c>
      <c r="Z104" s="59" t="e">
        <f t="shared" si="39"/>
        <v>#VALUE!</v>
      </c>
      <c r="AA104" s="56"/>
      <c r="AC104" s="95">
        <v>9</v>
      </c>
      <c r="AD104" s="86" t="e">
        <f t="shared" si="40"/>
        <v>#VALUE!</v>
      </c>
      <c r="AE104" s="86" t="e">
        <f t="shared" si="41"/>
        <v>#VALUE!</v>
      </c>
      <c r="AF104" s="86" t="e">
        <f t="shared" si="42"/>
        <v>#VALUE!</v>
      </c>
      <c r="AG104" s="86" t="e">
        <f t="shared" si="43"/>
        <v>#VALUE!</v>
      </c>
      <c r="AH104" s="86" t="e">
        <f t="shared" si="44"/>
        <v>#VALUE!</v>
      </c>
      <c r="AI104" s="87" t="e">
        <f t="shared" si="45"/>
        <v>#VALUE!</v>
      </c>
      <c r="AJ104" s="84"/>
    </row>
    <row r="105" spans="11:36" ht="16.8" thickBot="1" x14ac:dyDescent="0.35">
      <c r="K105" s="82">
        <v>10</v>
      </c>
      <c r="L105" s="83" t="str">
        <f t="shared" si="46"/>
        <v>no</v>
      </c>
      <c r="M105" s="83" t="str">
        <f t="shared" si="47"/>
        <v>no</v>
      </c>
      <c r="N105" s="83" t="str">
        <f t="shared" si="48"/>
        <v>no</v>
      </c>
      <c r="O105" s="83" t="str">
        <f t="shared" si="49"/>
        <v>no</v>
      </c>
      <c r="P105" s="83" t="str">
        <f t="shared" si="50"/>
        <v>no</v>
      </c>
      <c r="Q105" s="72" t="str">
        <f t="shared" si="33"/>
        <v>範圍外</v>
      </c>
      <c r="R105" s="55"/>
      <c r="T105" s="69">
        <v>10</v>
      </c>
      <c r="U105" s="58" t="e">
        <f t="shared" si="34"/>
        <v>#VALUE!</v>
      </c>
      <c r="V105" s="58" t="e">
        <f t="shared" si="35"/>
        <v>#VALUE!</v>
      </c>
      <c r="W105" s="58" t="e">
        <f t="shared" si="36"/>
        <v>#VALUE!</v>
      </c>
      <c r="X105" s="58" t="e">
        <f t="shared" si="37"/>
        <v>#VALUE!</v>
      </c>
      <c r="Y105" s="58" t="e">
        <f t="shared" si="38"/>
        <v>#VALUE!</v>
      </c>
      <c r="Z105" s="59" t="e">
        <f t="shared" si="39"/>
        <v>#VALUE!</v>
      </c>
      <c r="AA105" s="56"/>
      <c r="AC105" s="96">
        <v>10</v>
      </c>
      <c r="AD105" s="86" t="e">
        <f t="shared" si="40"/>
        <v>#VALUE!</v>
      </c>
      <c r="AE105" s="86" t="e">
        <f t="shared" si="41"/>
        <v>#VALUE!</v>
      </c>
      <c r="AF105" s="86" t="e">
        <f t="shared" si="42"/>
        <v>#VALUE!</v>
      </c>
      <c r="AG105" s="86" t="e">
        <f t="shared" si="43"/>
        <v>#VALUE!</v>
      </c>
      <c r="AH105" s="86" t="e">
        <f t="shared" si="44"/>
        <v>#VALUE!</v>
      </c>
      <c r="AI105" s="87" t="e">
        <f t="shared" si="45"/>
        <v>#VALUE!</v>
      </c>
      <c r="AJ105" s="84"/>
    </row>
  </sheetData>
  <mergeCells count="53">
    <mergeCell ref="AF90:AG90"/>
    <mergeCell ref="AF91:AG91"/>
    <mergeCell ref="AF92:AG92"/>
    <mergeCell ref="AF93:AG93"/>
    <mergeCell ref="AF94:AG94"/>
    <mergeCell ref="N92:O92"/>
    <mergeCell ref="N93:O93"/>
    <mergeCell ref="N94:O94"/>
    <mergeCell ref="W90:X90"/>
    <mergeCell ref="W91:X91"/>
    <mergeCell ref="W92:X92"/>
    <mergeCell ref="W93:X93"/>
    <mergeCell ref="W94:X94"/>
    <mergeCell ref="K64:L64"/>
    <mergeCell ref="K63:L63"/>
    <mergeCell ref="N90:O90"/>
    <mergeCell ref="N91:O91"/>
    <mergeCell ref="A63:D65"/>
    <mergeCell ref="B66:D66"/>
    <mergeCell ref="B67:D67"/>
    <mergeCell ref="B68:E68"/>
    <mergeCell ref="D48:E48"/>
    <mergeCell ref="D49:E49"/>
    <mergeCell ref="M12:O16"/>
    <mergeCell ref="D45:E45"/>
    <mergeCell ref="D46:E46"/>
    <mergeCell ref="D47:E47"/>
    <mergeCell ref="B41:C41"/>
    <mergeCell ref="F28:I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B36:C36"/>
    <mergeCell ref="B37:C37"/>
    <mergeCell ref="B39:C39"/>
    <mergeCell ref="A15:C15"/>
    <mergeCell ref="F13:I15"/>
    <mergeCell ref="A28:D30"/>
    <mergeCell ref="B38:C38"/>
    <mergeCell ref="B40:C40"/>
    <mergeCell ref="B31:C31"/>
    <mergeCell ref="B32:C32"/>
    <mergeCell ref="B33:C33"/>
    <mergeCell ref="B34:C34"/>
    <mergeCell ref="B35:C35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K5" sqref="K5"/>
    </sheetView>
  </sheetViews>
  <sheetFormatPr defaultRowHeight="16.2" x14ac:dyDescent="0.3"/>
  <sheetData>
    <row r="1" spans="1:20" x14ac:dyDescent="0.3">
      <c r="A1">
        <v>1</v>
      </c>
      <c r="B1" s="10" t="s">
        <v>5</v>
      </c>
      <c r="C1" s="8" t="s">
        <v>6</v>
      </c>
      <c r="D1" s="8" t="s">
        <v>7</v>
      </c>
      <c r="E1" s="8" t="s">
        <v>0</v>
      </c>
      <c r="F1" s="8" t="s">
        <v>1</v>
      </c>
      <c r="G1" s="7" t="s">
        <v>122</v>
      </c>
      <c r="H1" s="7" t="s">
        <v>120</v>
      </c>
      <c r="I1" s="106" t="s">
        <v>121</v>
      </c>
      <c r="J1" s="18" t="s">
        <v>2</v>
      </c>
      <c r="K1" s="15">
        <v>768.7</v>
      </c>
      <c r="L1" s="9" t="s">
        <v>3</v>
      </c>
      <c r="Q1" t="s">
        <v>24</v>
      </c>
      <c r="R1" s="15">
        <v>23.3</v>
      </c>
      <c r="S1" t="s">
        <v>25</v>
      </c>
      <c r="T1" t="s">
        <v>25</v>
      </c>
    </row>
    <row r="2" spans="1:20" x14ac:dyDescent="0.3">
      <c r="B2" s="11">
        <v>1</v>
      </c>
      <c r="C2" s="5">
        <f>K2+H2</f>
        <v>102399.90460526317</v>
      </c>
      <c r="D2" s="5">
        <f>-(I2-$K$2)</f>
        <v>102369.90460526317</v>
      </c>
      <c r="E2" s="6">
        <f>C2/1000</f>
        <v>102.39990460526317</v>
      </c>
      <c r="F2" s="6">
        <f>D2/1000</f>
        <v>102.36990460526317</v>
      </c>
      <c r="G2" s="13">
        <v>30</v>
      </c>
      <c r="H2" s="13">
        <v>-85</v>
      </c>
      <c r="I2" s="14">
        <f>-H2+G2</f>
        <v>115</v>
      </c>
      <c r="J2" s="37" t="s">
        <v>40</v>
      </c>
      <c r="K2">
        <f>K1/760*101325</f>
        <v>102484.90460526317</v>
      </c>
      <c r="L2" t="s">
        <v>4</v>
      </c>
      <c r="Q2" t="s">
        <v>28</v>
      </c>
      <c r="R2">
        <v>64</v>
      </c>
      <c r="S2" t="s">
        <v>29</v>
      </c>
      <c r="T2" t="s">
        <v>29</v>
      </c>
    </row>
    <row r="3" spans="1:20" x14ac:dyDescent="0.3">
      <c r="B3" s="11">
        <v>2</v>
      </c>
      <c r="C3" s="5">
        <f>H3+K2</f>
        <v>102326.90460526317</v>
      </c>
      <c r="D3" s="5">
        <f t="shared" ref="D3:D11" si="0">-(I3-$K$2)</f>
        <v>102280.90460526317</v>
      </c>
      <c r="E3" s="6">
        <f t="shared" ref="E3:F11" si="1">C3/1000</f>
        <v>102.32690460526318</v>
      </c>
      <c r="F3" s="6">
        <f t="shared" si="1"/>
        <v>102.28090460526317</v>
      </c>
      <c r="G3" s="13">
        <v>46</v>
      </c>
      <c r="H3" s="13">
        <v>-158</v>
      </c>
      <c r="I3" s="14">
        <f t="shared" ref="I3:I6" si="2">-H3+G3</f>
        <v>204</v>
      </c>
      <c r="J3" s="19"/>
    </row>
    <row r="4" spans="1:20" x14ac:dyDescent="0.3">
      <c r="B4" s="11">
        <v>3</v>
      </c>
      <c r="C4" s="5">
        <f>H4+K2</f>
        <v>102237.90460526317</v>
      </c>
      <c r="D4" s="5">
        <f t="shared" si="0"/>
        <v>102166.90460526317</v>
      </c>
      <c r="E4" s="6">
        <f t="shared" si="1"/>
        <v>102.23790460526317</v>
      </c>
      <c r="F4" s="6">
        <f t="shared" si="1"/>
        <v>102.16690460526317</v>
      </c>
      <c r="G4" s="13">
        <v>71</v>
      </c>
      <c r="H4" s="13">
        <v>-247</v>
      </c>
      <c r="I4" s="14">
        <f t="shared" si="2"/>
        <v>318</v>
      </c>
      <c r="J4" s="18" t="s">
        <v>8</v>
      </c>
      <c r="K4" s="17">
        <v>0.2</v>
      </c>
      <c r="L4" s="16" t="s">
        <v>9</v>
      </c>
      <c r="M4" s="49" t="s">
        <v>85</v>
      </c>
      <c r="N4">
        <f>D2/C2</f>
        <v>0.99970703097707325</v>
      </c>
    </row>
    <row r="5" spans="1:20" x14ac:dyDescent="0.3">
      <c r="B5" s="11">
        <v>4</v>
      </c>
      <c r="C5" s="5">
        <f>H5+K2</f>
        <v>102126.90460526317</v>
      </c>
      <c r="D5" s="5">
        <f t="shared" si="0"/>
        <v>102026.90460526317</v>
      </c>
      <c r="E5" s="6">
        <f t="shared" si="1"/>
        <v>102.12690460526318</v>
      </c>
      <c r="F5" s="6">
        <f t="shared" si="1"/>
        <v>102.02690460526317</v>
      </c>
      <c r="G5" s="13">
        <v>100</v>
      </c>
      <c r="H5" s="13">
        <v>-358</v>
      </c>
      <c r="I5" s="14">
        <f t="shared" si="2"/>
        <v>458</v>
      </c>
      <c r="J5" s="18" t="s">
        <v>10</v>
      </c>
      <c r="K5" s="17">
        <v>0.14000000000000001</v>
      </c>
      <c r="L5" s="16" t="s">
        <v>9</v>
      </c>
    </row>
    <row r="6" spans="1:20" x14ac:dyDescent="0.3">
      <c r="B6" s="11">
        <v>5</v>
      </c>
      <c r="C6" s="5">
        <f>H6+K2</f>
        <v>101996.90460526317</v>
      </c>
      <c r="D6" s="5">
        <f t="shared" si="0"/>
        <v>101858.90460526317</v>
      </c>
      <c r="E6" s="6">
        <f t="shared" si="1"/>
        <v>101.99690460526317</v>
      </c>
      <c r="F6" s="6">
        <f t="shared" si="1"/>
        <v>101.85890460526318</v>
      </c>
      <c r="G6" s="13">
        <v>138</v>
      </c>
      <c r="H6" s="13">
        <v>-488</v>
      </c>
      <c r="I6" s="14">
        <f t="shared" si="2"/>
        <v>626</v>
      </c>
      <c r="J6" s="19"/>
    </row>
    <row r="7" spans="1:20" x14ac:dyDescent="0.3">
      <c r="B7" s="11">
        <v>6</v>
      </c>
      <c r="C7" s="5">
        <f>H7+K2</f>
        <v>101831.90460526317</v>
      </c>
      <c r="D7" s="5">
        <f t="shared" si="0"/>
        <v>101645.90460526317</v>
      </c>
      <c r="E7" s="6">
        <f t="shared" si="1"/>
        <v>101.83190460526318</v>
      </c>
      <c r="F7" s="6">
        <f t="shared" si="1"/>
        <v>101.64590460526317</v>
      </c>
      <c r="G7" s="13">
        <v>186</v>
      </c>
      <c r="H7" s="13">
        <f>-I7+G7</f>
        <v>-653</v>
      </c>
      <c r="I7" s="14">
        <v>839</v>
      </c>
      <c r="J7" s="18" t="s">
        <v>16</v>
      </c>
      <c r="K7" s="15">
        <v>1.4</v>
      </c>
      <c r="L7" t="s">
        <v>34</v>
      </c>
    </row>
    <row r="8" spans="1:20" x14ac:dyDescent="0.3">
      <c r="B8" s="11">
        <v>7</v>
      </c>
      <c r="C8" s="5">
        <f>H8+K2</f>
        <v>101661.90460526317</v>
      </c>
      <c r="D8" s="5">
        <f t="shared" si="0"/>
        <v>101416.90460526317</v>
      </c>
      <c r="E8" s="6">
        <f t="shared" si="1"/>
        <v>101.66190460526317</v>
      </c>
      <c r="F8" s="6">
        <f t="shared" si="1"/>
        <v>101.41690460526317</v>
      </c>
      <c r="G8" s="13">
        <v>245</v>
      </c>
      <c r="H8" s="13">
        <f t="shared" ref="H8:H11" si="3">-I8+G8</f>
        <v>-823</v>
      </c>
      <c r="I8" s="14">
        <v>1068</v>
      </c>
      <c r="J8" s="18" t="s">
        <v>17</v>
      </c>
      <c r="K8">
        <f>K5/K4</f>
        <v>0.70000000000000007</v>
      </c>
    </row>
    <row r="9" spans="1:20" x14ac:dyDescent="0.3">
      <c r="B9" s="11">
        <v>8</v>
      </c>
      <c r="C9" s="5">
        <f>H9+K2</f>
        <v>101486.90460526317</v>
      </c>
      <c r="D9" s="5">
        <f t="shared" si="0"/>
        <v>101180.90460526317</v>
      </c>
      <c r="E9" s="6">
        <f t="shared" si="1"/>
        <v>101.48690460526318</v>
      </c>
      <c r="F9" s="6">
        <f t="shared" si="1"/>
        <v>101.18090460526318</v>
      </c>
      <c r="G9" s="13">
        <v>306</v>
      </c>
      <c r="H9" s="13">
        <f t="shared" si="3"/>
        <v>-998</v>
      </c>
      <c r="I9" s="14">
        <v>1304</v>
      </c>
      <c r="M9">
        <v>0.28699999999999998</v>
      </c>
    </row>
    <row r="10" spans="1:20" ht="18.600000000000001" x14ac:dyDescent="0.3">
      <c r="B10" s="11">
        <v>9</v>
      </c>
      <c r="C10" s="5">
        <f>H10+K2</f>
        <v>101304.90460526317</v>
      </c>
      <c r="D10" s="5">
        <f t="shared" si="0"/>
        <v>100926.90460526317</v>
      </c>
      <c r="E10" s="6">
        <f t="shared" si="1"/>
        <v>101.30490460526318</v>
      </c>
      <c r="F10" s="6">
        <f t="shared" si="1"/>
        <v>100.92690460526318</v>
      </c>
      <c r="G10" s="13">
        <v>378</v>
      </c>
      <c r="H10" s="13">
        <f t="shared" si="3"/>
        <v>-1180</v>
      </c>
      <c r="I10" s="14">
        <v>1558</v>
      </c>
      <c r="J10" s="18" t="s">
        <v>11</v>
      </c>
      <c r="K10" s="15" t="s">
        <v>14</v>
      </c>
      <c r="L10" t="s">
        <v>13</v>
      </c>
    </row>
    <row r="11" spans="1:20" ht="19.2" thickBot="1" x14ac:dyDescent="0.35">
      <c r="B11" s="12">
        <v>10</v>
      </c>
      <c r="C11" s="97">
        <f>H11+K2</f>
        <v>101099.90460526317</v>
      </c>
      <c r="D11" s="5">
        <f t="shared" si="0"/>
        <v>100642.90460526317</v>
      </c>
      <c r="E11" s="98">
        <f t="shared" si="1"/>
        <v>101.09990460526318</v>
      </c>
      <c r="F11" s="98">
        <f t="shared" si="1"/>
        <v>100.64290460526317</v>
      </c>
      <c r="G11" s="99">
        <v>457</v>
      </c>
      <c r="H11" s="13">
        <f t="shared" si="3"/>
        <v>-1385</v>
      </c>
      <c r="I11" s="14">
        <v>1842</v>
      </c>
      <c r="J11" s="18" t="s">
        <v>12</v>
      </c>
      <c r="K11" s="107">
        <v>1.8E-5</v>
      </c>
      <c r="L11" t="s">
        <v>15</v>
      </c>
    </row>
    <row r="12" spans="1:20" ht="16.8" thickBot="1" x14ac:dyDescent="0.35">
      <c r="A12" s="1"/>
      <c r="B12" s="1"/>
      <c r="C12" s="1"/>
      <c r="D12" s="1"/>
      <c r="E12" s="1"/>
      <c r="F12" s="1"/>
      <c r="G12" s="1"/>
      <c r="J12" s="18" t="s">
        <v>19</v>
      </c>
      <c r="K12">
        <f>K14/K13</f>
        <v>0.28868055555555555</v>
      </c>
      <c r="L12" t="s">
        <v>23</v>
      </c>
      <c r="M12" s="124" t="s">
        <v>21</v>
      </c>
      <c r="N12" s="125"/>
      <c r="O12" s="126"/>
    </row>
    <row r="13" spans="1:20" x14ac:dyDescent="0.3">
      <c r="F13" s="113"/>
      <c r="G13" s="114"/>
      <c r="H13" s="114"/>
      <c r="I13" s="115"/>
      <c r="J13" s="18" t="s">
        <v>20</v>
      </c>
      <c r="K13" s="15">
        <v>28.8</v>
      </c>
      <c r="M13" s="127"/>
      <c r="N13" s="128"/>
      <c r="O13" s="129"/>
    </row>
    <row r="14" spans="1:20" ht="16.8" thickBot="1" x14ac:dyDescent="0.35">
      <c r="A14">
        <v>2</v>
      </c>
      <c r="F14" s="116"/>
      <c r="G14" s="117"/>
      <c r="H14" s="117"/>
      <c r="I14" s="118"/>
      <c r="J14" s="18" t="s">
        <v>22</v>
      </c>
      <c r="K14" s="15">
        <v>8.3140000000000001</v>
      </c>
      <c r="L14" t="s">
        <v>23</v>
      </c>
      <c r="M14" s="127"/>
      <c r="N14" s="128"/>
      <c r="O14" s="129"/>
    </row>
    <row r="15" spans="1:20" ht="16.8" thickBot="1" x14ac:dyDescent="0.35">
      <c r="A15" s="113" t="s">
        <v>18</v>
      </c>
      <c r="B15" s="114"/>
      <c r="C15" s="115"/>
      <c r="D15" s="26" t="s">
        <v>33</v>
      </c>
      <c r="E15" s="27" t="s">
        <v>37</v>
      </c>
      <c r="F15" s="119"/>
      <c r="G15" s="120"/>
      <c r="H15" s="120"/>
      <c r="I15" s="121"/>
      <c r="J15" s="18" t="s">
        <v>26</v>
      </c>
      <c r="K15">
        <f>R1+273.15</f>
        <v>296.45</v>
      </c>
      <c r="L15" t="s">
        <v>27</v>
      </c>
      <c r="M15" s="127"/>
      <c r="N15" s="128"/>
      <c r="O15" s="129"/>
    </row>
    <row r="16" spans="1:20" ht="16.8" thickBot="1" x14ac:dyDescent="0.35">
      <c r="A16" s="24" t="s">
        <v>32</v>
      </c>
      <c r="B16" s="20" t="s">
        <v>30</v>
      </c>
      <c r="C16" s="21" t="s">
        <v>31</v>
      </c>
      <c r="D16" s="28" t="s">
        <v>35</v>
      </c>
      <c r="E16" s="29" t="s">
        <v>36</v>
      </c>
      <c r="F16" s="22" t="s">
        <v>35</v>
      </c>
      <c r="G16" s="36" t="s">
        <v>38</v>
      </c>
      <c r="H16" s="1"/>
      <c r="I16" s="2"/>
      <c r="J16" s="25"/>
      <c r="M16" s="130"/>
      <c r="N16" s="131"/>
      <c r="O16" s="132"/>
    </row>
    <row r="17" spans="1:19" ht="18.600000000000001" x14ac:dyDescent="0.3">
      <c r="A17" s="22">
        <v>1</v>
      </c>
      <c r="B17" s="1">
        <f>E2/K12/K15</f>
        <v>1.196549211630215</v>
      </c>
      <c r="C17" s="2">
        <f>F2/K12/K15</f>
        <v>1.1961986597767997</v>
      </c>
      <c r="D17" s="28">
        <v>1</v>
      </c>
      <c r="E17" s="30">
        <f t="shared" ref="E17:E26" si="4">D2/C2</f>
        <v>0.99970703097707325</v>
      </c>
      <c r="F17" s="22">
        <v>1</v>
      </c>
      <c r="G17" s="1">
        <f>((($K$7*E17^(2/$K$7))/($K$7-1))*((1-$K$8^4)/(1-$K$8^4*(E17^(2/$K$7))))*((1-E17^(($K$7-1)/$K$7))/(1-E17)))^(1/2)</f>
        <v>0.99977694160220998</v>
      </c>
      <c r="H17" s="1"/>
      <c r="I17" s="2"/>
      <c r="J17" s="44" t="s">
        <v>44</v>
      </c>
      <c r="K17" s="137">
        <v>1.5E-5</v>
      </c>
      <c r="L17" s="137"/>
      <c r="M17" t="s">
        <v>45</v>
      </c>
    </row>
    <row r="18" spans="1:19" ht="18.600000000000001" x14ac:dyDescent="0.3">
      <c r="A18" s="22">
        <v>2</v>
      </c>
      <c r="B18" s="1">
        <f>E3/K12/K15</f>
        <v>1.1956962021202382</v>
      </c>
      <c r="C18" s="2">
        <f>F3/K12/K15</f>
        <v>1.1951586892783348</v>
      </c>
      <c r="D18" s="31">
        <v>2</v>
      </c>
      <c r="E18" s="30">
        <f t="shared" si="4"/>
        <v>0.99955046035861783</v>
      </c>
      <c r="F18" s="22">
        <v>2</v>
      </c>
      <c r="G18" s="1">
        <f t="shared" ref="G18:G26" si="5">((($K$7*E18^(2/$K$7))/($K$7-1))*((1-$K$8^4)/(1-$K$8^4*(E18^(2/$K$7))))*((1-E18^(($K$7-1)/$K$7))/(1-E18)))^(1/2)</f>
        <v>0.9996577403073027</v>
      </c>
      <c r="H18" s="1"/>
      <c r="I18" s="2"/>
      <c r="J18" s="18" t="s">
        <v>81</v>
      </c>
      <c r="K18">
        <f>(3.14159*K4^2)/4</f>
        <v>3.1415900000000004E-2</v>
      </c>
      <c r="L18" t="s">
        <v>82</v>
      </c>
    </row>
    <row r="19" spans="1:19" ht="18.600000000000001" x14ac:dyDescent="0.3">
      <c r="A19" s="22">
        <v>3</v>
      </c>
      <c r="B19" s="1">
        <f>E4/K12/K15</f>
        <v>1.1946562316217733</v>
      </c>
      <c r="C19" s="2">
        <f>F4/K12/K15</f>
        <v>1.1938265922353575</v>
      </c>
      <c r="D19" s="31">
        <v>3</v>
      </c>
      <c r="E19" s="30">
        <f t="shared" si="4"/>
        <v>0.99930554132272054</v>
      </c>
      <c r="F19" s="22">
        <v>3</v>
      </c>
      <c r="G19" s="1">
        <f t="shared" si="5"/>
        <v>0.99947128708311084</v>
      </c>
      <c r="H19" s="1"/>
      <c r="I19" s="2"/>
      <c r="J19" s="18" t="s">
        <v>86</v>
      </c>
      <c r="K19">
        <f>(K2/1000)/$K$15/$K$12</f>
        <v>1.1975424418815575</v>
      </c>
      <c r="L19" t="s">
        <v>110</v>
      </c>
      <c r="M19" s="133" t="s">
        <v>115</v>
      </c>
      <c r="N19" s="133"/>
      <c r="O19" s="133"/>
      <c r="P19" s="133"/>
      <c r="Q19" s="133"/>
      <c r="R19" s="133"/>
      <c r="S19" s="133"/>
    </row>
    <row r="20" spans="1:19" ht="18.600000000000001" x14ac:dyDescent="0.3">
      <c r="A20" s="22">
        <v>4</v>
      </c>
      <c r="B20" s="1">
        <f>E5/K12/K15</f>
        <v>1.1933591897641374</v>
      </c>
      <c r="C20" s="2">
        <f>F5/K12/K15</f>
        <v>1.1921906835860867</v>
      </c>
      <c r="D20" s="31">
        <v>4</v>
      </c>
      <c r="E20" s="30">
        <f t="shared" si="4"/>
        <v>0.99902082609488152</v>
      </c>
      <c r="F20" s="22">
        <v>4</v>
      </c>
      <c r="G20" s="1">
        <f t="shared" si="5"/>
        <v>0.99925455296650079</v>
      </c>
      <c r="H20" s="1"/>
      <c r="I20" s="2"/>
      <c r="J20" s="18" t="s">
        <v>111</v>
      </c>
      <c r="K20">
        <f>(3.14159*K5^2)/4</f>
        <v>1.5393791000000002E-2</v>
      </c>
      <c r="L20" t="s">
        <v>112</v>
      </c>
    </row>
    <row r="21" spans="1:19" x14ac:dyDescent="0.3">
      <c r="A21" s="22">
        <v>5</v>
      </c>
      <c r="B21" s="1">
        <f>E6/K12/K15</f>
        <v>1.1918401317326717</v>
      </c>
      <c r="C21" s="2">
        <f>F6/K12/K15</f>
        <v>1.1902275932069621</v>
      </c>
      <c r="D21" s="31">
        <v>5</v>
      </c>
      <c r="E21" s="30">
        <f t="shared" si="4"/>
        <v>0.99864701776456777</v>
      </c>
      <c r="F21" s="22">
        <v>5</v>
      </c>
      <c r="G21" s="1">
        <f t="shared" si="5"/>
        <v>0.9989700234345994</v>
      </c>
      <c r="H21" s="1"/>
      <c r="I21" s="2"/>
    </row>
    <row r="22" spans="1:19" x14ac:dyDescent="0.3">
      <c r="A22" s="22">
        <v>6</v>
      </c>
      <c r="B22" s="1">
        <f>E7/K12/K15</f>
        <v>1.1899120965388885</v>
      </c>
      <c r="C22" s="2">
        <f>F7/K12/K15</f>
        <v>1.1877386750477148</v>
      </c>
      <c r="D22" s="31">
        <v>6</v>
      </c>
      <c r="E22" s="30">
        <f t="shared" si="4"/>
        <v>0.99817346046191513</v>
      </c>
      <c r="F22" s="22">
        <v>6</v>
      </c>
      <c r="G22" s="1">
        <f t="shared" si="5"/>
        <v>0.99860960929115461</v>
      </c>
      <c r="H22" s="1"/>
      <c r="I22" s="2"/>
    </row>
    <row r="23" spans="1:19" x14ac:dyDescent="0.3">
      <c r="A23" s="22">
        <v>7</v>
      </c>
      <c r="B23" s="1">
        <f>E8/K12/K15</f>
        <v>1.1879256360362029</v>
      </c>
      <c r="C23" s="2">
        <f>F8/K12/K15</f>
        <v>1.1850627958999795</v>
      </c>
      <c r="D23" s="31">
        <v>7</v>
      </c>
      <c r="E23" s="30">
        <f t="shared" si="4"/>
        <v>0.99759005105254228</v>
      </c>
      <c r="F23" s="22">
        <v>7</v>
      </c>
      <c r="G23" s="1">
        <f t="shared" si="5"/>
        <v>0.99816565156919534</v>
      </c>
      <c r="H23" s="1"/>
      <c r="I23" s="2"/>
    </row>
    <row r="24" spans="1:19" x14ac:dyDescent="0.3">
      <c r="A24" s="22">
        <v>8</v>
      </c>
      <c r="B24" s="1">
        <f>E9/K12/K15</f>
        <v>1.1858807502246147</v>
      </c>
      <c r="C24" s="2">
        <f>F9/K12/K15</f>
        <v>1.1823051213197804</v>
      </c>
      <c r="D24" s="31">
        <v>8</v>
      </c>
      <c r="E24" s="30">
        <f t="shared" si="4"/>
        <v>0.99698483266200499</v>
      </c>
      <c r="F24" s="22">
        <v>8</v>
      </c>
      <c r="G24" s="1">
        <f t="shared" si="5"/>
        <v>0.99770517052821339</v>
      </c>
      <c r="H24" s="1"/>
      <c r="I24" s="2"/>
    </row>
    <row r="25" spans="1:19" x14ac:dyDescent="0.3">
      <c r="A25" s="22">
        <v>9</v>
      </c>
      <c r="B25" s="1">
        <f>E10/K12/K15</f>
        <v>1.183754068980563</v>
      </c>
      <c r="C25" s="2">
        <f>F10/K12/K15</f>
        <v>1.1793371156275323</v>
      </c>
      <c r="D25" s="31">
        <v>9</v>
      </c>
      <c r="E25" s="30">
        <f t="shared" si="4"/>
        <v>0.99626869003556262</v>
      </c>
      <c r="F25" s="22">
        <v>9</v>
      </c>
      <c r="G25" s="1">
        <f t="shared" si="5"/>
        <v>0.99716038799824347</v>
      </c>
      <c r="H25" s="1"/>
      <c r="I25" s="2"/>
    </row>
    <row r="26" spans="1:19" ht="16.8" thickBot="1" x14ac:dyDescent="0.35">
      <c r="A26" s="23">
        <v>10</v>
      </c>
      <c r="B26" s="3">
        <f>E11/K12/K15</f>
        <v>1.1813586313155597</v>
      </c>
      <c r="C26" s="4">
        <f>F11/K12/K15</f>
        <v>1.1760185580818694</v>
      </c>
      <c r="D26" s="32">
        <v>10</v>
      </c>
      <c r="E26" s="33">
        <f t="shared" si="4"/>
        <v>0.99547971878129538</v>
      </c>
      <c r="F26" s="23">
        <v>10</v>
      </c>
      <c r="G26" s="1">
        <f t="shared" si="5"/>
        <v>0.99656032266587691</v>
      </c>
      <c r="H26" s="3"/>
      <c r="I26" s="4"/>
    </row>
    <row r="27" spans="1:19" x14ac:dyDescent="0.3">
      <c r="A27" s="52"/>
    </row>
    <row r="28" spans="1:19" ht="16.8" thickBot="1" x14ac:dyDescent="0.35">
      <c r="A28" s="100">
        <v>3</v>
      </c>
      <c r="F28" s="100">
        <v>4</v>
      </c>
      <c r="K28" s="52"/>
    </row>
    <row r="29" spans="1:19" x14ac:dyDescent="0.3">
      <c r="A29" s="138"/>
      <c r="B29" s="139"/>
      <c r="C29" s="139"/>
      <c r="D29" s="140"/>
      <c r="F29" s="113"/>
      <c r="G29" s="114"/>
      <c r="H29" s="114"/>
      <c r="I29" s="114"/>
      <c r="J29" s="114"/>
      <c r="K29" s="114"/>
      <c r="L29" s="114"/>
      <c r="M29" s="114"/>
      <c r="N29" s="114"/>
      <c r="O29" s="115"/>
    </row>
    <row r="30" spans="1:19" x14ac:dyDescent="0.3">
      <c r="A30" s="141"/>
      <c r="B30" s="142"/>
      <c r="C30" s="142"/>
      <c r="D30" s="143"/>
      <c r="F30" s="116"/>
      <c r="G30" s="117"/>
      <c r="H30" s="117"/>
      <c r="I30" s="117"/>
      <c r="J30" s="117"/>
      <c r="K30" s="117"/>
      <c r="L30" s="117"/>
      <c r="M30" s="117"/>
      <c r="N30" s="117"/>
      <c r="O30" s="118"/>
    </row>
    <row r="31" spans="1:19" x14ac:dyDescent="0.3">
      <c r="A31" s="141"/>
      <c r="B31" s="142"/>
      <c r="C31" s="142"/>
      <c r="D31" s="143"/>
      <c r="F31" s="116"/>
      <c r="G31" s="117"/>
      <c r="H31" s="117"/>
      <c r="I31" s="117"/>
      <c r="J31" s="117"/>
      <c r="K31" s="117"/>
      <c r="L31" s="117"/>
      <c r="M31" s="117"/>
      <c r="N31" s="117"/>
      <c r="O31" s="118"/>
    </row>
    <row r="32" spans="1:19" x14ac:dyDescent="0.3">
      <c r="A32" s="34" t="s">
        <v>113</v>
      </c>
      <c r="B32" s="105" t="s">
        <v>114</v>
      </c>
      <c r="C32" s="1"/>
      <c r="D32" s="2"/>
      <c r="F32" s="34" t="s">
        <v>113</v>
      </c>
      <c r="G32" s="1" t="s">
        <v>116</v>
      </c>
      <c r="H32" s="1"/>
      <c r="I32" s="1"/>
      <c r="J32" s="35" t="s">
        <v>113</v>
      </c>
      <c r="K32" s="101" t="s">
        <v>117</v>
      </c>
      <c r="L32" s="101" t="s">
        <v>117</v>
      </c>
      <c r="M32" s="1"/>
      <c r="N32" s="1"/>
      <c r="O32" s="2"/>
    </row>
    <row r="33" spans="1:15" x14ac:dyDescent="0.3">
      <c r="A33" s="34">
        <v>1</v>
      </c>
      <c r="B33" s="103">
        <f>0.98*$K$20*(2*G2/($K$19*(1-$K$8^4)))^(1/2)</f>
        <v>0.12249647950962878</v>
      </c>
      <c r="C33" s="1"/>
      <c r="D33" s="2"/>
      <c r="F33" s="34">
        <v>1</v>
      </c>
      <c r="G33" s="1">
        <f>0.98*$K$20*(2*G2/(C17*(1-$K$8^4)))^(1/2)</f>
        <v>0.12256526506305265</v>
      </c>
      <c r="H33" s="1"/>
      <c r="I33" s="1"/>
      <c r="J33" s="35">
        <v>1</v>
      </c>
      <c r="K33" s="1">
        <f>G33*C17</f>
        <v>0.14661240580361179</v>
      </c>
      <c r="L33" s="1">
        <f>0.98*$K$20*(2*G2*C17/(1-$K$8^4))^(1/2)</f>
        <v>0.14661240580361179</v>
      </c>
      <c r="M33" s="1"/>
      <c r="N33" s="1"/>
      <c r="O33" s="2"/>
    </row>
    <row r="34" spans="1:15" x14ac:dyDescent="0.3">
      <c r="A34" s="34">
        <v>2</v>
      </c>
      <c r="B34" s="103">
        <f t="shared" ref="B34:B42" si="6">0.98*$K$20*(2*G3/($K$19*(1-$K$8^4)))^(1/2)</f>
        <v>0.15168474155779299</v>
      </c>
      <c r="C34" s="1"/>
      <c r="D34" s="2"/>
      <c r="F34" s="34">
        <v>2</v>
      </c>
      <c r="G34" s="1">
        <f t="shared" ref="G34:G42" si="7">0.98*$K$20*(2*G3/(C18*(1-$K$8^4)))^(1/2)</f>
        <v>0.15183593436065906</v>
      </c>
      <c r="H34" s="1"/>
      <c r="I34" s="1"/>
      <c r="J34" s="35">
        <v>2</v>
      </c>
      <c r="K34" s="1">
        <f t="shared" ref="K34:K42" si="8">G34*C18</f>
        <v>0.18146803629583658</v>
      </c>
      <c r="L34" s="1">
        <f t="shared" ref="L34:L42" si="9">0.98*$K$20*(2*G3*C18/(1-$K$8^4))^(1/2)</f>
        <v>0.18146803629583655</v>
      </c>
      <c r="M34" s="1"/>
      <c r="N34" s="1"/>
      <c r="O34" s="2"/>
    </row>
    <row r="35" spans="1:15" x14ac:dyDescent="0.3">
      <c r="A35" s="34">
        <v>3</v>
      </c>
      <c r="B35" s="103">
        <f t="shared" si="6"/>
        <v>0.18844826982047849</v>
      </c>
      <c r="C35" s="1"/>
      <c r="D35" s="2"/>
      <c r="F35" s="34">
        <v>3</v>
      </c>
      <c r="G35" s="1">
        <f t="shared" si="7"/>
        <v>0.18874131966528843</v>
      </c>
      <c r="H35" s="1"/>
      <c r="I35" s="1"/>
      <c r="J35" s="35">
        <v>3</v>
      </c>
      <c r="K35" s="1">
        <f t="shared" si="8"/>
        <v>0.22532440647001553</v>
      </c>
      <c r="L35" s="1">
        <f t="shared" si="9"/>
        <v>0.22532440647001556</v>
      </c>
      <c r="M35" s="1"/>
      <c r="N35" s="1"/>
      <c r="O35" s="2"/>
    </row>
    <row r="36" spans="1:15" x14ac:dyDescent="0.3">
      <c r="A36" s="34">
        <v>4</v>
      </c>
      <c r="B36" s="103">
        <f t="shared" si="6"/>
        <v>0.22364695014131017</v>
      </c>
      <c r="C36" s="1"/>
      <c r="D36" s="2"/>
      <c r="F36" s="34">
        <v>4</v>
      </c>
      <c r="G36" s="1">
        <f t="shared" si="7"/>
        <v>0.22414836497956175</v>
      </c>
      <c r="H36" s="1"/>
      <c r="I36" s="1"/>
      <c r="J36" s="35">
        <v>4</v>
      </c>
      <c r="K36" s="1">
        <f t="shared" si="8"/>
        <v>0.26722759246968736</v>
      </c>
      <c r="L36" s="1">
        <f t="shared" si="9"/>
        <v>0.26722759246968736</v>
      </c>
      <c r="M36" s="1"/>
      <c r="N36" s="1"/>
      <c r="O36" s="2"/>
    </row>
    <row r="37" spans="1:15" x14ac:dyDescent="0.3">
      <c r="A37" s="34">
        <v>5</v>
      </c>
      <c r="B37" s="103">
        <f t="shared" si="6"/>
        <v>0.26272567911105177</v>
      </c>
      <c r="C37" s="1"/>
      <c r="D37" s="2"/>
      <c r="F37" s="34">
        <v>5</v>
      </c>
      <c r="G37" s="1">
        <f t="shared" si="7"/>
        <v>0.26353176649670224</v>
      </c>
      <c r="H37" s="1"/>
      <c r="I37" s="1"/>
      <c r="J37" s="35">
        <v>5</v>
      </c>
      <c r="K37" s="1">
        <f t="shared" si="8"/>
        <v>0.31366278017094906</v>
      </c>
      <c r="L37" s="1">
        <f t="shared" si="9"/>
        <v>0.31366278017094906</v>
      </c>
      <c r="M37" s="1"/>
      <c r="N37" s="1"/>
      <c r="O37" s="2"/>
    </row>
    <row r="38" spans="1:15" x14ac:dyDescent="0.3">
      <c r="A38" s="34">
        <v>6</v>
      </c>
      <c r="B38" s="103">
        <f t="shared" si="6"/>
        <v>0.30501377420039244</v>
      </c>
      <c r="C38" s="1"/>
      <c r="D38" s="2"/>
      <c r="F38" s="34">
        <v>6</v>
      </c>
      <c r="G38" s="1">
        <f t="shared" si="7"/>
        <v>0.3062700011646099</v>
      </c>
      <c r="H38" s="1"/>
      <c r="I38" s="1"/>
      <c r="J38" s="35">
        <v>6</v>
      </c>
      <c r="K38" s="1">
        <f t="shared" si="8"/>
        <v>0.36376872539011584</v>
      </c>
      <c r="L38" s="1">
        <f t="shared" si="9"/>
        <v>0.36376872539011584</v>
      </c>
      <c r="M38" s="1"/>
      <c r="N38" s="1"/>
      <c r="O38" s="2"/>
    </row>
    <row r="39" spans="1:15" x14ac:dyDescent="0.3">
      <c r="A39" s="34">
        <v>7</v>
      </c>
      <c r="B39" s="103">
        <f t="shared" si="6"/>
        <v>0.35006284843353302</v>
      </c>
      <c r="C39" s="1"/>
      <c r="D39" s="2"/>
      <c r="F39" s="34">
        <v>7</v>
      </c>
      <c r="G39" s="1">
        <f t="shared" si="7"/>
        <v>0.35190124013662832</v>
      </c>
      <c r="H39" s="1"/>
      <c r="I39" s="1"/>
      <c r="J39" s="35">
        <v>7</v>
      </c>
      <c r="K39" s="1">
        <f t="shared" si="8"/>
        <v>0.41702506751698287</v>
      </c>
      <c r="L39" s="1">
        <f t="shared" si="9"/>
        <v>0.41702506751698287</v>
      </c>
      <c r="M39" s="1"/>
      <c r="N39" s="1"/>
      <c r="O39" s="2"/>
    </row>
    <row r="40" spans="1:15" x14ac:dyDescent="0.3">
      <c r="A40" s="34">
        <v>8</v>
      </c>
      <c r="B40" s="103">
        <f t="shared" si="6"/>
        <v>0.39122238231085349</v>
      </c>
      <c r="C40" s="1"/>
      <c r="D40" s="2"/>
      <c r="F40" s="34">
        <v>8</v>
      </c>
      <c r="G40" s="1">
        <f t="shared" si="7"/>
        <v>0.39373531103088882</v>
      </c>
      <c r="H40" s="1"/>
      <c r="I40" s="1"/>
      <c r="J40" s="35">
        <v>8</v>
      </c>
      <c r="K40" s="1">
        <f t="shared" si="8"/>
        <v>0.46551527467625647</v>
      </c>
      <c r="L40" s="1">
        <f t="shared" si="9"/>
        <v>0.46551527467625647</v>
      </c>
      <c r="M40" s="1"/>
      <c r="N40" s="1"/>
      <c r="O40" s="2"/>
    </row>
    <row r="41" spans="1:15" x14ac:dyDescent="0.3">
      <c r="A41" s="34">
        <v>9</v>
      </c>
      <c r="B41" s="103">
        <f t="shared" si="6"/>
        <v>0.43481936755667472</v>
      </c>
      <c r="C41" s="1"/>
      <c r="D41" s="2"/>
      <c r="F41" s="34">
        <v>9</v>
      </c>
      <c r="G41" s="1">
        <f t="shared" si="7"/>
        <v>0.43816264918758635</v>
      </c>
      <c r="H41" s="1"/>
      <c r="I41" s="1"/>
      <c r="J41" s="35">
        <v>9</v>
      </c>
      <c r="K41" s="1">
        <f t="shared" si="8"/>
        <v>0.51674147486860644</v>
      </c>
      <c r="L41" s="1">
        <f t="shared" si="9"/>
        <v>0.51674147486860644</v>
      </c>
      <c r="M41" s="1"/>
      <c r="N41" s="1"/>
      <c r="O41" s="2"/>
    </row>
    <row r="42" spans="1:15" ht="16.8" thickBot="1" x14ac:dyDescent="0.35">
      <c r="A42" s="38">
        <v>10</v>
      </c>
      <c r="B42" s="104">
        <f t="shared" si="6"/>
        <v>0.47810257211744761</v>
      </c>
      <c r="C42" s="3"/>
      <c r="D42" s="4"/>
      <c r="F42" s="38">
        <v>10</v>
      </c>
      <c r="G42" s="3">
        <f t="shared" si="7"/>
        <v>0.48245793052097946</v>
      </c>
      <c r="H42" s="3"/>
      <c r="I42" s="3"/>
      <c r="J42" s="39">
        <v>10</v>
      </c>
      <c r="K42" s="3">
        <f t="shared" si="8"/>
        <v>0.56737947978644498</v>
      </c>
      <c r="L42" s="3">
        <f t="shared" si="9"/>
        <v>0.56737947978644498</v>
      </c>
      <c r="M42" s="3"/>
      <c r="N42" s="3"/>
      <c r="O42" s="4"/>
    </row>
    <row r="44" spans="1:15" ht="16.8" thickBot="1" x14ac:dyDescent="0.35">
      <c r="A44" s="102">
        <v>5</v>
      </c>
    </row>
    <row r="45" spans="1:15" x14ac:dyDescent="0.3">
      <c r="A45" s="113"/>
      <c r="B45" s="114"/>
      <c r="C45" s="114"/>
      <c r="D45" s="114"/>
      <c r="E45" s="114"/>
      <c r="F45" s="114"/>
      <c r="G45" s="115"/>
    </row>
    <row r="46" spans="1:15" x14ac:dyDescent="0.3">
      <c r="A46" s="116"/>
      <c r="B46" s="117"/>
      <c r="C46" s="117"/>
      <c r="D46" s="117"/>
      <c r="E46" s="117"/>
      <c r="F46" s="117"/>
      <c r="G46" s="118"/>
    </row>
    <row r="47" spans="1:15" x14ac:dyDescent="0.3">
      <c r="A47" s="116"/>
      <c r="B47" s="117"/>
      <c r="C47" s="117"/>
      <c r="D47" s="117"/>
      <c r="E47" s="117"/>
      <c r="F47" s="117"/>
      <c r="G47" s="118"/>
    </row>
    <row r="48" spans="1:15" x14ac:dyDescent="0.3">
      <c r="A48" s="34" t="s">
        <v>119</v>
      </c>
      <c r="B48" s="1" t="s">
        <v>118</v>
      </c>
      <c r="C48" s="1" t="s">
        <v>114</v>
      </c>
      <c r="D48" s="103" t="s">
        <v>114</v>
      </c>
      <c r="E48" s="1"/>
      <c r="F48" s="1"/>
      <c r="G48" s="2"/>
    </row>
    <row r="49" spans="1:7" x14ac:dyDescent="0.3">
      <c r="A49" s="34">
        <v>1</v>
      </c>
      <c r="B49" s="1">
        <f>K33/$K$19</f>
        <v>0.12242773255973874</v>
      </c>
      <c r="C49" s="1">
        <f>0.98*$K$20*(2*G2/(($K$19^2/C17)*(1-$K$8^4)))^(1/2)</f>
        <v>0.12242773255973877</v>
      </c>
      <c r="D49" s="103">
        <f>0.98*$K$20*(2*G2/(($K$19)*(1-$K$8^4)))^(1/2)</f>
        <v>0.12249647950962878</v>
      </c>
      <c r="E49" s="1"/>
      <c r="F49" s="1"/>
      <c r="G49" s="2"/>
    </row>
    <row r="50" spans="1:7" x14ac:dyDescent="0.3">
      <c r="A50" s="34">
        <v>2</v>
      </c>
      <c r="B50" s="1">
        <f t="shared" ref="B50:B58" si="10">K34/$K$19</f>
        <v>0.15153369930732244</v>
      </c>
      <c r="C50" s="1">
        <f t="shared" ref="C50:C58" si="11">0.98*$K$20*(2*G3/(($K$19^2/C18)*(1-$K$8^4)))^(1/2)</f>
        <v>0.15153369930732241</v>
      </c>
      <c r="D50" s="103">
        <f t="shared" ref="D50:D58" si="12">0.98*$K$20*(2*G3/(($K$19)*(1-$K$8^4)))^(1/2)</f>
        <v>0.15168474155779299</v>
      </c>
      <c r="E50" s="1"/>
      <c r="F50" s="1"/>
      <c r="G50" s="2"/>
    </row>
    <row r="51" spans="1:7" x14ac:dyDescent="0.3">
      <c r="A51" s="34">
        <v>3</v>
      </c>
      <c r="B51" s="1">
        <f t="shared" si="10"/>
        <v>0.18815567498049574</v>
      </c>
      <c r="C51" s="1">
        <f t="shared" si="11"/>
        <v>0.18815567498049574</v>
      </c>
      <c r="D51" s="103">
        <f t="shared" si="12"/>
        <v>0.18844826982047849</v>
      </c>
      <c r="E51" s="1"/>
      <c r="F51" s="1"/>
      <c r="G51" s="2"/>
    </row>
    <row r="52" spans="1:7" x14ac:dyDescent="0.3">
      <c r="A52" s="34">
        <v>4</v>
      </c>
      <c r="B52" s="1">
        <f t="shared" si="10"/>
        <v>0.2231466569567456</v>
      </c>
      <c r="C52" s="1">
        <f t="shared" si="11"/>
        <v>0.22314665695674563</v>
      </c>
      <c r="D52" s="103">
        <f t="shared" si="12"/>
        <v>0.22364695014131017</v>
      </c>
      <c r="E52" s="1"/>
      <c r="F52" s="1"/>
      <c r="G52" s="2"/>
    </row>
    <row r="53" spans="1:7" x14ac:dyDescent="0.3">
      <c r="A53" s="34">
        <v>5</v>
      </c>
      <c r="B53" s="1">
        <f t="shared" si="10"/>
        <v>0.26192205737454088</v>
      </c>
      <c r="C53" s="1">
        <f t="shared" si="11"/>
        <v>0.26192205737454088</v>
      </c>
      <c r="D53" s="103">
        <f t="shared" si="12"/>
        <v>0.26272567911105177</v>
      </c>
      <c r="E53" s="1"/>
      <c r="F53" s="1"/>
      <c r="G53" s="2"/>
    </row>
    <row r="54" spans="1:7" x14ac:dyDescent="0.3">
      <c r="A54" s="34">
        <v>6</v>
      </c>
      <c r="B54" s="1">
        <f t="shared" si="10"/>
        <v>0.30376269989944477</v>
      </c>
      <c r="C54" s="1">
        <f t="shared" si="11"/>
        <v>0.30376269989944482</v>
      </c>
      <c r="D54" s="103">
        <f t="shared" si="12"/>
        <v>0.30501377420039244</v>
      </c>
      <c r="E54" s="1"/>
      <c r="F54" s="1"/>
      <c r="G54" s="2"/>
    </row>
    <row r="55" spans="1:7" x14ac:dyDescent="0.3">
      <c r="A55" s="34">
        <v>7</v>
      </c>
      <c r="B55" s="1">
        <f t="shared" si="10"/>
        <v>0.34823406080018382</v>
      </c>
      <c r="C55" s="1">
        <f t="shared" si="11"/>
        <v>0.34823406080018376</v>
      </c>
      <c r="D55" s="103">
        <f t="shared" si="12"/>
        <v>0.35006284843353302</v>
      </c>
      <c r="E55" s="1"/>
      <c r="F55" s="1"/>
      <c r="G55" s="2"/>
    </row>
    <row r="56" spans="1:7" x14ac:dyDescent="0.3">
      <c r="A56" s="34">
        <v>8</v>
      </c>
      <c r="B56" s="1">
        <f t="shared" si="10"/>
        <v>0.38872549180373694</v>
      </c>
      <c r="C56" s="1">
        <f t="shared" si="11"/>
        <v>0.38872549180373694</v>
      </c>
      <c r="D56" s="103">
        <f t="shared" si="12"/>
        <v>0.39122238231085349</v>
      </c>
      <c r="E56" s="1"/>
      <c r="F56" s="1"/>
      <c r="G56" s="2"/>
    </row>
    <row r="57" spans="1:7" x14ac:dyDescent="0.3">
      <c r="A57" s="34">
        <v>9</v>
      </c>
      <c r="B57" s="1">
        <f t="shared" si="10"/>
        <v>0.43150159593234239</v>
      </c>
      <c r="C57" s="1">
        <f t="shared" si="11"/>
        <v>0.43150159593234233</v>
      </c>
      <c r="D57" s="103">
        <f t="shared" si="12"/>
        <v>0.43481936755667472</v>
      </c>
      <c r="E57" s="1"/>
      <c r="F57" s="1"/>
      <c r="G57" s="2"/>
    </row>
    <row r="58" spans="1:7" ht="16.8" thickBot="1" x14ac:dyDescent="0.35">
      <c r="A58" s="38">
        <v>10</v>
      </c>
      <c r="B58" s="3">
        <f t="shared" si="10"/>
        <v>0.47378653143598687</v>
      </c>
      <c r="C58" s="3">
        <f t="shared" si="11"/>
        <v>0.47378653143598687</v>
      </c>
      <c r="D58" s="104">
        <f t="shared" si="12"/>
        <v>0.47810257211744761</v>
      </c>
      <c r="E58" s="3"/>
      <c r="F58" s="3"/>
      <c r="G58" s="4"/>
    </row>
  </sheetData>
  <mergeCells count="9">
    <mergeCell ref="F13:I15"/>
    <mergeCell ref="A15:C15"/>
    <mergeCell ref="M12:O16"/>
    <mergeCell ref="K17:L17"/>
    <mergeCell ref="A45:G47"/>
    <mergeCell ref="A29:D31"/>
    <mergeCell ref="M19:S19"/>
    <mergeCell ref="F29:I31"/>
    <mergeCell ref="J29:O3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iso5167-4</vt:lpstr>
      <vt:lpstr>simplified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2019-09-28T18:33:31Z</dcterms:modified>
</cp:coreProperties>
</file>